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GitHub\GitHub - DK-BioRES\"/>
    </mc:Choice>
  </mc:AlternateContent>
  <xr:revisionPtr revIDLastSave="0" documentId="13_ncr:1_{D75BA65D-1E01-45FF-AF60-A1E335B1C0F2}" xr6:coauthVersionLast="47" xr6:coauthVersionMax="47" xr10:uidLastSave="{00000000-0000-0000-0000-000000000000}"/>
  <bookViews>
    <workbookView xWindow="-110" yWindow="-110" windowWidth="19420" windowHeight="11620" tabRatio="945" activeTab="1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4526" r:id="rId37"/>
    <pivotCache cacheId="4527" r:id="rId38"/>
    <pivotCache cacheId="4528" r:id="rId39"/>
    <pivotCache cacheId="4529" r:id="rId40"/>
    <pivotCache cacheId="4530" r:id="rId41"/>
    <pivotCache cacheId="4531" r:id="rId42"/>
    <pivotCache cacheId="4532" r:id="rId43"/>
    <pivotCache cacheId="4533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8" l="1"/>
  <c r="C4" i="8"/>
  <c r="D8" i="9"/>
  <c r="C8" i="9"/>
  <c r="B27" i="6" l="1"/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F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85" i="38"/>
  <c r="D215" i="38"/>
  <c r="D248" i="38"/>
  <c r="D249" i="38"/>
  <c r="D250" i="38"/>
  <c r="D251" i="38"/>
  <c r="D255" i="38"/>
  <c r="D258" i="38"/>
  <c r="D260" i="38"/>
  <c r="D261" i="38"/>
  <c r="D262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B22" i="6"/>
  <c r="D22" i="6" s="1"/>
  <c r="C31" i="6"/>
  <c r="C18" i="6"/>
  <c r="C19" i="6"/>
  <c r="C20" i="6"/>
  <c r="C28" i="6"/>
  <c r="C29" i="6"/>
  <c r="C30" i="6"/>
  <c r="C13" i="6"/>
  <c r="C14" i="6"/>
  <c r="D14" i="6" s="1"/>
  <c r="D31" i="6"/>
  <c r="D18" i="6"/>
  <c r="D19" i="6"/>
  <c r="D20" i="6"/>
  <c r="D28" i="6"/>
  <c r="D29" i="6"/>
  <c r="D30" i="6"/>
  <c r="D13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R54" i="66" s="1"/>
  <c r="D198" i="66"/>
  <c r="A198" i="66"/>
  <c r="R198" i="66" s="1"/>
  <c r="A55" i="66"/>
  <c r="D55" i="66"/>
  <c r="D56" i="66"/>
  <c r="A56" i="66"/>
  <c r="D200" i="66"/>
  <c r="A200" i="66"/>
  <c r="A248" i="66" s="1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64" i="66"/>
  <c r="D268" i="66"/>
  <c r="R6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G13" i="32"/>
  <c r="F13" i="32"/>
  <c r="C11" i="32"/>
  <c r="F47" i="26"/>
  <c r="C47" i="26"/>
  <c r="F11" i="32"/>
  <c r="C192" i="38" l="1"/>
  <c r="C207" i="38" s="1"/>
  <c r="C222" i="38" s="1"/>
  <c r="C237" i="38" s="1"/>
  <c r="F25" i="34"/>
  <c r="A102" i="66"/>
  <c r="C22" i="6"/>
  <c r="C23" i="6"/>
  <c r="D27" i="6"/>
  <c r="D25" i="6"/>
  <c r="B26" i="6"/>
  <c r="C24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I4" i="6"/>
  <c r="L11" i="39"/>
  <c r="D286" i="66"/>
  <c r="D252" i="66"/>
  <c r="D139" i="66"/>
  <c r="C73" i="57"/>
  <c r="G11" i="32"/>
  <c r="I3" i="20"/>
  <c r="D282" i="66"/>
  <c r="D135" i="66"/>
  <c r="D100" i="66"/>
  <c r="D349" i="38"/>
  <c r="A246" i="66"/>
  <c r="R246" i="66" s="1"/>
  <c r="H52" i="66"/>
  <c r="C98" i="66"/>
  <c r="O98" i="66" s="1"/>
  <c r="C92" i="66"/>
  <c r="C78" i="66"/>
  <c r="O78" i="66" s="1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O235" i="66" s="1"/>
  <c r="U235" i="66" s="1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O156" i="66" s="1"/>
  <c r="C168" i="66"/>
  <c r="O168" i="66" s="1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O38" i="66" s="1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O39" i="66" s="1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O186" i="66" s="1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O176" i="66" s="1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O103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O119" i="66" s="1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2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24" i="9"/>
  <c r="J4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3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3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F35" i="34" l="1"/>
  <c r="E35" i="34"/>
  <c r="B32" i="6"/>
  <c r="B12" i="6"/>
  <c r="D32" i="6"/>
  <c r="C32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16" i="53" s="1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G7" i="6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G5" i="6"/>
  <c r="E34" i="38"/>
  <c r="G8" i="6"/>
  <c r="E35" i="38"/>
  <c r="G6" i="6"/>
  <c r="E31" i="38"/>
  <c r="I5" i="6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D22" i="34"/>
  <c r="E22" i="34" s="1"/>
  <c r="F22" i="34" s="1"/>
  <c r="D23" i="34"/>
  <c r="D24" i="34"/>
  <c r="E24" i="34" s="1"/>
  <c r="F24" i="34" s="1"/>
  <c r="D25" i="34"/>
  <c r="D26" i="34"/>
  <c r="E26" i="34" s="1"/>
  <c r="F26" i="34" s="1"/>
  <c r="D27" i="34"/>
  <c r="E27" i="34" s="1"/>
  <c r="F27" i="34" s="1"/>
  <c r="D28" i="34"/>
  <c r="D29" i="34"/>
  <c r="F29" i="34" s="1"/>
  <c r="D30" i="34"/>
  <c r="F30" i="34" s="1"/>
  <c r="D31" i="34"/>
  <c r="E31" i="34" s="1"/>
  <c r="F31" i="34" s="1"/>
  <c r="D32" i="34"/>
  <c r="D34" i="34"/>
  <c r="E34" i="34" s="1"/>
  <c r="F34" i="34" s="1"/>
  <c r="E23" i="34" l="1"/>
  <c r="F23" i="34" s="1"/>
  <c r="D36" i="34"/>
  <c r="F28" i="34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H6" i="58" l="1"/>
  <c r="H6" i="37"/>
  <c r="J6" i="58"/>
  <c r="J6" i="37"/>
  <c r="I6" i="58"/>
  <c r="I6" i="37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I5" i="37"/>
  <c r="I5" i="58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H5" i="37"/>
  <c r="H5" i="58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R189" i="38" l="1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E36" i="53"/>
  <c r="F260" i="66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F212" i="66"/>
  <c r="E24" i="53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I5" i="41"/>
  <c r="L52" i="39" s="1"/>
  <c r="E167" i="38" s="1"/>
  <c r="D24" i="53" s="1"/>
  <c r="F68" i="66"/>
  <c r="E18" i="53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F164" i="66"/>
  <c r="E12" i="53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E52" i="39"/>
  <c r="E133" i="38" s="1"/>
  <c r="D30" i="53" s="1"/>
  <c r="M55" i="39"/>
  <c r="E187" i="38" s="1"/>
  <c r="J287" i="66" s="1"/>
  <c r="L55" i="39"/>
  <c r="E170" i="38" s="1"/>
  <c r="F25" i="39"/>
  <c r="E54" i="39"/>
  <c r="E135" i="38" s="1"/>
  <c r="J127" i="66" s="1"/>
  <c r="I109" i="41"/>
  <c r="H87" i="41"/>
  <c r="M4" i="41" s="1"/>
  <c r="D52" i="39"/>
  <c r="E116" i="38" s="1"/>
  <c r="D18" i="53" s="1"/>
  <c r="F18" i="53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J212" i="66"/>
  <c r="F24" i="53"/>
  <c r="H18" i="53" s="1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G25" i="39"/>
  <c r="P95" i="66"/>
  <c r="W95" i="66"/>
  <c r="S95" i="66"/>
  <c r="J260" i="66"/>
  <c r="F36" i="53"/>
  <c r="H30" i="53" s="1"/>
  <c r="J410" i="37"/>
  <c r="J411" i="37"/>
  <c r="J74" i="41"/>
  <c r="J408" i="37"/>
  <c r="J409" i="37"/>
  <c r="J68" i="66" l="1"/>
  <c r="S68" i="66" s="1"/>
  <c r="W223" i="66"/>
  <c r="S223" i="66"/>
  <c r="M6" i="41"/>
  <c r="J116" i="66"/>
  <c r="W116" i="66" s="1"/>
  <c r="F30" i="53"/>
  <c r="G30" i="53" s="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S212" i="66"/>
  <c r="W212" i="66"/>
  <c r="J20" i="66"/>
  <c r="F6" i="53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S260" i="66"/>
  <c r="W260" i="66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W68" i="66" l="1"/>
  <c r="F9" i="66"/>
  <c r="H36" i="53"/>
  <c r="G36" i="53" s="1"/>
  <c r="E342" i="38" s="1"/>
  <c r="S116" i="66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E324" i="38"/>
  <c r="M212" i="66" s="1"/>
  <c r="E318" i="38"/>
  <c r="T31" i="66"/>
  <c r="F12" i="39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H12" i="53"/>
  <c r="G12" i="53" s="1"/>
  <c r="G6" i="53"/>
  <c r="D40" i="39"/>
  <c r="E104" i="38" s="1"/>
  <c r="F75" i="66"/>
  <c r="J416" i="58"/>
  <c r="F252" i="66" s="1"/>
  <c r="N252" i="66" s="1"/>
  <c r="J417" i="58"/>
  <c r="H100" i="37"/>
  <c r="H100" i="58"/>
  <c r="G12" i="39"/>
  <c r="J437" i="58"/>
  <c r="J285" i="66"/>
  <c r="Y99" i="66"/>
  <c r="Y243" i="66"/>
  <c r="Z243" i="66"/>
  <c r="Z99" i="66"/>
  <c r="S20" i="66"/>
  <c r="W20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G14" i="39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E336" i="38"/>
  <c r="M116" i="66" s="1"/>
  <c r="E330" i="38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E306" i="38"/>
  <c r="E312" i="38"/>
  <c r="M68" i="66" s="1"/>
  <c r="H455" i="41"/>
  <c r="E352" i="38"/>
  <c r="K11" i="66" s="1"/>
  <c r="J59" i="66"/>
  <c r="I437" i="58"/>
  <c r="J237" i="66"/>
  <c r="J100" i="58"/>
  <c r="J100" i="37"/>
  <c r="F14" i="39"/>
  <c r="W175" i="66"/>
  <c r="R175" i="66"/>
  <c r="S175" i="66"/>
  <c r="P175" i="66"/>
  <c r="V175" i="66" s="1"/>
  <c r="E348" i="38" l="1"/>
  <c r="M260" i="66" s="1"/>
  <c r="E16" i="39"/>
  <c r="C21" i="8"/>
  <c r="J249" i="66"/>
  <c r="J201" i="66"/>
  <c r="D16" i="39"/>
  <c r="F16" i="39" s="1"/>
  <c r="N11" i="66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G13" i="39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E282" i="38"/>
  <c r="E288" i="38"/>
  <c r="M20" i="66" s="1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L260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F70" i="66"/>
  <c r="F262" i="66"/>
  <c r="G16" i="39"/>
  <c r="I407" i="41"/>
  <c r="F76" i="66"/>
  <c r="F214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F13" i="39"/>
  <c r="L116" i="66"/>
  <c r="I439" i="58"/>
  <c r="J219" i="66"/>
  <c r="J415" i="41"/>
  <c r="F138" i="66"/>
  <c r="N138" i="66" s="1"/>
  <c r="E300" i="38"/>
  <c r="M164" i="66" s="1"/>
  <c r="E294" i="38"/>
  <c r="F118" i="66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L212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N155" i="66"/>
  <c r="L68" i="66"/>
  <c r="P68" i="66" s="1"/>
  <c r="F284" i="66"/>
  <c r="M42" i="39"/>
  <c r="E174" i="38" s="1"/>
  <c r="D21" i="8" l="1"/>
  <c r="O155" i="66"/>
  <c r="Q155" i="66" s="1"/>
  <c r="P249" i="66"/>
  <c r="S249" i="66"/>
  <c r="W249" i="66"/>
  <c r="N171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B21" i="8"/>
  <c r="I439" i="41"/>
  <c r="L46" i="39"/>
  <c r="E159" i="38" s="1"/>
  <c r="AB3" i="39"/>
  <c r="M46" i="39"/>
  <c r="E176" i="38" s="1"/>
  <c r="X155" i="66"/>
  <c r="T11" i="66"/>
  <c r="C45" i="63"/>
  <c r="T155" i="66"/>
  <c r="J284" i="66"/>
  <c r="N284" i="66" s="1"/>
  <c r="Z11" i="66"/>
  <c r="E351" i="38"/>
  <c r="K27" i="66" s="1"/>
  <c r="H454" i="41"/>
  <c r="Y155" i="66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O11" i="66"/>
  <c r="Z204" i="66"/>
  <c r="Z60" i="66"/>
  <c r="Y204" i="66"/>
  <c r="Y60" i="66"/>
  <c r="X11" i="66"/>
  <c r="Z108" i="66"/>
  <c r="Z252" i="66"/>
  <c r="Y108" i="66"/>
  <c r="Y252" i="66"/>
  <c r="J439" i="41"/>
  <c r="Y11" i="66"/>
  <c r="W219" i="66"/>
  <c r="S219" i="66"/>
  <c r="P219" i="66"/>
  <c r="E46" i="39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N212" i="66"/>
  <c r="P212" i="66"/>
  <c r="J236" i="66"/>
  <c r="N236" i="66" s="1"/>
  <c r="P260" i="66"/>
  <c r="N260" i="66"/>
  <c r="Z282" i="66"/>
  <c r="Z138" i="66"/>
  <c r="Y138" i="66"/>
  <c r="Y282" i="66"/>
  <c r="F19" i="39"/>
  <c r="J189" i="66"/>
  <c r="H437" i="58"/>
  <c r="D46" i="39"/>
  <c r="R171" i="66"/>
  <c r="S171" i="66"/>
  <c r="P171" i="66"/>
  <c r="V171" i="66" s="1"/>
  <c r="W171" i="66"/>
  <c r="J140" i="66"/>
  <c r="N140" i="66" s="1"/>
  <c r="L164" i="66"/>
  <c r="W105" i="66"/>
  <c r="S105" i="66"/>
  <c r="P105" i="66"/>
  <c r="L20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G19" i="39"/>
  <c r="N116" i="66"/>
  <c r="P116" i="66"/>
  <c r="Z155" i="66"/>
  <c r="U155" i="66" l="1"/>
  <c r="J153" i="66"/>
  <c r="R153" i="66" s="1"/>
  <c r="P16" i="39"/>
  <c r="Q16" i="39" s="1"/>
  <c r="H456" i="41"/>
  <c r="J262" i="66"/>
  <c r="N262" i="66" s="1"/>
  <c r="J214" i="66"/>
  <c r="N214" i="66" s="1"/>
  <c r="H437" i="41"/>
  <c r="C36" i="63"/>
  <c r="N45" i="66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N189" i="66"/>
  <c r="P164" i="66"/>
  <c r="V164" i="66" s="1"/>
  <c r="X164" i="66" s="1"/>
  <c r="R164" i="66"/>
  <c r="T164" i="66" s="1"/>
  <c r="O260" i="66"/>
  <c r="P140" i="66"/>
  <c r="W140" i="66"/>
  <c r="S140" i="66"/>
  <c r="N2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N9" i="66"/>
  <c r="E125" i="38"/>
  <c r="Z284" i="66"/>
  <c r="Y140" i="66"/>
  <c r="O140" i="66"/>
  <c r="Y284" i="66"/>
  <c r="Z140" i="66"/>
  <c r="E108" i="38"/>
  <c r="Q11" i="66"/>
  <c r="U11" i="66"/>
  <c r="S45" i="66"/>
  <c r="P45" i="66"/>
  <c r="V45" i="66" s="1"/>
  <c r="W45" i="66"/>
  <c r="R45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C9" i="63"/>
  <c r="H439" i="41"/>
  <c r="N153" i="66" l="1"/>
  <c r="O153" i="66" s="1"/>
  <c r="S153" i="66"/>
  <c r="T153" i="66" s="1"/>
  <c r="W153" i="66"/>
  <c r="P153" i="66"/>
  <c r="V153" i="66" s="1"/>
  <c r="N68" i="66"/>
  <c r="N164" i="66"/>
  <c r="P262" i="66"/>
  <c r="S262" i="66"/>
  <c r="W262" i="66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V116" i="66"/>
  <c r="X116" i="66" s="1"/>
  <c r="U116" i="66"/>
  <c r="Q116" i="66"/>
  <c r="R116" i="66" s="1"/>
  <c r="T116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Z171" i="66"/>
  <c r="Z27" i="66"/>
  <c r="Y27" i="66"/>
  <c r="O27" i="66"/>
  <c r="Y171" i="66"/>
  <c r="O171" i="66"/>
  <c r="J70" i="66"/>
  <c r="J118" i="66"/>
  <c r="Q260" i="66"/>
  <c r="R260" i="66" s="1"/>
  <c r="T260" i="66" s="1"/>
  <c r="U260" i="66"/>
  <c r="V260" i="66"/>
  <c r="X260" i="66" s="1"/>
  <c r="X9" i="66"/>
  <c r="U236" i="66"/>
  <c r="V236" i="66"/>
  <c r="X236" i="66" s="1"/>
  <c r="Q236" i="66"/>
  <c r="R236" i="66" s="1"/>
  <c r="T236" i="66" s="1"/>
  <c r="Z153" i="66" l="1"/>
  <c r="O9" i="66"/>
  <c r="U9" i="66" s="1"/>
  <c r="Y9" i="66"/>
  <c r="Y153" i="66"/>
  <c r="Z9" i="66"/>
  <c r="X153" i="66"/>
  <c r="Z164" i="66"/>
  <c r="Z20" i="66"/>
  <c r="Y20" i="66"/>
  <c r="O164" i="66"/>
  <c r="Q164" i="66" s="1"/>
  <c r="O212" i="66"/>
  <c r="Y68" i="66"/>
  <c r="Z212" i="66"/>
  <c r="Y212" i="66"/>
  <c r="Z68" i="66"/>
  <c r="O68" i="66"/>
  <c r="O20" i="66"/>
  <c r="Q20" i="66" s="1"/>
  <c r="Y164" i="66"/>
  <c r="U189" i="66"/>
  <c r="U45" i="66"/>
  <c r="P118" i="66"/>
  <c r="W118" i="66"/>
  <c r="S118" i="66"/>
  <c r="N118" i="66"/>
  <c r="U171" i="66"/>
  <c r="Q171" i="66"/>
  <c r="Q27" i="66"/>
  <c r="U27" i="66"/>
  <c r="U153" i="66"/>
  <c r="Q153" i="66"/>
  <c r="P70" i="66"/>
  <c r="W70" i="66"/>
  <c r="S70" i="66"/>
  <c r="N70" i="66"/>
  <c r="Q9" i="66" l="1"/>
  <c r="U164" i="66"/>
  <c r="U20" i="66"/>
  <c r="U212" i="66"/>
  <c r="V212" i="66"/>
  <c r="X212" i="66" s="1"/>
  <c r="Q212" i="66"/>
  <c r="R212" i="66" s="1"/>
  <c r="T212" i="66" s="1"/>
  <c r="Q68" i="66"/>
  <c r="R68" i="66" s="1"/>
  <c r="T68" i="66" s="1"/>
  <c r="U68" i="66"/>
  <c r="V68" i="66"/>
  <c r="X68" i="66" s="1"/>
  <c r="Z118" i="66"/>
  <c r="O118" i="66"/>
  <c r="Y118" i="66"/>
  <c r="Z262" i="66"/>
  <c r="Y262" i="66"/>
  <c r="O262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P29" i="9" a="1"/>
  <c r="P29" i="9" s="1"/>
  <c r="E36" i="22" s="1"/>
  <c r="R27" i="9" a="1"/>
  <c r="R27" i="9" s="1"/>
  <c r="R7" i="9" s="1"/>
  <c r="E34" i="22"/>
  <c r="P7" i="9"/>
  <c r="E87" i="22"/>
  <c r="E53" i="22"/>
  <c r="F26" i="17"/>
  <c r="K4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36" i="9" a="1"/>
  <c r="Q36" i="9" s="1"/>
  <c r="J36" i="9"/>
  <c r="M37" i="20"/>
  <c r="M42" i="20"/>
  <c r="D43" i="20"/>
  <c r="N36" i="9" a="1"/>
  <c r="N36" i="9" s="1"/>
  <c r="M9" i="9"/>
  <c r="E21" i="22"/>
  <c r="E37" i="22"/>
  <c r="Q5" i="9"/>
  <c r="L30" i="9"/>
  <c r="E13" i="22"/>
  <c r="L6" i="9"/>
  <c r="C27" i="17"/>
  <c r="E9" i="20"/>
  <c r="N7" i="20"/>
  <c r="N18" i="20"/>
  <c r="E6" i="20"/>
  <c r="O26" i="9" a="1"/>
  <c r="O26" i="9" s="1"/>
  <c r="N16" i="20"/>
  <c r="N15" i="20"/>
  <c r="N8" i="20"/>
  <c r="N12" i="20"/>
  <c r="N9" i="20"/>
  <c r="E15" i="20"/>
  <c r="E10" i="20"/>
  <c r="R26" i="9" a="1"/>
  <c r="R2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30" i="9"/>
  <c r="D12" i="20"/>
  <c r="D18" i="20"/>
  <c r="M6" i="20"/>
  <c r="M12" i="20"/>
  <c r="Q26" i="9" a="1"/>
  <c r="Q2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2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E32" i="22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6" i="20"/>
  <c r="E43" i="20"/>
  <c r="E35" i="20"/>
  <c r="O36" i="9" a="1"/>
  <c r="O36" i="9" s="1"/>
  <c r="E42" i="20"/>
  <c r="N44" i="20"/>
  <c r="N41" i="20"/>
  <c r="E33" i="20"/>
  <c r="R36" i="9" a="1"/>
  <c r="R36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E44" i="22" l="1"/>
  <c r="E30" i="26"/>
  <c r="E34" i="26"/>
  <c r="R40" i="9"/>
  <c r="E38" i="26"/>
  <c r="I202" i="35" s="1"/>
  <c r="E22" i="26"/>
  <c r="I186" i="35" s="1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E33" i="26"/>
  <c r="I197" i="35" s="1"/>
  <c r="H195" i="35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26" i="9" a="1"/>
  <c r="M26" i="9" s="1"/>
  <c r="C17" i="20"/>
  <c r="L7" i="20"/>
  <c r="L17" i="20"/>
  <c r="P26" i="9" a="1"/>
  <c r="P2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36" i="9" a="1"/>
  <c r="P36" i="9" s="1"/>
  <c r="L37" i="20"/>
  <c r="L45" i="20"/>
  <c r="C45" i="20"/>
  <c r="C35" i="20"/>
  <c r="J40" i="9"/>
  <c r="L40" i="20"/>
  <c r="L33" i="20"/>
  <c r="C33" i="20"/>
  <c r="C42" i="20"/>
  <c r="L44" i="20"/>
  <c r="L32" i="20"/>
  <c r="C37" i="20"/>
  <c r="C32" i="20"/>
  <c r="L38" i="20"/>
  <c r="L35" i="20"/>
  <c r="C44" i="20"/>
  <c r="M36" i="9" a="1"/>
  <c r="M36" i="9" s="1"/>
  <c r="L42" i="20"/>
  <c r="L36" i="20"/>
  <c r="C40" i="20"/>
  <c r="C38" i="20"/>
  <c r="E48" i="22"/>
  <c r="L41" i="20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J8" i="9"/>
  <c r="P28" i="9" a="1"/>
  <c r="P28" i="9" s="1"/>
  <c r="E5" i="22"/>
  <c r="M28" i="9" a="1"/>
  <c r="M28" i="9" s="1"/>
  <c r="N6" i="9"/>
  <c r="P10" i="20"/>
  <c r="G9" i="20"/>
  <c r="P12" i="20"/>
  <c r="G16" i="20"/>
  <c r="G10" i="20"/>
  <c r="G18" i="20"/>
  <c r="P13" i="20"/>
  <c r="G11" i="20"/>
  <c r="D24" i="17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I194" i="35"/>
  <c r="O10" i="9" l="1"/>
  <c r="D28" i="17"/>
  <c r="Q10" i="9"/>
  <c r="D53" i="26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S188" i="66" l="1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490" i="18"/>
  <c r="I490" i="18"/>
  <c r="H481" i="18"/>
  <c r="I481" i="18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J47" i="17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I47" i="17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H75" i="18"/>
  <c r="I75" i="18"/>
  <c r="I78" i="18"/>
  <c r="H78" i="18"/>
  <c r="I287" i="18"/>
  <c r="H287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I277" i="18"/>
  <c r="H277" i="18"/>
  <c r="I280" i="18"/>
  <c r="H280" i="18"/>
  <c r="H271" i="18"/>
  <c r="I271" i="18"/>
  <c r="I330" i="18"/>
  <c r="H330" i="18"/>
  <c r="H324" i="18"/>
  <c r="I324" i="18"/>
  <c r="H24" i="18"/>
  <c r="I24" i="18"/>
  <c r="H27" i="18"/>
  <c r="I27" i="18"/>
  <c r="H22" i="18"/>
  <c r="I22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I82" i="18"/>
  <c r="H82" i="18"/>
  <c r="I72" i="18"/>
  <c r="H72" i="18"/>
  <c r="F367" i="18"/>
  <c r="J367" i="18"/>
  <c r="F164" i="18"/>
  <c r="J164" i="18"/>
  <c r="H290" i="18"/>
  <c r="I290" i="18"/>
  <c r="I285" i="18"/>
  <c r="H285" i="18"/>
  <c r="F105" i="18"/>
  <c r="J105" i="18"/>
  <c r="F456" i="18"/>
  <c r="J456" i="18"/>
  <c r="F260" i="18"/>
  <c r="J260" i="18"/>
  <c r="J52" i="18"/>
  <c r="F52" i="18"/>
  <c r="H68" i="18"/>
  <c r="I68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H268" i="18"/>
  <c r="I268" i="18"/>
  <c r="H281" i="18"/>
  <c r="I281" i="18"/>
  <c r="H273" i="18"/>
  <c r="I273" i="18"/>
  <c r="I332" i="18"/>
  <c r="H332" i="18"/>
  <c r="H23" i="18"/>
  <c r="I23" i="18"/>
  <c r="I16" i="18"/>
  <c r="H16" i="18"/>
  <c r="H18" i="18"/>
  <c r="I18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I85" i="18"/>
  <c r="H85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H62" i="18"/>
  <c r="I62" i="18"/>
  <c r="I61" i="18"/>
  <c r="H61" i="18"/>
  <c r="J104" i="18"/>
  <c r="F104" i="18"/>
  <c r="F461" i="18"/>
  <c r="J461" i="18"/>
  <c r="F262" i="18"/>
  <c r="J262" i="18"/>
  <c r="F188" i="18"/>
  <c r="J188" i="18"/>
  <c r="F396" i="18"/>
  <c r="J396" i="18"/>
  <c r="I279" i="18"/>
  <c r="H279" i="18"/>
  <c r="F481" i="18"/>
  <c r="J481" i="18"/>
  <c r="H329" i="18"/>
  <c r="I329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F446" i="18"/>
  <c r="J446" i="18"/>
  <c r="J208" i="18"/>
  <c r="F208" i="18"/>
  <c r="F365" i="18"/>
  <c r="J365" i="18"/>
  <c r="F45" i="18"/>
  <c r="J45" i="18"/>
  <c r="I70" i="18"/>
  <c r="H70" i="18"/>
  <c r="I64" i="18"/>
  <c r="H64" i="18"/>
  <c r="F100" i="18"/>
  <c r="J100" i="18"/>
  <c r="J2" i="18"/>
  <c r="F2" i="18"/>
  <c r="F376" i="18"/>
  <c r="J376" i="18"/>
  <c r="I272" i="18"/>
  <c r="H272" i="18"/>
  <c r="H275" i="18"/>
  <c r="I275" i="18"/>
  <c r="J490" i="18"/>
  <c r="F490" i="18"/>
  <c r="H327" i="18"/>
  <c r="I327" i="1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H19" i="18"/>
  <c r="I19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I335" i="18"/>
  <c r="H335" i="18"/>
  <c r="I336" i="18"/>
  <c r="H336" i="18"/>
  <c r="I326" i="18"/>
  <c r="H326" i="1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H320" i="18"/>
  <c r="I320" i="18"/>
  <c r="J257" i="18"/>
  <c r="F257" i="18"/>
  <c r="H79" i="18"/>
  <c r="I79" i="18"/>
  <c r="J418" i="18"/>
  <c r="F418" i="18"/>
  <c r="H284" i="18"/>
  <c r="I284" i="18"/>
  <c r="I292" i="18"/>
  <c r="H292" i="18"/>
  <c r="J147" i="18"/>
  <c r="F147" i="18"/>
  <c r="J375" i="18"/>
  <c r="F375" i="18"/>
  <c r="J160" i="18"/>
  <c r="F160" i="18"/>
  <c r="J205" i="18"/>
  <c r="F205" i="18"/>
  <c r="H276" i="18"/>
  <c r="I276" i="18"/>
  <c r="I325" i="18"/>
  <c r="H32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H319" i="18"/>
  <c r="I319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H289" i="18"/>
  <c r="I289" i="18"/>
  <c r="H291" i="18"/>
  <c r="I291" i="18"/>
  <c r="F251" i="18"/>
  <c r="J251" i="18"/>
  <c r="F437" i="18"/>
  <c r="J437" i="18"/>
  <c r="J3" i="18"/>
  <c r="F3" i="18"/>
  <c r="F168" i="18"/>
  <c r="J168" i="18"/>
  <c r="H69" i="18"/>
  <c r="I69" i="18"/>
  <c r="I67" i="18"/>
  <c r="H67" i="18"/>
  <c r="F254" i="18"/>
  <c r="J254" i="18"/>
  <c r="J184" i="18"/>
  <c r="F184" i="18"/>
  <c r="H331" i="18"/>
  <c r="I331" i="18"/>
  <c r="I334" i="18"/>
  <c r="H334" i="18"/>
  <c r="I29" i="18"/>
  <c r="H29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H282" i="18"/>
  <c r="I282" i="18"/>
  <c r="J53" i="18"/>
  <c r="F53" i="18"/>
  <c r="J445" i="18"/>
  <c r="F445" i="18"/>
  <c r="I63" i="18"/>
  <c r="H63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H81" i="18"/>
  <c r="I81" i="18"/>
  <c r="H74" i="18"/>
  <c r="I74" i="18"/>
  <c r="F417" i="18"/>
  <c r="J417" i="18"/>
  <c r="H294" i="18"/>
  <c r="I294" i="18"/>
  <c r="J50" i="18"/>
  <c r="F50" i="18"/>
  <c r="F253" i="18"/>
  <c r="J253" i="18"/>
  <c r="F228" i="18"/>
  <c r="J228" i="18"/>
  <c r="F127" i="18"/>
  <c r="J127" i="18"/>
  <c r="F398" i="18"/>
  <c r="J398" i="18"/>
  <c r="H60" i="18"/>
  <c r="I60" i="18"/>
  <c r="H58" i="18"/>
  <c r="I58" i="18"/>
  <c r="H71" i="18"/>
  <c r="I71" i="18"/>
  <c r="J154" i="18"/>
  <c r="F154" i="18"/>
  <c r="I269" i="18"/>
  <c r="H269" i="18"/>
  <c r="I328" i="18"/>
  <c r="H328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F21" i="18"/>
  <c r="J21" i="18"/>
  <c r="F274" i="18"/>
  <c r="J274" i="18"/>
  <c r="J322" i="18"/>
  <c r="F322" i="18"/>
  <c r="J19" i="18"/>
  <c r="F19" i="18"/>
  <c r="F25" i="18"/>
  <c r="J25" i="18"/>
  <c r="J337" i="18"/>
  <c r="F337" i="18"/>
  <c r="F318" i="18"/>
  <c r="J318" i="18"/>
  <c r="F18" i="18"/>
  <c r="J18" i="18"/>
  <c r="J332" i="18"/>
  <c r="F332" i="18"/>
  <c r="J285" i="18"/>
  <c r="F285" i="18"/>
  <c r="F310" i="18"/>
  <c r="J310" i="18"/>
  <c r="J271" i="18"/>
  <c r="F271" i="18"/>
  <c r="J334" i="18"/>
  <c r="F334" i="18"/>
  <c r="F328" i="18"/>
  <c r="J328" i="18"/>
  <c r="J60" i="18"/>
  <c r="F60" i="18"/>
  <c r="J282" i="18"/>
  <c r="F282" i="18"/>
  <c r="J35" i="18"/>
  <c r="F35" i="18"/>
  <c r="F325" i="18"/>
  <c r="J325" i="18"/>
  <c r="F20" i="18"/>
  <c r="J20" i="18"/>
  <c r="J335" i="18"/>
  <c r="F335" i="18"/>
  <c r="J288" i="18"/>
  <c r="F288" i="18"/>
  <c r="J65" i="18"/>
  <c r="F65" i="18"/>
  <c r="F28" i="18"/>
  <c r="J28" i="18"/>
  <c r="J275" i="18"/>
  <c r="F275" i="18"/>
  <c r="F38" i="18"/>
  <c r="J38" i="18"/>
  <c r="F22" i="18"/>
  <c r="J22" i="18"/>
  <c r="F39" i="18"/>
  <c r="J39" i="18"/>
  <c r="F323" i="18"/>
  <c r="J323" i="18"/>
  <c r="J83" i="18"/>
  <c r="F83" i="18"/>
  <c r="J74" i="18"/>
  <c r="F74" i="18"/>
  <c r="F331" i="18"/>
  <c r="J331" i="18"/>
  <c r="J278" i="18"/>
  <c r="F278" i="18"/>
  <c r="J286" i="18"/>
  <c r="F286" i="18"/>
  <c r="F64" i="18"/>
  <c r="J64" i="18"/>
  <c r="F85" i="18"/>
  <c r="J85" i="18"/>
  <c r="F40" i="18"/>
  <c r="J40" i="18"/>
  <c r="J16" i="18"/>
  <c r="F16" i="18"/>
  <c r="J27" i="18"/>
  <c r="F27" i="18"/>
  <c r="J324" i="18"/>
  <c r="F324" i="18"/>
  <c r="F280" i="18"/>
  <c r="J280" i="18"/>
  <c r="J37" i="18"/>
  <c r="F37" i="18"/>
  <c r="F292" i="18"/>
  <c r="J292" i="18"/>
  <c r="J79" i="18"/>
  <c r="F79" i="18"/>
  <c r="J311" i="18"/>
  <c r="F311" i="18"/>
  <c r="F66" i="18"/>
  <c r="J66" i="18"/>
  <c r="J327" i="18"/>
  <c r="F327" i="18"/>
  <c r="F272" i="18"/>
  <c r="J272" i="18"/>
  <c r="J293" i="18"/>
  <c r="F293" i="18"/>
  <c r="F84" i="18"/>
  <c r="J84" i="18"/>
  <c r="J314" i="18"/>
  <c r="F314" i="18"/>
  <c r="F61" i="18"/>
  <c r="J61" i="18"/>
  <c r="F23" i="18"/>
  <c r="J23" i="18"/>
  <c r="F281" i="18"/>
  <c r="J281" i="18"/>
  <c r="J72" i="18"/>
  <c r="F72" i="18"/>
  <c r="J41" i="18"/>
  <c r="F41" i="18"/>
  <c r="J317" i="18"/>
  <c r="F317" i="18"/>
  <c r="J312" i="18"/>
  <c r="F312" i="18"/>
  <c r="F273" i="18"/>
  <c r="J273" i="18"/>
  <c r="J43" i="18"/>
  <c r="F43" i="18"/>
  <c r="F313" i="18"/>
  <c r="J313" i="18"/>
  <c r="F71" i="18"/>
  <c r="J71" i="18"/>
  <c r="F81" i="18"/>
  <c r="J81" i="18"/>
  <c r="J63" i="18"/>
  <c r="F63" i="18"/>
  <c r="J29" i="18"/>
  <c r="F29" i="18"/>
  <c r="J291" i="18"/>
  <c r="F291" i="18"/>
  <c r="F284" i="18"/>
  <c r="J284" i="18"/>
  <c r="J326" i="18"/>
  <c r="F326" i="18"/>
  <c r="F295" i="18"/>
  <c r="J295" i="18"/>
  <c r="J76" i="18"/>
  <c r="F76" i="18"/>
  <c r="F31" i="18"/>
  <c r="J31" i="18"/>
  <c r="J70" i="18"/>
  <c r="F70" i="18"/>
  <c r="F283" i="18"/>
  <c r="J283" i="18"/>
  <c r="J73" i="18"/>
  <c r="F73" i="18"/>
  <c r="J329" i="18"/>
  <c r="F329" i="18"/>
  <c r="J279" i="18"/>
  <c r="F279" i="18"/>
  <c r="J62" i="18"/>
  <c r="F62" i="18"/>
  <c r="J290" i="18"/>
  <c r="F290" i="18"/>
  <c r="F24" i="18"/>
  <c r="J24" i="18"/>
  <c r="J277" i="18"/>
  <c r="F277" i="18"/>
  <c r="J287" i="18"/>
  <c r="F287" i="18"/>
  <c r="F78" i="18"/>
  <c r="J78" i="18"/>
  <c r="J75" i="18"/>
  <c r="F75" i="18"/>
  <c r="J67" i="18"/>
  <c r="F67" i="18"/>
  <c r="J319" i="18"/>
  <c r="F319" i="18"/>
  <c r="J276" i="18"/>
  <c r="F276" i="18"/>
  <c r="J270" i="18"/>
  <c r="F270" i="18"/>
  <c r="J26" i="18"/>
  <c r="F26" i="18"/>
  <c r="J333" i="18"/>
  <c r="F333" i="18"/>
  <c r="F32" i="18"/>
  <c r="J32" i="18"/>
  <c r="F268" i="18"/>
  <c r="J268" i="18"/>
  <c r="J82" i="18"/>
  <c r="F82" i="18"/>
  <c r="F321" i="18"/>
  <c r="J321" i="18"/>
  <c r="J330" i="18"/>
  <c r="F330" i="18"/>
  <c r="J315" i="18"/>
  <c r="F315" i="18"/>
  <c r="F269" i="18"/>
  <c r="J269" i="18"/>
  <c r="J58" i="18"/>
  <c r="F58" i="18"/>
  <c r="J294" i="18"/>
  <c r="F294" i="18"/>
  <c r="J69" i="18"/>
  <c r="F69" i="18"/>
  <c r="J289" i="18"/>
  <c r="F289" i="18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F59" i="18"/>
  <c r="J59" i="18"/>
  <c r="J77" i="18"/>
  <c r="F77" i="18"/>
  <c r="F42" i="18"/>
  <c r="J42" i="18"/>
  <c r="F36" i="18"/>
  <c r="J36" i="18"/>
  <c r="J68" i="18"/>
  <c r="F68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5" i="58" l="1"/>
  <c r="G475" i="37"/>
  <c r="G475" i="41" s="1"/>
  <c r="E473" i="37"/>
  <c r="E473" i="41" s="1"/>
  <c r="E473" i="58"/>
  <c r="G473" i="58"/>
  <c r="G473" i="37"/>
  <c r="G473" i="41" s="1"/>
  <c r="E474" i="37"/>
  <c r="E474" i="41" s="1"/>
  <c r="E474" i="58"/>
  <c r="G474" i="58"/>
  <c r="G474" i="37"/>
  <c r="G474" i="41" s="1"/>
  <c r="E475" i="37"/>
  <c r="E475" i="41" s="1"/>
  <c r="E475" i="58"/>
  <c r="G437" i="58" l="1"/>
  <c r="G437" i="37"/>
  <c r="G437" i="41" s="1"/>
  <c r="G439" i="58"/>
  <c r="G439" i="37"/>
  <c r="G439" i="41" s="1"/>
  <c r="E439" i="58"/>
  <c r="E439" i="37"/>
  <c r="E439" i="41" s="1"/>
  <c r="E437" i="37"/>
  <c r="E437" i="41" s="1"/>
  <c r="E437" i="58"/>
  <c r="E6" i="58" l="1"/>
  <c r="E6" i="37"/>
  <c r="E6" i="41" s="1"/>
  <c r="G406" i="58"/>
  <c r="G406" i="37"/>
  <c r="G406" i="41" s="1"/>
  <c r="E406" i="58"/>
  <c r="E406" i="37"/>
  <c r="E406" i="41" s="1"/>
  <c r="H413" i="37"/>
  <c r="H413" i="58"/>
  <c r="G6" i="58"/>
  <c r="G6" i="37"/>
  <c r="G6" i="41" s="1"/>
  <c r="H417" i="58"/>
  <c r="H417" i="37"/>
  <c r="H409" i="37"/>
  <c r="H409" i="58"/>
  <c r="H413" i="41" l="1"/>
  <c r="F166" i="66"/>
  <c r="K46" i="39"/>
  <c r="E142" i="38" s="1"/>
  <c r="F22" i="66"/>
  <c r="H409" i="41"/>
  <c r="C46" i="39"/>
  <c r="E91" i="38" s="1"/>
  <c r="H417" i="41"/>
  <c r="J22" i="66" l="1"/>
  <c r="N22" i="66" s="1"/>
  <c r="J166" i="66"/>
  <c r="N166" i="66" s="1"/>
  <c r="I429" i="41"/>
  <c r="H445" i="37"/>
  <c r="C16" i="34" l="1"/>
  <c r="O166" i="66"/>
  <c r="U166" i="66" s="1"/>
  <c r="Z22" i="66"/>
  <c r="Z166" i="66"/>
  <c r="Y22" i="66"/>
  <c r="O22" i="66"/>
  <c r="Y166" i="66"/>
  <c r="G92" i="37"/>
  <c r="G92" i="41" s="1"/>
  <c r="G92" i="58"/>
  <c r="G415" i="58"/>
  <c r="G415" i="37"/>
  <c r="G415" i="41" s="1"/>
  <c r="G396" i="37"/>
  <c r="G396" i="41" s="1"/>
  <c r="G396" i="58"/>
  <c r="G348" i="37"/>
  <c r="G348" i="41" s="1"/>
  <c r="G348" i="58"/>
  <c r="G296" i="37"/>
  <c r="G296" i="41" s="1"/>
  <c r="G296" i="58"/>
  <c r="G202" i="58"/>
  <c r="G202" i="37"/>
  <c r="G202" i="41" s="1"/>
  <c r="G170" i="58"/>
  <c r="G170" i="37"/>
  <c r="G170" i="41" s="1"/>
  <c r="E412" i="37"/>
  <c r="E412" i="41" s="1"/>
  <c r="E412" i="58"/>
  <c r="E355" i="37"/>
  <c r="E355" i="41" s="1"/>
  <c r="E355" i="58"/>
  <c r="E299" i="37"/>
  <c r="E299" i="41" s="1"/>
  <c r="E299" i="58"/>
  <c r="E235" i="58"/>
  <c r="E235" i="37"/>
  <c r="E235" i="41" s="1"/>
  <c r="E165" i="37"/>
  <c r="E165" i="41" s="1"/>
  <c r="E165" i="58"/>
  <c r="E101" i="37"/>
  <c r="E101" i="41" s="1"/>
  <c r="E101" i="58"/>
  <c r="G63" i="37"/>
  <c r="G63" i="41" s="1"/>
  <c r="G63" i="58"/>
  <c r="G39" i="58"/>
  <c r="H39" i="58" s="1"/>
  <c r="G39" i="37"/>
  <c r="G39" i="41" s="1"/>
  <c r="G15" i="58"/>
  <c r="J15" i="58" s="1"/>
  <c r="G15" i="37"/>
  <c r="G15" i="41" s="1"/>
  <c r="G205" i="37"/>
  <c r="G205" i="41" s="1"/>
  <c r="G205" i="58"/>
  <c r="J450" i="58"/>
  <c r="J450" i="37"/>
  <c r="E196" i="38"/>
  <c r="E241" i="38"/>
  <c r="H15" i="37"/>
  <c r="G5" i="58"/>
  <c r="G5" i="37"/>
  <c r="G5" i="41" s="1"/>
  <c r="G77" i="58"/>
  <c r="G77" i="37"/>
  <c r="G77" i="41" s="1"/>
  <c r="G85" i="37"/>
  <c r="G85" i="41" s="1"/>
  <c r="G85" i="58"/>
  <c r="G93" i="58"/>
  <c r="G93" i="37"/>
  <c r="G93" i="41" s="1"/>
  <c r="G101" i="37"/>
  <c r="G101" i="41" s="1"/>
  <c r="G101" i="58"/>
  <c r="G109" i="37"/>
  <c r="G109" i="41" s="1"/>
  <c r="G109" i="58"/>
  <c r="G117" i="58"/>
  <c r="G117" i="37"/>
  <c r="G117" i="41" s="1"/>
  <c r="G141" i="58"/>
  <c r="G141" i="37"/>
  <c r="G141" i="41" s="1"/>
  <c r="G305" i="37"/>
  <c r="G305" i="41" s="1"/>
  <c r="G305" i="58"/>
  <c r="G337" i="58"/>
  <c r="G337" i="37"/>
  <c r="G337" i="41" s="1"/>
  <c r="G408" i="58"/>
  <c r="G408" i="37"/>
  <c r="G408" i="41" s="1"/>
  <c r="G416" i="37"/>
  <c r="G416" i="41" s="1"/>
  <c r="G416" i="58"/>
  <c r="G424" i="37"/>
  <c r="G424" i="41" s="1"/>
  <c r="G424" i="58"/>
  <c r="G434" i="58"/>
  <c r="G434" i="37"/>
  <c r="G434" i="41" s="1"/>
  <c r="G444" i="37"/>
  <c r="G444" i="41" s="1"/>
  <c r="G444" i="58"/>
  <c r="G453" i="58"/>
  <c r="G453" i="37"/>
  <c r="G453" i="41" s="1"/>
  <c r="G461" i="37"/>
  <c r="G461" i="41" s="1"/>
  <c r="G461" i="58"/>
  <c r="G395" i="58"/>
  <c r="G395" i="37"/>
  <c r="G395" i="41" s="1"/>
  <c r="G387" i="37"/>
  <c r="G387" i="41" s="1"/>
  <c r="G387" i="58"/>
  <c r="G379" i="37"/>
  <c r="G379" i="41" s="1"/>
  <c r="G379" i="58"/>
  <c r="G371" i="58"/>
  <c r="G371" i="37"/>
  <c r="G371" i="41" s="1"/>
  <c r="G363" i="58"/>
  <c r="G363" i="37"/>
  <c r="G363" i="41" s="1"/>
  <c r="G355" i="37"/>
  <c r="G355" i="41" s="1"/>
  <c r="G355" i="58"/>
  <c r="G347" i="37"/>
  <c r="G347" i="41" s="1"/>
  <c r="G347" i="58"/>
  <c r="G336" i="37"/>
  <c r="G336" i="41" s="1"/>
  <c r="G336" i="58"/>
  <c r="G326" i="37"/>
  <c r="G326" i="41" s="1"/>
  <c r="G326" i="58"/>
  <c r="G315" i="37"/>
  <c r="G315" i="41" s="1"/>
  <c r="G315" i="58"/>
  <c r="G304" i="58"/>
  <c r="G304" i="37"/>
  <c r="G304" i="41" s="1"/>
  <c r="G295" i="37"/>
  <c r="G295" i="41" s="1"/>
  <c r="G295" i="58"/>
  <c r="G287" i="58"/>
  <c r="G287" i="37"/>
  <c r="G287" i="41" s="1"/>
  <c r="G279" i="58"/>
  <c r="G279" i="37"/>
  <c r="G279" i="41" s="1"/>
  <c r="G271" i="58"/>
  <c r="G271" i="37"/>
  <c r="G271" i="41" s="1"/>
  <c r="G263" i="37"/>
  <c r="G263" i="41" s="1"/>
  <c r="G263" i="58"/>
  <c r="G255" i="58"/>
  <c r="G255" i="37"/>
  <c r="G255" i="41" s="1"/>
  <c r="G247" i="37"/>
  <c r="G247" i="41" s="1"/>
  <c r="G247" i="58"/>
  <c r="G239" i="58"/>
  <c r="G239" i="37"/>
  <c r="G239" i="41" s="1"/>
  <c r="G231" i="58"/>
  <c r="G231" i="37"/>
  <c r="G231" i="41" s="1"/>
  <c r="G222" i="37"/>
  <c r="G222" i="41" s="1"/>
  <c r="G222" i="58"/>
  <c r="G211" i="37"/>
  <c r="G211" i="41" s="1"/>
  <c r="G211" i="58"/>
  <c r="G201" i="58"/>
  <c r="G201" i="37"/>
  <c r="G201" i="41" s="1"/>
  <c r="G193" i="58"/>
  <c r="G193" i="37"/>
  <c r="G193" i="41" s="1"/>
  <c r="G185" i="37"/>
  <c r="G185" i="41" s="1"/>
  <c r="G185" i="58"/>
  <c r="G177" i="37"/>
  <c r="G177" i="41" s="1"/>
  <c r="G177" i="58"/>
  <c r="G169" i="58"/>
  <c r="G169" i="37"/>
  <c r="G169" i="41" s="1"/>
  <c r="G155" i="58"/>
  <c r="G155" i="37"/>
  <c r="G155" i="41" s="1"/>
  <c r="G147" i="58"/>
  <c r="G147" i="37"/>
  <c r="G147" i="41" s="1"/>
  <c r="G138" i="37"/>
  <c r="G138" i="41" s="1"/>
  <c r="G138" i="58"/>
  <c r="G127" i="58"/>
  <c r="G127" i="37"/>
  <c r="G127" i="41" s="1"/>
  <c r="E464" i="37"/>
  <c r="E464" i="41" s="1"/>
  <c r="E464" i="58"/>
  <c r="E456" i="37"/>
  <c r="E456" i="41" s="1"/>
  <c r="E456" i="58"/>
  <c r="E447" i="37"/>
  <c r="E447" i="41" s="1"/>
  <c r="E447" i="58"/>
  <c r="E438" i="58"/>
  <c r="E438" i="37"/>
  <c r="E438" i="41" s="1"/>
  <c r="E427" i="37"/>
  <c r="E427" i="41" s="1"/>
  <c r="E427" i="58"/>
  <c r="E419" i="58"/>
  <c r="E419" i="37"/>
  <c r="E419" i="41" s="1"/>
  <c r="E411" i="58"/>
  <c r="E411" i="37"/>
  <c r="E411" i="41" s="1"/>
  <c r="E402" i="37"/>
  <c r="E402" i="41" s="1"/>
  <c r="E402" i="58"/>
  <c r="E394" i="58"/>
  <c r="E394" i="37"/>
  <c r="E394" i="41" s="1"/>
  <c r="E386" i="37"/>
  <c r="E386" i="41" s="1"/>
  <c r="E386" i="58"/>
  <c r="E378" i="58"/>
  <c r="E378" i="37"/>
  <c r="E378" i="41" s="1"/>
  <c r="E370" i="37"/>
  <c r="E370" i="41" s="1"/>
  <c r="E370" i="58"/>
  <c r="E362" i="58"/>
  <c r="E362" i="37"/>
  <c r="E362" i="41" s="1"/>
  <c r="E354" i="37"/>
  <c r="E354" i="41" s="1"/>
  <c r="E354" i="58"/>
  <c r="E346" i="37"/>
  <c r="E346" i="41" s="1"/>
  <c r="E346" i="58"/>
  <c r="E338" i="58"/>
  <c r="E338" i="37"/>
  <c r="E338" i="41" s="1"/>
  <c r="E330" i="58"/>
  <c r="E330" i="37"/>
  <c r="E330" i="41" s="1"/>
  <c r="E322" i="58"/>
  <c r="E322" i="37"/>
  <c r="E322" i="41" s="1"/>
  <c r="E314" i="58"/>
  <c r="E314" i="37"/>
  <c r="E314" i="41" s="1"/>
  <c r="E306" i="58"/>
  <c r="E306" i="37"/>
  <c r="E306" i="41" s="1"/>
  <c r="E298" i="58"/>
  <c r="E298" i="37"/>
  <c r="E298" i="41" s="1"/>
  <c r="E290" i="58"/>
  <c r="E290" i="37"/>
  <c r="E290" i="41" s="1"/>
  <c r="E282" i="37"/>
  <c r="E282" i="41" s="1"/>
  <c r="E282" i="58"/>
  <c r="E274" i="37"/>
  <c r="E274" i="41" s="1"/>
  <c r="E274" i="58"/>
  <c r="E266" i="58"/>
  <c r="E266" i="37"/>
  <c r="E266" i="41" s="1"/>
  <c r="E258" i="37"/>
  <c r="E258" i="41" s="1"/>
  <c r="E258" i="58"/>
  <c r="E250" i="58"/>
  <c r="E250" i="37"/>
  <c r="E250" i="41" s="1"/>
  <c r="E242" i="58"/>
  <c r="E242" i="37"/>
  <c r="E242" i="41" s="1"/>
  <c r="E234" i="58"/>
  <c r="E234" i="37"/>
  <c r="E234" i="41" s="1"/>
  <c r="E226" i="37"/>
  <c r="E226" i="41" s="1"/>
  <c r="E226" i="58"/>
  <c r="E215" i="37"/>
  <c r="E215" i="41" s="1"/>
  <c r="E215" i="58"/>
  <c r="E204" i="58"/>
  <c r="E204" i="37"/>
  <c r="E204" i="41" s="1"/>
  <c r="E196" i="37"/>
  <c r="E196" i="41" s="1"/>
  <c r="E196" i="58"/>
  <c r="E188" i="37"/>
  <c r="E188" i="41" s="1"/>
  <c r="E188" i="58"/>
  <c r="E180" i="37"/>
  <c r="E180" i="41" s="1"/>
  <c r="E180" i="58"/>
  <c r="E172" i="37"/>
  <c r="E172" i="41" s="1"/>
  <c r="E172" i="58"/>
  <c r="E164" i="37"/>
  <c r="E164" i="41" s="1"/>
  <c r="E164" i="58"/>
  <c r="E156" i="58"/>
  <c r="E156" i="37"/>
  <c r="E156" i="41" s="1"/>
  <c r="E148" i="37"/>
  <c r="E148" i="41" s="1"/>
  <c r="E148" i="58"/>
  <c r="E140" i="58"/>
  <c r="E140" i="37"/>
  <c r="E140" i="41" s="1"/>
  <c r="E132" i="58"/>
  <c r="E132" i="37"/>
  <c r="E132" i="41" s="1"/>
  <c r="E124" i="58"/>
  <c r="E124" i="37"/>
  <c r="E124" i="41" s="1"/>
  <c r="E116" i="58"/>
  <c r="E116" i="37"/>
  <c r="E116" i="41" s="1"/>
  <c r="E108" i="58"/>
  <c r="E108" i="37"/>
  <c r="E108" i="41" s="1"/>
  <c r="E100" i="58"/>
  <c r="E100" i="37"/>
  <c r="E100" i="41" s="1"/>
  <c r="E92" i="58"/>
  <c r="E92" i="37"/>
  <c r="E92" i="41" s="1"/>
  <c r="E84" i="58"/>
  <c r="E84" i="37"/>
  <c r="E84" i="41" s="1"/>
  <c r="E76" i="37"/>
  <c r="E76" i="41" s="1"/>
  <c r="E76" i="58"/>
  <c r="E5" i="58"/>
  <c r="E5" i="37"/>
  <c r="E5" i="41" s="1"/>
  <c r="E71" i="58"/>
  <c r="E71" i="37"/>
  <c r="E71" i="41" s="1"/>
  <c r="E67" i="37"/>
  <c r="E67" i="41" s="1"/>
  <c r="E67" i="58"/>
  <c r="E63" i="58"/>
  <c r="E63" i="37"/>
  <c r="E63" i="41" s="1"/>
  <c r="E59" i="37"/>
  <c r="E59" i="41" s="1"/>
  <c r="E59" i="58"/>
  <c r="E55" i="58"/>
  <c r="E55" i="37"/>
  <c r="E55" i="41" s="1"/>
  <c r="E51" i="37"/>
  <c r="E51" i="41" s="1"/>
  <c r="E51" i="58"/>
  <c r="E47" i="37"/>
  <c r="E47" i="41" s="1"/>
  <c r="E47" i="58"/>
  <c r="E43" i="58"/>
  <c r="E43" i="37"/>
  <c r="E43" i="41" s="1"/>
  <c r="E39" i="37"/>
  <c r="E39" i="41" s="1"/>
  <c r="E39" i="58"/>
  <c r="E35" i="37"/>
  <c r="E35" i="41" s="1"/>
  <c r="E35" i="58"/>
  <c r="E31" i="37"/>
  <c r="E31" i="41" s="1"/>
  <c r="E31" i="58"/>
  <c r="E27" i="58"/>
  <c r="E27" i="37"/>
  <c r="E27" i="41" s="1"/>
  <c r="E23" i="58"/>
  <c r="E23" i="37"/>
  <c r="E23" i="41" s="1"/>
  <c r="E19" i="58"/>
  <c r="E19" i="37"/>
  <c r="E19" i="41" s="1"/>
  <c r="E15" i="37"/>
  <c r="E15" i="41" s="1"/>
  <c r="E15" i="58"/>
  <c r="G430" i="37"/>
  <c r="G430" i="41" s="1"/>
  <c r="G430" i="58"/>
  <c r="G209" i="58"/>
  <c r="G209" i="37"/>
  <c r="G209" i="41" s="1"/>
  <c r="E221" i="58"/>
  <c r="E221" i="37"/>
  <c r="E221" i="41" s="1"/>
  <c r="J441" i="37"/>
  <c r="J441" i="58"/>
  <c r="E230" i="38"/>
  <c r="E275" i="38"/>
  <c r="E222" i="38"/>
  <c r="E267" i="38"/>
  <c r="H451" i="37"/>
  <c r="H451" i="58"/>
  <c r="H446" i="37"/>
  <c r="H446" i="58"/>
  <c r="E240" i="38"/>
  <c r="E195" i="38"/>
  <c r="I436" i="58"/>
  <c r="I436" i="37"/>
  <c r="E260" i="38"/>
  <c r="E215" i="38"/>
  <c r="I430" i="41"/>
  <c r="E203" i="38"/>
  <c r="E248" i="38"/>
  <c r="E245" i="38"/>
  <c r="E200" i="38"/>
  <c r="I163" i="58"/>
  <c r="I163" i="37"/>
  <c r="J63" i="58"/>
  <c r="J63" i="37"/>
  <c r="G137" i="58"/>
  <c r="G137" i="37"/>
  <c r="G137" i="41" s="1"/>
  <c r="G443" i="37"/>
  <c r="G443" i="41" s="1"/>
  <c r="G443" i="58"/>
  <c r="G380" i="37"/>
  <c r="G380" i="41" s="1"/>
  <c r="G380" i="58"/>
  <c r="G327" i="58"/>
  <c r="G327" i="37"/>
  <c r="G327" i="41" s="1"/>
  <c r="G272" i="58"/>
  <c r="G272" i="37"/>
  <c r="G272" i="41" s="1"/>
  <c r="G223" i="37"/>
  <c r="G223" i="41" s="1"/>
  <c r="G223" i="58"/>
  <c r="G128" i="58"/>
  <c r="G128" i="37"/>
  <c r="G128" i="41" s="1"/>
  <c r="E420" i="58"/>
  <c r="E420" i="37"/>
  <c r="E420" i="41" s="1"/>
  <c r="E363" i="37"/>
  <c r="E363" i="41" s="1"/>
  <c r="E363" i="58"/>
  <c r="E307" i="58"/>
  <c r="E307" i="37"/>
  <c r="E307" i="41" s="1"/>
  <c r="E251" i="37"/>
  <c r="E251" i="41" s="1"/>
  <c r="E251" i="58"/>
  <c r="E206" i="58"/>
  <c r="E206" i="37"/>
  <c r="E206" i="41" s="1"/>
  <c r="E149" i="58"/>
  <c r="E149" i="37"/>
  <c r="E149" i="41" s="1"/>
  <c r="E125" i="37"/>
  <c r="E125" i="41" s="1"/>
  <c r="E125" i="58"/>
  <c r="G71" i="37"/>
  <c r="G71" i="41" s="1"/>
  <c r="G71" i="58"/>
  <c r="I71" i="58" s="1"/>
  <c r="G55" i="58"/>
  <c r="H55" i="58" s="1"/>
  <c r="G55" i="37"/>
  <c r="G55" i="41" s="1"/>
  <c r="G23" i="58"/>
  <c r="H23" i="58" s="1"/>
  <c r="G23" i="37"/>
  <c r="G23" i="41" s="1"/>
  <c r="G118" i="58"/>
  <c r="G118" i="37"/>
  <c r="G118" i="41" s="1"/>
  <c r="G425" i="58"/>
  <c r="G425" i="37"/>
  <c r="G425" i="41" s="1"/>
  <c r="G394" i="58"/>
  <c r="G394" i="37"/>
  <c r="G394" i="41" s="1"/>
  <c r="G386" i="58"/>
  <c r="G386" i="37"/>
  <c r="G386" i="41" s="1"/>
  <c r="G378" i="58"/>
  <c r="G378" i="37"/>
  <c r="G378" i="41" s="1"/>
  <c r="G370" i="58"/>
  <c r="G370" i="37"/>
  <c r="G370" i="41" s="1"/>
  <c r="G362" i="37"/>
  <c r="G362" i="41" s="1"/>
  <c r="G362" i="58"/>
  <c r="G354" i="58"/>
  <c r="G354" i="37"/>
  <c r="G354" i="41" s="1"/>
  <c r="G346" i="58"/>
  <c r="G346" i="37"/>
  <c r="G346" i="41" s="1"/>
  <c r="G335" i="58"/>
  <c r="G335" i="37"/>
  <c r="G335" i="41" s="1"/>
  <c r="G324" i="37"/>
  <c r="G324" i="41" s="1"/>
  <c r="G324" i="58"/>
  <c r="G314" i="37"/>
  <c r="G314" i="41" s="1"/>
  <c r="G314" i="58"/>
  <c r="G303" i="37"/>
  <c r="G303" i="41" s="1"/>
  <c r="G303" i="58"/>
  <c r="G294" i="58"/>
  <c r="G294" i="37"/>
  <c r="G294" i="41" s="1"/>
  <c r="G286" i="37"/>
  <c r="G286" i="41" s="1"/>
  <c r="G286" i="58"/>
  <c r="G278" i="58"/>
  <c r="G278" i="37"/>
  <c r="G278" i="41" s="1"/>
  <c r="G270" i="58"/>
  <c r="G270" i="37"/>
  <c r="G270" i="41" s="1"/>
  <c r="G262" i="58"/>
  <c r="G262" i="37"/>
  <c r="G262" i="41" s="1"/>
  <c r="G254" i="37"/>
  <c r="G254" i="41" s="1"/>
  <c r="G254" i="58"/>
  <c r="G246" i="58"/>
  <c r="G246" i="37"/>
  <c r="G246" i="41" s="1"/>
  <c r="G238" i="58"/>
  <c r="G238" i="37"/>
  <c r="G238" i="41" s="1"/>
  <c r="G230" i="58"/>
  <c r="G230" i="37"/>
  <c r="G230" i="41" s="1"/>
  <c r="G220" i="58"/>
  <c r="G220" i="37"/>
  <c r="G220" i="41" s="1"/>
  <c r="G210" i="37"/>
  <c r="G210" i="41" s="1"/>
  <c r="G210" i="58"/>
  <c r="G200" i="37"/>
  <c r="G200" i="41" s="1"/>
  <c r="G200" i="58"/>
  <c r="G192" i="58"/>
  <c r="G192" i="37"/>
  <c r="G192" i="41" s="1"/>
  <c r="G184" i="58"/>
  <c r="G184" i="37"/>
  <c r="G184" i="41" s="1"/>
  <c r="G176" i="58"/>
  <c r="G176" i="37"/>
  <c r="G176" i="41" s="1"/>
  <c r="G168" i="58"/>
  <c r="G168" i="37"/>
  <c r="G168" i="41" s="1"/>
  <c r="G154" i="58"/>
  <c r="G154" i="37"/>
  <c r="G154" i="41" s="1"/>
  <c r="G146" i="37"/>
  <c r="G146" i="41" s="1"/>
  <c r="G146" i="58"/>
  <c r="G136" i="58"/>
  <c r="G136" i="37"/>
  <c r="G136" i="41" s="1"/>
  <c r="G126" i="58"/>
  <c r="G126" i="37"/>
  <c r="G126" i="41" s="1"/>
  <c r="E463" i="58"/>
  <c r="E463" i="37"/>
  <c r="E463" i="41" s="1"/>
  <c r="E455" i="37"/>
  <c r="E455" i="41" s="1"/>
  <c r="E455" i="58"/>
  <c r="E446" i="37"/>
  <c r="E446" i="41" s="1"/>
  <c r="E446" i="58"/>
  <c r="E436" i="37"/>
  <c r="E436" i="41" s="1"/>
  <c r="E436" i="58"/>
  <c r="E426" i="37"/>
  <c r="E426" i="41" s="1"/>
  <c r="E426" i="58"/>
  <c r="E418" i="37"/>
  <c r="E418" i="41" s="1"/>
  <c r="E418" i="58"/>
  <c r="E410" i="58"/>
  <c r="E410" i="37"/>
  <c r="E410" i="41" s="1"/>
  <c r="E401" i="58"/>
  <c r="E401" i="37"/>
  <c r="E401" i="41" s="1"/>
  <c r="E393" i="37"/>
  <c r="E393" i="41" s="1"/>
  <c r="E393" i="58"/>
  <c r="E385" i="58"/>
  <c r="E385" i="37"/>
  <c r="E385" i="41" s="1"/>
  <c r="E377" i="37"/>
  <c r="E377" i="41" s="1"/>
  <c r="E377" i="58"/>
  <c r="E369" i="58"/>
  <c r="E369" i="37"/>
  <c r="E369" i="41" s="1"/>
  <c r="E361" i="37"/>
  <c r="E361" i="41" s="1"/>
  <c r="E361" i="58"/>
  <c r="E353" i="37"/>
  <c r="E353" i="41" s="1"/>
  <c r="E353" i="58"/>
  <c r="E345" i="58"/>
  <c r="E345" i="37"/>
  <c r="E345" i="41" s="1"/>
  <c r="E337" i="37"/>
  <c r="E337" i="41" s="1"/>
  <c r="E337" i="58"/>
  <c r="E329" i="58"/>
  <c r="E329" i="37"/>
  <c r="E329" i="41" s="1"/>
  <c r="E321" i="37"/>
  <c r="E321" i="41" s="1"/>
  <c r="E321" i="58"/>
  <c r="E313" i="37"/>
  <c r="E313" i="41" s="1"/>
  <c r="E313" i="58"/>
  <c r="E305" i="37"/>
  <c r="E305" i="41" s="1"/>
  <c r="E305" i="58"/>
  <c r="E297" i="58"/>
  <c r="E297" i="37"/>
  <c r="E297" i="41" s="1"/>
  <c r="E289" i="37"/>
  <c r="E289" i="41" s="1"/>
  <c r="E289" i="58"/>
  <c r="E281" i="58"/>
  <c r="E281" i="37"/>
  <c r="E281" i="41" s="1"/>
  <c r="E273" i="37"/>
  <c r="E273" i="41" s="1"/>
  <c r="E273" i="58"/>
  <c r="E265" i="58"/>
  <c r="E265" i="37"/>
  <c r="E265" i="41" s="1"/>
  <c r="E257" i="58"/>
  <c r="E257" i="37"/>
  <c r="E257" i="41" s="1"/>
  <c r="E249" i="37"/>
  <c r="E249" i="41" s="1"/>
  <c r="E249" i="58"/>
  <c r="E241" i="58"/>
  <c r="E241" i="37"/>
  <c r="E241" i="41" s="1"/>
  <c r="E233" i="58"/>
  <c r="E233" i="37"/>
  <c r="E233" i="41" s="1"/>
  <c r="E224" i="37"/>
  <c r="E224" i="41" s="1"/>
  <c r="E224" i="58"/>
  <c r="E214" i="58"/>
  <c r="E214" i="37"/>
  <c r="E214" i="41" s="1"/>
  <c r="E203" i="58"/>
  <c r="E203" i="37"/>
  <c r="E203" i="41" s="1"/>
  <c r="E195" i="58"/>
  <c r="E195" i="37"/>
  <c r="E195" i="41" s="1"/>
  <c r="E187" i="37"/>
  <c r="E187" i="41" s="1"/>
  <c r="E187" i="58"/>
  <c r="E179" i="37"/>
  <c r="E179" i="41" s="1"/>
  <c r="E179" i="58"/>
  <c r="E171" i="37"/>
  <c r="E171" i="41" s="1"/>
  <c r="E171" i="58"/>
  <c r="E163" i="58"/>
  <c r="E163" i="37"/>
  <c r="E163" i="41" s="1"/>
  <c r="E155" i="37"/>
  <c r="E155" i="41" s="1"/>
  <c r="E155" i="58"/>
  <c r="E147" i="58"/>
  <c r="E147" i="37"/>
  <c r="E147" i="41" s="1"/>
  <c r="E139" i="58"/>
  <c r="E139" i="37"/>
  <c r="E139" i="41" s="1"/>
  <c r="E131" i="58"/>
  <c r="E131" i="37"/>
  <c r="E131" i="41" s="1"/>
  <c r="E123" i="58"/>
  <c r="E123" i="37"/>
  <c r="E123" i="41" s="1"/>
  <c r="E115" i="37"/>
  <c r="E115" i="41" s="1"/>
  <c r="E115" i="58"/>
  <c r="E107" i="58"/>
  <c r="E107" i="37"/>
  <c r="E107" i="41" s="1"/>
  <c r="E99" i="37"/>
  <c r="E99" i="41" s="1"/>
  <c r="E99" i="58"/>
  <c r="E91" i="58"/>
  <c r="E91" i="37"/>
  <c r="E91" i="41" s="1"/>
  <c r="E83" i="37"/>
  <c r="E83" i="41" s="1"/>
  <c r="E83" i="58"/>
  <c r="E75" i="58"/>
  <c r="E75" i="37"/>
  <c r="E75" i="41" s="1"/>
  <c r="E4" i="37"/>
  <c r="E4" i="41" s="1"/>
  <c r="E4" i="58"/>
  <c r="G70" i="37"/>
  <c r="H70" i="37" s="1"/>
  <c r="G70" i="58"/>
  <c r="H70" i="58" s="1"/>
  <c r="G66" i="37"/>
  <c r="G66" i="41" s="1"/>
  <c r="G66" i="58"/>
  <c r="I66" i="58" s="1"/>
  <c r="G62" i="58"/>
  <c r="I62" i="58" s="1"/>
  <c r="G62" i="37"/>
  <c r="G62" i="41" s="1"/>
  <c r="G58" i="37"/>
  <c r="G58" i="41" s="1"/>
  <c r="G58" i="58"/>
  <c r="G54" i="58"/>
  <c r="H54" i="58" s="1"/>
  <c r="G54" i="37"/>
  <c r="G54" i="41" s="1"/>
  <c r="G50" i="37"/>
  <c r="G50" i="41" s="1"/>
  <c r="G50" i="58"/>
  <c r="H50" i="58" s="1"/>
  <c r="G46" i="37"/>
  <c r="G46" i="58"/>
  <c r="H46" i="58" s="1"/>
  <c r="G42" i="58"/>
  <c r="H42" i="58" s="1"/>
  <c r="G42" i="37"/>
  <c r="G42" i="41" s="1"/>
  <c r="G38" i="37"/>
  <c r="G38" i="41" s="1"/>
  <c r="G38" i="58"/>
  <c r="H38" i="58" s="1"/>
  <c r="G34" i="58"/>
  <c r="H34" i="58" s="1"/>
  <c r="G34" i="37"/>
  <c r="G34" i="41" s="1"/>
  <c r="G30" i="58"/>
  <c r="H30" i="58" s="1"/>
  <c r="G30" i="37"/>
  <c r="G30" i="41" s="1"/>
  <c r="G26" i="37"/>
  <c r="G26" i="41" s="1"/>
  <c r="G26" i="58"/>
  <c r="H26" i="58" s="1"/>
  <c r="G22" i="37"/>
  <c r="G22" i="41" s="1"/>
  <c r="G22" i="58"/>
  <c r="J22" i="58" s="1"/>
  <c r="G18" i="58"/>
  <c r="I18" i="58" s="1"/>
  <c r="G18" i="37"/>
  <c r="G18" i="41" s="1"/>
  <c r="G14" i="58"/>
  <c r="J14" i="58" s="1"/>
  <c r="G14" i="37"/>
  <c r="G14" i="41" s="1"/>
  <c r="E430" i="37"/>
  <c r="E430" i="41" s="1"/>
  <c r="E430" i="58"/>
  <c r="G213" i="58"/>
  <c r="G213" i="37"/>
  <c r="G213" i="41" s="1"/>
  <c r="E209" i="37"/>
  <c r="E209" i="41" s="1"/>
  <c r="E209" i="58"/>
  <c r="I448" i="58"/>
  <c r="I448" i="37"/>
  <c r="J448" i="37"/>
  <c r="J448" i="58"/>
  <c r="J440" i="37"/>
  <c r="J440" i="58"/>
  <c r="E266" i="38"/>
  <c r="E221" i="38"/>
  <c r="H450" i="58"/>
  <c r="H450" i="37"/>
  <c r="E239" i="38"/>
  <c r="E194" i="38"/>
  <c r="E209" i="38"/>
  <c r="E254" i="38"/>
  <c r="E252" i="38"/>
  <c r="E207" i="38"/>
  <c r="E250" i="38"/>
  <c r="E205" i="38"/>
  <c r="J46" i="58"/>
  <c r="I58" i="58"/>
  <c r="I58" i="37"/>
  <c r="I34" i="58"/>
  <c r="H58" i="58"/>
  <c r="H58" i="37"/>
  <c r="G4" i="37"/>
  <c r="G4" i="41" s="1"/>
  <c r="G4" i="58"/>
  <c r="G116" i="37"/>
  <c r="G116" i="41" s="1"/>
  <c r="G116" i="58"/>
  <c r="G433" i="58"/>
  <c r="G433" i="37"/>
  <c r="G433" i="41" s="1"/>
  <c r="G364" i="58"/>
  <c r="G364" i="37"/>
  <c r="G364" i="41" s="1"/>
  <c r="G306" i="58"/>
  <c r="G306" i="37"/>
  <c r="G306" i="41" s="1"/>
  <c r="G240" i="37"/>
  <c r="G240" i="41" s="1"/>
  <c r="G240" i="58"/>
  <c r="G178" i="58"/>
  <c r="G178" i="37"/>
  <c r="G178" i="41" s="1"/>
  <c r="E403" i="58"/>
  <c r="E403" i="37"/>
  <c r="E403" i="41" s="1"/>
  <c r="E347" i="58"/>
  <c r="E347" i="37"/>
  <c r="E347" i="41" s="1"/>
  <c r="E275" i="37"/>
  <c r="E275" i="41" s="1"/>
  <c r="E275" i="58"/>
  <c r="E227" i="37"/>
  <c r="E227" i="41" s="1"/>
  <c r="E227" i="58"/>
  <c r="E173" i="58"/>
  <c r="E173" i="37"/>
  <c r="E173" i="41" s="1"/>
  <c r="E133" i="58"/>
  <c r="E133" i="37"/>
  <c r="E133" i="41" s="1"/>
  <c r="E77" i="58"/>
  <c r="E77" i="37"/>
  <c r="E77" i="41" s="1"/>
  <c r="G51" i="58"/>
  <c r="J51" i="58" s="1"/>
  <c r="G51" i="37"/>
  <c r="G51" i="41" s="1"/>
  <c r="G27" i="37"/>
  <c r="G27" i="41" s="1"/>
  <c r="G27" i="58"/>
  <c r="H27" i="58" s="1"/>
  <c r="E213" i="58"/>
  <c r="E213" i="37"/>
  <c r="E213" i="41" s="1"/>
  <c r="H39" i="37"/>
  <c r="H39" i="41" s="1"/>
  <c r="G102" i="37"/>
  <c r="G102" i="41" s="1"/>
  <c r="G102" i="58"/>
  <c r="G417" i="58"/>
  <c r="G417" i="37"/>
  <c r="G417" i="41" s="1"/>
  <c r="G8" i="58"/>
  <c r="G8" i="37"/>
  <c r="G8" i="41" s="1"/>
  <c r="G103" i="37"/>
  <c r="G103" i="41" s="1"/>
  <c r="G103" i="58"/>
  <c r="G345" i="58"/>
  <c r="G345" i="37"/>
  <c r="G345" i="41" s="1"/>
  <c r="G455" i="58"/>
  <c r="G455" i="37"/>
  <c r="G455" i="41" s="1"/>
  <c r="G401" i="37"/>
  <c r="G401" i="41" s="1"/>
  <c r="G401" i="58"/>
  <c r="G353" i="37"/>
  <c r="G353" i="41" s="1"/>
  <c r="G353" i="58"/>
  <c r="G277" i="58"/>
  <c r="G277" i="37"/>
  <c r="G277" i="41" s="1"/>
  <c r="G245" i="37"/>
  <c r="G245" i="41" s="1"/>
  <c r="G245" i="58"/>
  <c r="G208" i="37"/>
  <c r="G208" i="41" s="1"/>
  <c r="G208" i="58"/>
  <c r="G161" i="37"/>
  <c r="G161" i="41" s="1"/>
  <c r="G161" i="58"/>
  <c r="E462" i="58"/>
  <c r="E462" i="37"/>
  <c r="E462" i="41" s="1"/>
  <c r="E435" i="58"/>
  <c r="E435" i="37"/>
  <c r="E435" i="41" s="1"/>
  <c r="E400" i="58"/>
  <c r="E400" i="37"/>
  <c r="E400" i="41" s="1"/>
  <c r="E368" i="58"/>
  <c r="E368" i="37"/>
  <c r="E368" i="41" s="1"/>
  <c r="E344" i="58"/>
  <c r="E344" i="37"/>
  <c r="E344" i="41" s="1"/>
  <c r="E312" i="37"/>
  <c r="E312" i="41" s="1"/>
  <c r="E312" i="58"/>
  <c r="E272" i="37"/>
  <c r="E272" i="41" s="1"/>
  <c r="E272" i="58"/>
  <c r="E240" i="37"/>
  <c r="E240" i="41" s="1"/>
  <c r="E240" i="58"/>
  <c r="E202" i="37"/>
  <c r="E202" i="41" s="1"/>
  <c r="E202" i="58"/>
  <c r="E186" i="37"/>
  <c r="E186" i="41" s="1"/>
  <c r="E186" i="58"/>
  <c r="E162" i="58"/>
  <c r="E162" i="37"/>
  <c r="E162" i="41" s="1"/>
  <c r="E130" i="37"/>
  <c r="E130" i="41" s="1"/>
  <c r="E130" i="58"/>
  <c r="E106" i="58"/>
  <c r="E106" i="37"/>
  <c r="E106" i="41" s="1"/>
  <c r="E82" i="58"/>
  <c r="E82" i="37"/>
  <c r="E82" i="41" s="1"/>
  <c r="E70" i="37"/>
  <c r="E70" i="41" s="1"/>
  <c r="E70" i="58"/>
  <c r="E54" i="58"/>
  <c r="E54" i="37"/>
  <c r="E54" i="41" s="1"/>
  <c r="E42" i="58"/>
  <c r="E42" i="37"/>
  <c r="E42" i="41" s="1"/>
  <c r="E30" i="58"/>
  <c r="E30" i="37"/>
  <c r="E30" i="41" s="1"/>
  <c r="E18" i="58"/>
  <c r="E18" i="37"/>
  <c r="E18" i="41" s="1"/>
  <c r="G217" i="58"/>
  <c r="G217" i="37"/>
  <c r="G217" i="41" s="1"/>
  <c r="J438" i="58"/>
  <c r="J438" i="37"/>
  <c r="E220" i="38"/>
  <c r="E265" i="38"/>
  <c r="H71" i="58"/>
  <c r="H71" i="37"/>
  <c r="J62" i="58"/>
  <c r="J62" i="37"/>
  <c r="J39" i="37"/>
  <c r="J39" i="58"/>
  <c r="H445" i="58"/>
  <c r="H445" i="41" s="1"/>
  <c r="G84" i="58"/>
  <c r="G84" i="37"/>
  <c r="G84" i="41" s="1"/>
  <c r="G301" i="58"/>
  <c r="G301" i="37"/>
  <c r="G301" i="41" s="1"/>
  <c r="G460" i="37"/>
  <c r="G460" i="41" s="1"/>
  <c r="G460" i="58"/>
  <c r="G356" i="58"/>
  <c r="G356" i="37"/>
  <c r="G356" i="41" s="1"/>
  <c r="G288" i="58"/>
  <c r="G288" i="37"/>
  <c r="G288" i="41" s="1"/>
  <c r="G232" i="37"/>
  <c r="G232" i="41" s="1"/>
  <c r="G232" i="58"/>
  <c r="G156" i="58"/>
  <c r="G156" i="37"/>
  <c r="G156" i="41" s="1"/>
  <c r="E448" i="37"/>
  <c r="E448" i="41" s="1"/>
  <c r="E448" i="58"/>
  <c r="E387" i="58"/>
  <c r="E387" i="37"/>
  <c r="E387" i="41" s="1"/>
  <c r="E323" i="58"/>
  <c r="E323" i="37"/>
  <c r="E323" i="41" s="1"/>
  <c r="E283" i="58"/>
  <c r="E283" i="37"/>
  <c r="E283" i="41" s="1"/>
  <c r="E189" i="58"/>
  <c r="E189" i="37"/>
  <c r="E189" i="41" s="1"/>
  <c r="E117" i="58"/>
  <c r="E117" i="37"/>
  <c r="E117" i="41" s="1"/>
  <c r="E7" i="37"/>
  <c r="E7" i="41" s="1"/>
  <c r="E7" i="58"/>
  <c r="G47" i="58"/>
  <c r="I47" i="58" s="1"/>
  <c r="G47" i="37"/>
  <c r="G47" i="41" s="1"/>
  <c r="G11" i="37"/>
  <c r="G11" i="58"/>
  <c r="G472" i="37"/>
  <c r="G472" i="41" s="1"/>
  <c r="G472" i="58"/>
  <c r="I450" i="58"/>
  <c r="I450" i="37"/>
  <c r="E276" i="38"/>
  <c r="E231" i="38"/>
  <c r="E268" i="38"/>
  <c r="E223" i="38"/>
  <c r="H447" i="37"/>
  <c r="H447" i="58"/>
  <c r="H436" i="37"/>
  <c r="H436" i="58"/>
  <c r="E188" i="38"/>
  <c r="E233" i="38"/>
  <c r="I438" i="58"/>
  <c r="I438" i="37"/>
  <c r="E257" i="38"/>
  <c r="E212" i="38"/>
  <c r="G86" i="58"/>
  <c r="G86" i="37"/>
  <c r="G86" i="41" s="1"/>
  <c r="G162" i="58"/>
  <c r="G162" i="37"/>
  <c r="G162" i="41" s="1"/>
  <c r="G454" i="58"/>
  <c r="G454" i="37"/>
  <c r="G454" i="41" s="1"/>
  <c r="G95" i="58"/>
  <c r="G95" i="37"/>
  <c r="G95" i="41" s="1"/>
  <c r="G410" i="37"/>
  <c r="G410" i="41" s="1"/>
  <c r="G410" i="58"/>
  <c r="G463" i="58"/>
  <c r="G463" i="37"/>
  <c r="G463" i="41" s="1"/>
  <c r="G377" i="58"/>
  <c r="G377" i="37"/>
  <c r="G377" i="41" s="1"/>
  <c r="G344" i="58"/>
  <c r="G344" i="37"/>
  <c r="G344" i="41" s="1"/>
  <c r="G302" i="37"/>
  <c r="G302" i="41" s="1"/>
  <c r="G302" i="58"/>
  <c r="G253" i="58"/>
  <c r="G253" i="37"/>
  <c r="G253" i="41" s="1"/>
  <c r="G219" i="58"/>
  <c r="G219" i="37"/>
  <c r="G219" i="41" s="1"/>
  <c r="G175" i="58"/>
  <c r="G175" i="37"/>
  <c r="G175" i="41" s="1"/>
  <c r="G124" i="58"/>
  <c r="G124" i="37"/>
  <c r="G124" i="41" s="1"/>
  <c r="E425" i="58"/>
  <c r="E425" i="37"/>
  <c r="E425" i="41" s="1"/>
  <c r="E392" i="58"/>
  <c r="E392" i="37"/>
  <c r="E392" i="41" s="1"/>
  <c r="E352" i="58"/>
  <c r="E352" i="37"/>
  <c r="E352" i="41" s="1"/>
  <c r="E328" i="37"/>
  <c r="E328" i="41" s="1"/>
  <c r="E328" i="58"/>
  <c r="E296" i="58"/>
  <c r="E296" i="37"/>
  <c r="E296" i="41" s="1"/>
  <c r="E264" i="37"/>
  <c r="E264" i="41" s="1"/>
  <c r="E264" i="58"/>
  <c r="E232" i="58"/>
  <c r="E232" i="37"/>
  <c r="E232" i="41" s="1"/>
  <c r="E212" i="58"/>
  <c r="E212" i="37"/>
  <c r="E212" i="41" s="1"/>
  <c r="E178" i="58"/>
  <c r="E178" i="37"/>
  <c r="E178" i="41" s="1"/>
  <c r="E154" i="37"/>
  <c r="E154" i="41" s="1"/>
  <c r="E154" i="58"/>
  <c r="E122" i="37"/>
  <c r="E122" i="41" s="1"/>
  <c r="E122" i="58"/>
  <c r="E90" i="58"/>
  <c r="E90" i="37"/>
  <c r="E90" i="41" s="1"/>
  <c r="E3" i="58"/>
  <c r="E3" i="37"/>
  <c r="E3" i="41" s="1"/>
  <c r="E62" i="58"/>
  <c r="E62" i="37"/>
  <c r="E62" i="41" s="1"/>
  <c r="E50" i="37"/>
  <c r="E50" i="41" s="1"/>
  <c r="E50" i="58"/>
  <c r="E38" i="37"/>
  <c r="E38" i="41" s="1"/>
  <c r="E38" i="58"/>
  <c r="E22" i="37"/>
  <c r="E22" i="41" s="1"/>
  <c r="E22" i="58"/>
  <c r="G96" i="58"/>
  <c r="G96" i="37"/>
  <c r="G96" i="41" s="1"/>
  <c r="G121" i="58"/>
  <c r="G121" i="37"/>
  <c r="G121" i="41" s="1"/>
  <c r="G402" i="58"/>
  <c r="G402" i="37"/>
  <c r="G402" i="41" s="1"/>
  <c r="G427" i="37"/>
  <c r="G427" i="41" s="1"/>
  <c r="G427" i="58"/>
  <c r="G464" i="37"/>
  <c r="G464" i="41" s="1"/>
  <c r="G464" i="58"/>
  <c r="G384" i="37"/>
  <c r="G384" i="41" s="1"/>
  <c r="G384" i="58"/>
  <c r="G360" i="58"/>
  <c r="G360" i="37"/>
  <c r="G360" i="41" s="1"/>
  <c r="G322" i="58"/>
  <c r="G322" i="37"/>
  <c r="G322" i="41" s="1"/>
  <c r="G300" i="58"/>
  <c r="G300" i="37"/>
  <c r="G300" i="41" s="1"/>
  <c r="G284" i="58"/>
  <c r="G284" i="37"/>
  <c r="G284" i="41" s="1"/>
  <c r="G252" i="58"/>
  <c r="G252" i="37"/>
  <c r="G252" i="41" s="1"/>
  <c r="G228" i="58"/>
  <c r="G228" i="37"/>
  <c r="G228" i="41" s="1"/>
  <c r="G207" i="37"/>
  <c r="G207" i="41" s="1"/>
  <c r="G207" i="58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58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E202" i="38"/>
  <c r="E192" i="38"/>
  <c r="E237" i="38"/>
  <c r="E217" i="38"/>
  <c r="E262" i="38"/>
  <c r="E213" i="38"/>
  <c r="E258" i="38"/>
  <c r="E256" i="38"/>
  <c r="E211" i="38"/>
  <c r="H55" i="37"/>
  <c r="H162" i="58"/>
  <c r="H162" i="37"/>
  <c r="I66" i="37"/>
  <c r="I54" i="37"/>
  <c r="I42" i="37"/>
  <c r="I42" i="58"/>
  <c r="I30" i="37"/>
  <c r="I30" i="58"/>
  <c r="H69" i="58"/>
  <c r="H69" i="37"/>
  <c r="H57" i="58"/>
  <c r="H45" i="58"/>
  <c r="H45" i="37"/>
  <c r="H21" i="37"/>
  <c r="J71" i="58"/>
  <c r="J71" i="37"/>
  <c r="J66" i="37"/>
  <c r="J50" i="58"/>
  <c r="J50" i="37"/>
  <c r="J27" i="58"/>
  <c r="S166" i="66"/>
  <c r="P166" i="66"/>
  <c r="V166" i="66" s="1"/>
  <c r="R166" i="66"/>
  <c r="W166" i="66"/>
  <c r="G108" i="58"/>
  <c r="G108" i="37"/>
  <c r="G108" i="41" s="1"/>
  <c r="G423" i="37"/>
  <c r="G423" i="41" s="1"/>
  <c r="G423" i="58"/>
  <c r="G388" i="37"/>
  <c r="G388" i="41" s="1"/>
  <c r="G388" i="58"/>
  <c r="G316" i="58"/>
  <c r="G316" i="37"/>
  <c r="G316" i="41" s="1"/>
  <c r="G256" i="37"/>
  <c r="G256" i="41" s="1"/>
  <c r="G256" i="58"/>
  <c r="G194" i="58"/>
  <c r="G194" i="37"/>
  <c r="G194" i="41" s="1"/>
  <c r="G139" i="37"/>
  <c r="G139" i="41" s="1"/>
  <c r="G139" i="58"/>
  <c r="E428" i="58"/>
  <c r="E428" i="37"/>
  <c r="E428" i="41" s="1"/>
  <c r="E371" i="37"/>
  <c r="E371" i="41" s="1"/>
  <c r="E371" i="58"/>
  <c r="E315" i="37"/>
  <c r="E315" i="41" s="1"/>
  <c r="E315" i="58"/>
  <c r="E259" i="58"/>
  <c r="E259" i="37"/>
  <c r="E259" i="41" s="1"/>
  <c r="E197" i="37"/>
  <c r="E197" i="41" s="1"/>
  <c r="E197" i="58"/>
  <c r="E93" i="37"/>
  <c r="E93" i="41" s="1"/>
  <c r="E93" i="58"/>
  <c r="G67" i="58"/>
  <c r="I67" i="58" s="1"/>
  <c r="G67" i="37"/>
  <c r="G67" i="41" s="1"/>
  <c r="E469" i="37"/>
  <c r="E469" i="41" s="1"/>
  <c r="E469" i="58"/>
  <c r="H51" i="58"/>
  <c r="H51" i="37"/>
  <c r="G94" i="37"/>
  <c r="G94" i="41" s="1"/>
  <c r="G94" i="58"/>
  <c r="G341" i="37"/>
  <c r="G341" i="41" s="1"/>
  <c r="G341" i="58"/>
  <c r="G445" i="37"/>
  <c r="G445" i="41" s="1"/>
  <c r="G445" i="58"/>
  <c r="G79" i="58"/>
  <c r="G79" i="37"/>
  <c r="G79" i="41" s="1"/>
  <c r="G163" i="58"/>
  <c r="G163" i="37"/>
  <c r="G163" i="41" s="1"/>
  <c r="G426" i="37"/>
  <c r="G426" i="41" s="1"/>
  <c r="G426" i="58"/>
  <c r="G393" i="37"/>
  <c r="G393" i="41" s="1"/>
  <c r="G393" i="58"/>
  <c r="G334" i="37"/>
  <c r="G334" i="41" s="1"/>
  <c r="G334" i="58"/>
  <c r="G285" i="58"/>
  <c r="G285" i="37"/>
  <c r="G285" i="41" s="1"/>
  <c r="G237" i="37"/>
  <c r="G237" i="41" s="1"/>
  <c r="G237" i="58"/>
  <c r="G191" i="37"/>
  <c r="G191" i="41" s="1"/>
  <c r="G191" i="58"/>
  <c r="G145" i="58"/>
  <c r="G145" i="37"/>
  <c r="G145" i="41" s="1"/>
  <c r="E454" i="58"/>
  <c r="E454" i="37"/>
  <c r="E454" i="41" s="1"/>
  <c r="E409" i="37"/>
  <c r="E409" i="41" s="1"/>
  <c r="E409" i="58"/>
  <c r="E376" i="58"/>
  <c r="E376" i="37"/>
  <c r="E376" i="41" s="1"/>
  <c r="E336" i="58"/>
  <c r="E336" i="37"/>
  <c r="E336" i="41" s="1"/>
  <c r="E288" i="58"/>
  <c r="E288" i="37"/>
  <c r="E288" i="41" s="1"/>
  <c r="I73" i="37"/>
  <c r="I73" i="41" s="1"/>
  <c r="G429" i="58"/>
  <c r="G429" i="37"/>
  <c r="G429" i="41" s="1"/>
  <c r="J447" i="37"/>
  <c r="J447" i="58"/>
  <c r="E273" i="38"/>
  <c r="E228" i="38"/>
  <c r="E193" i="38"/>
  <c r="E238" i="38"/>
  <c r="C19" i="34"/>
  <c r="E32" i="34"/>
  <c r="J67" i="58"/>
  <c r="I55" i="37"/>
  <c r="H163" i="58"/>
  <c r="H163" i="37"/>
  <c r="G9" i="58"/>
  <c r="G9" i="37"/>
  <c r="G9" i="41" s="1"/>
  <c r="G80" i="58"/>
  <c r="G80" i="37"/>
  <c r="G80" i="41" s="1"/>
  <c r="G112" i="58"/>
  <c r="G112" i="37"/>
  <c r="G112" i="41" s="1"/>
  <c r="G164" i="37"/>
  <c r="G164" i="41" s="1"/>
  <c r="G164" i="58"/>
  <c r="G419" i="37"/>
  <c r="G419" i="41" s="1"/>
  <c r="G419" i="58"/>
  <c r="G447" i="58"/>
  <c r="G447" i="37"/>
  <c r="G447" i="41" s="1"/>
  <c r="G400" i="37"/>
  <c r="G400" i="41" s="1"/>
  <c r="G400" i="58"/>
  <c r="G376" i="37"/>
  <c r="G376" i="41" s="1"/>
  <c r="G376" i="58"/>
  <c r="G368" i="37"/>
  <c r="G368" i="41" s="1"/>
  <c r="G368" i="58"/>
  <c r="G332" i="58"/>
  <c r="G332" i="37"/>
  <c r="G332" i="41" s="1"/>
  <c r="G311" i="37"/>
  <c r="G311" i="41" s="1"/>
  <c r="G311" i="58"/>
  <c r="G292" i="58"/>
  <c r="G292" i="37"/>
  <c r="G292" i="41" s="1"/>
  <c r="G268" i="58"/>
  <c r="G268" i="37"/>
  <c r="G268" i="41" s="1"/>
  <c r="G244" i="37"/>
  <c r="G244" i="41" s="1"/>
  <c r="G244" i="58"/>
  <c r="G218" i="58"/>
  <c r="G218" i="37"/>
  <c r="G218" i="41" s="1"/>
  <c r="G10" i="58"/>
  <c r="G10" i="37"/>
  <c r="G10" i="41" s="1"/>
  <c r="G81" i="58"/>
  <c r="G81" i="37"/>
  <c r="G81" i="41" s="1"/>
  <c r="G89" i="58"/>
  <c r="G89" i="37"/>
  <c r="G89" i="41" s="1"/>
  <c r="G97" i="58"/>
  <c r="G97" i="37"/>
  <c r="G97" i="41" s="1"/>
  <c r="G105" i="58"/>
  <c r="G105" i="37"/>
  <c r="G105" i="41" s="1"/>
  <c r="G113" i="58"/>
  <c r="G113" i="37"/>
  <c r="G113" i="41" s="1"/>
  <c r="G125" i="37"/>
  <c r="G125" i="41" s="1"/>
  <c r="G125" i="58"/>
  <c r="G165" i="58"/>
  <c r="G165" i="37"/>
  <c r="G165" i="41" s="1"/>
  <c r="G321" i="37"/>
  <c r="G321" i="41" s="1"/>
  <c r="G321" i="58"/>
  <c r="G403" i="58"/>
  <c r="G403" i="37"/>
  <c r="G403" i="41" s="1"/>
  <c r="G412" i="37"/>
  <c r="G412" i="41" s="1"/>
  <c r="G412" i="58"/>
  <c r="G420" i="37"/>
  <c r="G420" i="41" s="1"/>
  <c r="G420" i="58"/>
  <c r="G428" i="37"/>
  <c r="G428" i="41" s="1"/>
  <c r="G428" i="58"/>
  <c r="G440" i="37"/>
  <c r="G440" i="41" s="1"/>
  <c r="G440" i="58"/>
  <c r="G448" i="58"/>
  <c r="G448" i="37"/>
  <c r="G448" i="41" s="1"/>
  <c r="G457" i="58"/>
  <c r="G457" i="37"/>
  <c r="G457" i="41" s="1"/>
  <c r="G467" i="37"/>
  <c r="G467" i="41" s="1"/>
  <c r="G467" i="58"/>
  <c r="I456" i="37"/>
  <c r="I453" i="37"/>
  <c r="I453" i="58"/>
  <c r="E374" i="38" s="1"/>
  <c r="K237" i="66" s="1"/>
  <c r="N237" i="66" s="1"/>
  <c r="I455" i="58"/>
  <c r="E376" i="38" s="1"/>
  <c r="K203" i="66" s="1"/>
  <c r="N203" i="66" s="1"/>
  <c r="I455" i="37"/>
  <c r="I454" i="58"/>
  <c r="E375" i="38" s="1"/>
  <c r="K219" i="66" s="1"/>
  <c r="N219" i="66" s="1"/>
  <c r="I456" i="58"/>
  <c r="E377" i="38" s="1"/>
  <c r="K201" i="66" s="1"/>
  <c r="N201" i="66" s="1"/>
  <c r="I454" i="37"/>
  <c r="G399" i="37"/>
  <c r="G399" i="41" s="1"/>
  <c r="G399" i="58"/>
  <c r="G391" i="37"/>
  <c r="G391" i="41" s="1"/>
  <c r="G391" i="58"/>
  <c r="G383" i="58"/>
  <c r="G383" i="37"/>
  <c r="G383" i="41" s="1"/>
  <c r="G375" i="37"/>
  <c r="G375" i="41" s="1"/>
  <c r="G375" i="58"/>
  <c r="G367" i="37"/>
  <c r="G367" i="41" s="1"/>
  <c r="G367" i="58"/>
  <c r="G359" i="58"/>
  <c r="G359" i="37"/>
  <c r="G359" i="41" s="1"/>
  <c r="G351" i="37"/>
  <c r="G351" i="41" s="1"/>
  <c r="G351" i="58"/>
  <c r="G342" i="58"/>
  <c r="G342" i="37"/>
  <c r="G342" i="41" s="1"/>
  <c r="G331" i="58"/>
  <c r="G331" i="37"/>
  <c r="G331" i="41" s="1"/>
  <c r="G320" i="37"/>
  <c r="G320" i="41" s="1"/>
  <c r="G320" i="58"/>
  <c r="G310" i="58"/>
  <c r="G310" i="37"/>
  <c r="G310" i="41" s="1"/>
  <c r="G299" i="58"/>
  <c r="G299" i="37"/>
  <c r="G299" i="41" s="1"/>
  <c r="G291" i="58"/>
  <c r="G291" i="37"/>
  <c r="G291" i="41" s="1"/>
  <c r="G283" i="37"/>
  <c r="G283" i="41" s="1"/>
  <c r="G283" i="58"/>
  <c r="G275" i="37"/>
  <c r="G275" i="41" s="1"/>
  <c r="G275" i="58"/>
  <c r="G267" i="37"/>
  <c r="G267" i="41" s="1"/>
  <c r="G267" i="58"/>
  <c r="G259" i="37"/>
  <c r="G259" i="41" s="1"/>
  <c r="G259" i="58"/>
  <c r="G251" i="37"/>
  <c r="G251" i="41" s="1"/>
  <c r="G251" i="58"/>
  <c r="G243" i="37"/>
  <c r="G243" i="41" s="1"/>
  <c r="G243" i="58"/>
  <c r="G235" i="37"/>
  <c r="G235" i="41" s="1"/>
  <c r="G235" i="58"/>
  <c r="G227" i="58"/>
  <c r="G227" i="37"/>
  <c r="G227" i="41" s="1"/>
  <c r="G216" i="58"/>
  <c r="G216" i="37"/>
  <c r="G216" i="41" s="1"/>
  <c r="G206" i="58"/>
  <c r="G206" i="37"/>
  <c r="G206" i="41" s="1"/>
  <c r="G197" i="37"/>
  <c r="G197" i="41" s="1"/>
  <c r="G197" i="58"/>
  <c r="G189" i="58"/>
  <c r="G189" i="37"/>
  <c r="G189" i="41" s="1"/>
  <c r="G181" i="58"/>
  <c r="G181" i="37"/>
  <c r="G181" i="41" s="1"/>
  <c r="G173" i="58"/>
  <c r="G173" i="37"/>
  <c r="G173" i="41" s="1"/>
  <c r="G159" i="37"/>
  <c r="G159" i="41" s="1"/>
  <c r="G159" i="58"/>
  <c r="G151" i="37"/>
  <c r="G151" i="41" s="1"/>
  <c r="G151" i="58"/>
  <c r="G143" i="37"/>
  <c r="G143" i="41" s="1"/>
  <c r="G143" i="58"/>
  <c r="G132" i="58"/>
  <c r="G132" i="37"/>
  <c r="G132" i="41" s="1"/>
  <c r="G122" i="37"/>
  <c r="G122" i="41" s="1"/>
  <c r="G122" i="58"/>
  <c r="E460" i="58"/>
  <c r="E460" i="37"/>
  <c r="E460" i="41" s="1"/>
  <c r="E452" i="37"/>
  <c r="E452" i="41" s="1"/>
  <c r="E452" i="58"/>
  <c r="E443" i="58"/>
  <c r="E443" i="37"/>
  <c r="E443" i="41" s="1"/>
  <c r="E433" i="58"/>
  <c r="E433" i="37"/>
  <c r="E433" i="41" s="1"/>
  <c r="E423" i="37"/>
  <c r="E423" i="41" s="1"/>
  <c r="E423" i="58"/>
  <c r="E415" i="58"/>
  <c r="E415" i="37"/>
  <c r="E415" i="41" s="1"/>
  <c r="E407" i="37"/>
  <c r="E407" i="41" s="1"/>
  <c r="E407" i="58"/>
  <c r="E398" i="37"/>
  <c r="E398" i="41" s="1"/>
  <c r="E398" i="58"/>
  <c r="E390" i="58"/>
  <c r="E390" i="37"/>
  <c r="E390" i="41" s="1"/>
  <c r="E382" i="58"/>
  <c r="E382" i="37"/>
  <c r="E382" i="41" s="1"/>
  <c r="E374" i="58"/>
  <c r="E374" i="37"/>
  <c r="E374" i="41" s="1"/>
  <c r="E366" i="58"/>
  <c r="E366" i="37"/>
  <c r="E366" i="41" s="1"/>
  <c r="E358" i="37"/>
  <c r="E358" i="41" s="1"/>
  <c r="E358" i="58"/>
  <c r="E350" i="37"/>
  <c r="E350" i="41" s="1"/>
  <c r="E350" i="58"/>
  <c r="E342" i="58"/>
  <c r="E342" i="37"/>
  <c r="E342" i="41" s="1"/>
  <c r="E334" i="37"/>
  <c r="E334" i="41" s="1"/>
  <c r="E334" i="58"/>
  <c r="E326" i="37"/>
  <c r="E326" i="41" s="1"/>
  <c r="E326" i="58"/>
  <c r="E318" i="58"/>
  <c r="E318" i="37"/>
  <c r="E318" i="41" s="1"/>
  <c r="E310" i="37"/>
  <c r="E310" i="41" s="1"/>
  <c r="E310" i="58"/>
  <c r="E302" i="37"/>
  <c r="E302" i="41" s="1"/>
  <c r="E302" i="58"/>
  <c r="E294" i="58"/>
  <c r="E294" i="37"/>
  <c r="E294" i="41" s="1"/>
  <c r="E286" i="37"/>
  <c r="E286" i="41" s="1"/>
  <c r="E286" i="58"/>
  <c r="E278" i="58"/>
  <c r="E278" i="37"/>
  <c r="E278" i="41" s="1"/>
  <c r="E270" i="37"/>
  <c r="E270" i="41" s="1"/>
  <c r="E270" i="58"/>
  <c r="E262" i="58"/>
  <c r="E262" i="37"/>
  <c r="E262" i="41" s="1"/>
  <c r="E254" i="58"/>
  <c r="E254" i="37"/>
  <c r="E254" i="41" s="1"/>
  <c r="E246" i="58"/>
  <c r="E246" i="37"/>
  <c r="E246" i="41" s="1"/>
  <c r="E238" i="37"/>
  <c r="E238" i="41" s="1"/>
  <c r="E238" i="58"/>
  <c r="E230" i="37"/>
  <c r="E230" i="41" s="1"/>
  <c r="E230" i="58"/>
  <c r="E220" i="58"/>
  <c r="E220" i="37"/>
  <c r="E220" i="41" s="1"/>
  <c r="E210" i="37"/>
  <c r="E210" i="41" s="1"/>
  <c r="E210" i="58"/>
  <c r="E200" i="58"/>
  <c r="E200" i="37"/>
  <c r="E200" i="41" s="1"/>
  <c r="E192" i="58"/>
  <c r="E192" i="37"/>
  <c r="E192" i="41" s="1"/>
  <c r="E184" i="37"/>
  <c r="E184" i="41" s="1"/>
  <c r="E184" i="58"/>
  <c r="E176" i="37"/>
  <c r="E176" i="41" s="1"/>
  <c r="E176" i="58"/>
  <c r="E168" i="37"/>
  <c r="E168" i="41" s="1"/>
  <c r="E168" i="58"/>
  <c r="E160" i="37"/>
  <c r="E160" i="41" s="1"/>
  <c r="E160" i="58"/>
  <c r="E152" i="37"/>
  <c r="E152" i="41" s="1"/>
  <c r="E152" i="58"/>
  <c r="E144" i="37"/>
  <c r="E144" i="41" s="1"/>
  <c r="E144" i="58"/>
  <c r="E136" i="58"/>
  <c r="E136" i="37"/>
  <c r="E136" i="41" s="1"/>
  <c r="E128" i="37"/>
  <c r="E128" i="41" s="1"/>
  <c r="E128" i="58"/>
  <c r="E120" i="58"/>
  <c r="E120" i="37"/>
  <c r="E120" i="41" s="1"/>
  <c r="E112" i="37"/>
  <c r="E112" i="41" s="1"/>
  <c r="E112" i="58"/>
  <c r="E104" i="58"/>
  <c r="E104" i="37"/>
  <c r="E104" i="41" s="1"/>
  <c r="E96" i="37"/>
  <c r="E96" i="41" s="1"/>
  <c r="E96" i="58"/>
  <c r="E88" i="58"/>
  <c r="E88" i="37"/>
  <c r="E88" i="41" s="1"/>
  <c r="E80" i="37"/>
  <c r="E80" i="41" s="1"/>
  <c r="E80" i="58"/>
  <c r="E10" i="58"/>
  <c r="E10" i="37"/>
  <c r="E10" i="41" s="1"/>
  <c r="E73" i="37"/>
  <c r="E73" i="41" s="1"/>
  <c r="E73" i="58"/>
  <c r="E69" i="58"/>
  <c r="E69" i="37"/>
  <c r="E69" i="41" s="1"/>
  <c r="E65" i="58"/>
  <c r="E65" i="37"/>
  <c r="E65" i="41" s="1"/>
  <c r="E61" i="58"/>
  <c r="E61" i="37"/>
  <c r="E61" i="41" s="1"/>
  <c r="E57" i="58"/>
  <c r="E57" i="37"/>
  <c r="E57" i="41" s="1"/>
  <c r="E53" i="58"/>
  <c r="E53" i="37"/>
  <c r="E53" i="41" s="1"/>
  <c r="E49" i="58"/>
  <c r="E49" i="37"/>
  <c r="E49" i="41" s="1"/>
  <c r="E45" i="58"/>
  <c r="E45" i="37"/>
  <c r="E45" i="41" s="1"/>
  <c r="E41" i="37"/>
  <c r="E41" i="41" s="1"/>
  <c r="E41" i="58"/>
  <c r="E37" i="58"/>
  <c r="E37" i="37"/>
  <c r="E37" i="41" s="1"/>
  <c r="E33" i="58"/>
  <c r="E33" i="37"/>
  <c r="E33" i="41" s="1"/>
  <c r="E29" i="37"/>
  <c r="E29" i="41" s="1"/>
  <c r="E29" i="58"/>
  <c r="E25" i="58"/>
  <c r="E25" i="37"/>
  <c r="E25" i="41" s="1"/>
  <c r="E21" i="37"/>
  <c r="E21" i="41" s="1"/>
  <c r="E21" i="58"/>
  <c r="E17" i="58"/>
  <c r="E17" i="37"/>
  <c r="E17" i="41" s="1"/>
  <c r="E13" i="58"/>
  <c r="E13" i="37"/>
  <c r="E13" i="41" s="1"/>
  <c r="H73" i="37"/>
  <c r="H73" i="58"/>
  <c r="G470" i="37"/>
  <c r="G470" i="41" s="1"/>
  <c r="G470" i="58"/>
  <c r="G225" i="58"/>
  <c r="G225" i="37"/>
  <c r="G225" i="41" s="1"/>
  <c r="G471" i="58"/>
  <c r="G471" i="37"/>
  <c r="G471" i="41" s="1"/>
  <c r="I445" i="37"/>
  <c r="I445" i="58"/>
  <c r="J445" i="58"/>
  <c r="J445" i="37"/>
  <c r="E271" i="38"/>
  <c r="E226" i="38"/>
  <c r="E218" i="38"/>
  <c r="E263" i="38"/>
  <c r="H441" i="58"/>
  <c r="H441" i="37"/>
  <c r="E201" i="38"/>
  <c r="E246" i="38"/>
  <c r="E191" i="38"/>
  <c r="E236" i="38"/>
  <c r="E204" i="38"/>
  <c r="E249" i="38"/>
  <c r="E244" i="38"/>
  <c r="E199" i="38"/>
  <c r="J61" i="37"/>
  <c r="J61" i="58"/>
  <c r="J37" i="37"/>
  <c r="J37" i="58"/>
  <c r="I25" i="37"/>
  <c r="I25" i="58"/>
  <c r="I53" i="37"/>
  <c r="I53" i="58"/>
  <c r="I41" i="37"/>
  <c r="I41" i="58"/>
  <c r="I29" i="37"/>
  <c r="I29" i="58"/>
  <c r="J54" i="37"/>
  <c r="J38" i="58"/>
  <c r="G100" i="58"/>
  <c r="G100" i="37"/>
  <c r="G100" i="41" s="1"/>
  <c r="G333" i="58"/>
  <c r="G333" i="37"/>
  <c r="G333" i="41" s="1"/>
  <c r="G452" i="58"/>
  <c r="G452" i="37"/>
  <c r="G452" i="41" s="1"/>
  <c r="G372" i="37"/>
  <c r="G372" i="41" s="1"/>
  <c r="G372" i="58"/>
  <c r="G338" i="37"/>
  <c r="G338" i="41" s="1"/>
  <c r="G338" i="58"/>
  <c r="G280" i="37"/>
  <c r="G280" i="41" s="1"/>
  <c r="G280" i="58"/>
  <c r="G248" i="58"/>
  <c r="G248" i="37"/>
  <c r="G248" i="41" s="1"/>
  <c r="G186" i="37"/>
  <c r="G186" i="41" s="1"/>
  <c r="G186" i="58"/>
  <c r="E467" i="37"/>
  <c r="E467" i="41" s="1"/>
  <c r="E467" i="58"/>
  <c r="E440" i="58"/>
  <c r="E440" i="37"/>
  <c r="E440" i="41" s="1"/>
  <c r="E379" i="58"/>
  <c r="E379" i="37"/>
  <c r="E379" i="41" s="1"/>
  <c r="E331" i="58"/>
  <c r="E331" i="37"/>
  <c r="E331" i="41" s="1"/>
  <c r="E291" i="58"/>
  <c r="E291" i="37"/>
  <c r="E291" i="41" s="1"/>
  <c r="E243" i="58"/>
  <c r="E243" i="37"/>
  <c r="E243" i="41" s="1"/>
  <c r="E181" i="37"/>
  <c r="E181" i="41" s="1"/>
  <c r="E181" i="58"/>
  <c r="E141" i="58"/>
  <c r="E141" i="37"/>
  <c r="E141" i="41" s="1"/>
  <c r="E85" i="37"/>
  <c r="E85" i="41" s="1"/>
  <c r="E85" i="58"/>
  <c r="G59" i="37"/>
  <c r="G59" i="41" s="1"/>
  <c r="G59" i="58"/>
  <c r="H59" i="58" s="1"/>
  <c r="G43" i="37"/>
  <c r="G43" i="41" s="1"/>
  <c r="G43" i="58"/>
  <c r="H43" i="58" s="1"/>
  <c r="G31" i="58"/>
  <c r="J31" i="58" s="1"/>
  <c r="G31" i="37"/>
  <c r="G31" i="41" s="1"/>
  <c r="G19" i="58"/>
  <c r="I19" i="58" s="1"/>
  <c r="G19" i="37"/>
  <c r="G19" i="41" s="1"/>
  <c r="E449" i="37"/>
  <c r="E449" i="41" s="1"/>
  <c r="E449" i="58"/>
  <c r="H37" i="37"/>
  <c r="H63" i="58"/>
  <c r="H63" i="37"/>
  <c r="G78" i="58"/>
  <c r="G78" i="37"/>
  <c r="G78" i="41" s="1"/>
  <c r="G110" i="37"/>
  <c r="G110" i="41" s="1"/>
  <c r="G110" i="58"/>
  <c r="G409" i="37"/>
  <c r="G409" i="41" s="1"/>
  <c r="G409" i="58"/>
  <c r="G462" i="37"/>
  <c r="G462" i="41" s="1"/>
  <c r="G462" i="58"/>
  <c r="G87" i="37"/>
  <c r="G87" i="41" s="1"/>
  <c r="G87" i="58"/>
  <c r="G119" i="37"/>
  <c r="G119" i="41" s="1"/>
  <c r="G119" i="58"/>
  <c r="G418" i="37"/>
  <c r="G418" i="41" s="1"/>
  <c r="G418" i="58"/>
  <c r="G446" i="58"/>
  <c r="G446" i="37"/>
  <c r="G446" i="41" s="1"/>
  <c r="G385" i="37"/>
  <c r="G385" i="41" s="1"/>
  <c r="G385" i="58"/>
  <c r="G361" i="58"/>
  <c r="G361" i="37"/>
  <c r="G361" i="41" s="1"/>
  <c r="G323" i="58"/>
  <c r="G323" i="37"/>
  <c r="G323" i="41" s="1"/>
  <c r="G293" i="37"/>
  <c r="G293" i="41" s="1"/>
  <c r="G293" i="58"/>
  <c r="G261" i="58"/>
  <c r="G261" i="37"/>
  <c r="G261" i="41" s="1"/>
  <c r="G229" i="37"/>
  <c r="G229" i="41" s="1"/>
  <c r="G229" i="58"/>
  <c r="G183" i="58"/>
  <c r="G183" i="37"/>
  <c r="G183" i="41" s="1"/>
  <c r="G153" i="37"/>
  <c r="G153" i="41" s="1"/>
  <c r="G153" i="58"/>
  <c r="G135" i="58"/>
  <c r="G135" i="37"/>
  <c r="G135" i="41" s="1"/>
  <c r="E445" i="37"/>
  <c r="E445" i="41" s="1"/>
  <c r="E445" i="58"/>
  <c r="E417" i="37"/>
  <c r="E417" i="41" s="1"/>
  <c r="E417" i="58"/>
  <c r="E384" i="58"/>
  <c r="E384" i="37"/>
  <c r="E384" i="41" s="1"/>
  <c r="E360" i="58"/>
  <c r="E360" i="37"/>
  <c r="E360" i="41" s="1"/>
  <c r="E320" i="37"/>
  <c r="E320" i="41" s="1"/>
  <c r="E320" i="58"/>
  <c r="E304" i="58"/>
  <c r="E304" i="37"/>
  <c r="E304" i="41" s="1"/>
  <c r="E280" i="37"/>
  <c r="E280" i="41" s="1"/>
  <c r="E280" i="58"/>
  <c r="E256" i="37"/>
  <c r="E256" i="41" s="1"/>
  <c r="E256" i="58"/>
  <c r="E248" i="58"/>
  <c r="E248" i="37"/>
  <c r="E248" i="41" s="1"/>
  <c r="E223" i="58"/>
  <c r="E223" i="37"/>
  <c r="E223" i="41" s="1"/>
  <c r="E194" i="58"/>
  <c r="E194" i="37"/>
  <c r="E194" i="41" s="1"/>
  <c r="E170" i="58"/>
  <c r="E170" i="37"/>
  <c r="E170" i="41" s="1"/>
  <c r="E146" i="58"/>
  <c r="E146" i="37"/>
  <c r="E146" i="41" s="1"/>
  <c r="E138" i="58"/>
  <c r="E138" i="37"/>
  <c r="E138" i="41" s="1"/>
  <c r="E114" i="58"/>
  <c r="E114" i="37"/>
  <c r="E114" i="41" s="1"/>
  <c r="E98" i="37"/>
  <c r="E98" i="41" s="1"/>
  <c r="E98" i="58"/>
  <c r="E74" i="58"/>
  <c r="E74" i="37"/>
  <c r="E74" i="41" s="1"/>
  <c r="E66" i="58"/>
  <c r="E66" i="37"/>
  <c r="E66" i="41" s="1"/>
  <c r="E58" i="58"/>
  <c r="E58" i="37"/>
  <c r="E58" i="41" s="1"/>
  <c r="E46" i="37"/>
  <c r="E46" i="41" s="1"/>
  <c r="E46" i="58"/>
  <c r="E34" i="37"/>
  <c r="E34" i="41" s="1"/>
  <c r="E34" i="58"/>
  <c r="E26" i="58"/>
  <c r="E26" i="37"/>
  <c r="E26" i="41" s="1"/>
  <c r="E14" i="37"/>
  <c r="E14" i="41" s="1"/>
  <c r="E14" i="58"/>
  <c r="E468" i="58"/>
  <c r="E468" i="37"/>
  <c r="E468" i="41" s="1"/>
  <c r="E205" i="37"/>
  <c r="E205" i="41" s="1"/>
  <c r="E205" i="58"/>
  <c r="I447" i="37"/>
  <c r="I447" i="58"/>
  <c r="G88" i="37"/>
  <c r="G88" i="41" s="1"/>
  <c r="G88" i="58"/>
  <c r="G104" i="58"/>
  <c r="G104" i="37"/>
  <c r="G104" i="41" s="1"/>
  <c r="G317" i="37"/>
  <c r="G317" i="41" s="1"/>
  <c r="G317" i="58"/>
  <c r="G411" i="58"/>
  <c r="G411" i="37"/>
  <c r="G411" i="41" s="1"/>
  <c r="G438" i="58"/>
  <c r="G438" i="37"/>
  <c r="G438" i="41" s="1"/>
  <c r="G456" i="37"/>
  <c r="G456" i="41" s="1"/>
  <c r="G456" i="58"/>
  <c r="G392" i="58"/>
  <c r="G392" i="37"/>
  <c r="G392" i="41" s="1"/>
  <c r="G352" i="58"/>
  <c r="G352" i="37"/>
  <c r="G352" i="41" s="1"/>
  <c r="G343" i="37"/>
  <c r="G343" i="41" s="1"/>
  <c r="G343" i="58"/>
  <c r="G276" i="58"/>
  <c r="G276" i="37"/>
  <c r="G276" i="41" s="1"/>
  <c r="G260" i="58"/>
  <c r="G260" i="37"/>
  <c r="G260" i="41" s="1"/>
  <c r="G236" i="58"/>
  <c r="G236" i="37"/>
  <c r="G236" i="41" s="1"/>
  <c r="G198" i="58"/>
  <c r="G198" i="37"/>
  <c r="G198" i="41" s="1"/>
  <c r="G74" i="58"/>
  <c r="G74" i="37"/>
  <c r="G74" i="41" s="1"/>
  <c r="G82" i="58"/>
  <c r="G82" i="37"/>
  <c r="G82" i="41" s="1"/>
  <c r="G90" i="58"/>
  <c r="G90" i="37"/>
  <c r="G90" i="41" s="1"/>
  <c r="G98" i="37"/>
  <c r="G98" i="41" s="1"/>
  <c r="G98" i="58"/>
  <c r="G106" i="58"/>
  <c r="G106" i="37"/>
  <c r="G106" i="41" s="1"/>
  <c r="G114" i="37"/>
  <c r="G114" i="41" s="1"/>
  <c r="G114" i="58"/>
  <c r="G129" i="58"/>
  <c r="G129" i="37"/>
  <c r="G129" i="41" s="1"/>
  <c r="G166" i="58"/>
  <c r="G166" i="37"/>
  <c r="G166" i="41" s="1"/>
  <c r="G325" i="58"/>
  <c r="G325" i="37"/>
  <c r="G325" i="41" s="1"/>
  <c r="G404" i="58"/>
  <c r="G404" i="37"/>
  <c r="G404" i="41" s="1"/>
  <c r="G413" i="58"/>
  <c r="G413" i="37"/>
  <c r="G413" i="41" s="1"/>
  <c r="G421" i="58"/>
  <c r="G421" i="37"/>
  <c r="G421" i="41" s="1"/>
  <c r="G431" i="58"/>
  <c r="G431" i="37"/>
  <c r="G431" i="41" s="1"/>
  <c r="G441" i="37"/>
  <c r="G441" i="41" s="1"/>
  <c r="G441" i="58"/>
  <c r="G450" i="58"/>
  <c r="G450" i="37"/>
  <c r="G450" i="41" s="1"/>
  <c r="G458" i="37"/>
  <c r="G458" i="41" s="1"/>
  <c r="G458" i="58"/>
  <c r="G398" i="58"/>
  <c r="G398" i="37"/>
  <c r="G398" i="41" s="1"/>
  <c r="G390" i="58"/>
  <c r="G390" i="37"/>
  <c r="G390" i="41" s="1"/>
  <c r="G382" i="58"/>
  <c r="G382" i="37"/>
  <c r="G382" i="41" s="1"/>
  <c r="G374" i="58"/>
  <c r="G374" i="37"/>
  <c r="G374" i="41" s="1"/>
  <c r="G366" i="58"/>
  <c r="G366" i="37"/>
  <c r="G366" i="41" s="1"/>
  <c r="G358" i="37"/>
  <c r="G358" i="41" s="1"/>
  <c r="G358" i="58"/>
  <c r="G350" i="37"/>
  <c r="G350" i="41" s="1"/>
  <c r="G350" i="58"/>
  <c r="G340" i="58"/>
  <c r="G340" i="37"/>
  <c r="G340" i="41" s="1"/>
  <c r="G330" i="58"/>
  <c r="G330" i="37"/>
  <c r="G330" i="41" s="1"/>
  <c r="G319" i="58"/>
  <c r="G319" i="37"/>
  <c r="G319" i="41" s="1"/>
  <c r="G308" i="37"/>
  <c r="G308" i="41" s="1"/>
  <c r="G308" i="58"/>
  <c r="G298" i="37"/>
  <c r="G298" i="41" s="1"/>
  <c r="G298" i="58"/>
  <c r="G290" i="58"/>
  <c r="G290" i="37"/>
  <c r="G290" i="41" s="1"/>
  <c r="G282" i="58"/>
  <c r="G282" i="37"/>
  <c r="G282" i="41" s="1"/>
  <c r="G274" i="37"/>
  <c r="G274" i="41" s="1"/>
  <c r="G274" i="58"/>
  <c r="G266" i="58"/>
  <c r="G266" i="37"/>
  <c r="G266" i="41" s="1"/>
  <c r="G258" i="37"/>
  <c r="G258" i="41" s="1"/>
  <c r="G258" i="58"/>
  <c r="G250" i="37"/>
  <c r="G250" i="41" s="1"/>
  <c r="G250" i="58"/>
  <c r="G242" i="58"/>
  <c r="G242" i="37"/>
  <c r="G242" i="41" s="1"/>
  <c r="G234" i="37"/>
  <c r="G234" i="41" s="1"/>
  <c r="G234" i="58"/>
  <c r="G226" i="37"/>
  <c r="G226" i="41" s="1"/>
  <c r="G226" i="58"/>
  <c r="G215" i="58"/>
  <c r="G215" i="37"/>
  <c r="G215" i="41" s="1"/>
  <c r="G204" i="37"/>
  <c r="G204" i="41" s="1"/>
  <c r="G204" i="58"/>
  <c r="G196" i="58"/>
  <c r="G196" i="37"/>
  <c r="G196" i="41" s="1"/>
  <c r="G188" i="58"/>
  <c r="G188" i="37"/>
  <c r="G188" i="41" s="1"/>
  <c r="G180" i="37"/>
  <c r="G180" i="41" s="1"/>
  <c r="G180" i="58"/>
  <c r="G172" i="37"/>
  <c r="G172" i="41" s="1"/>
  <c r="G172" i="58"/>
  <c r="G158" i="37"/>
  <c r="G158" i="41" s="1"/>
  <c r="G158" i="58"/>
  <c r="G150" i="58"/>
  <c r="G150" i="37"/>
  <c r="G150" i="41" s="1"/>
  <c r="G142" i="58"/>
  <c r="G142" i="37"/>
  <c r="G142" i="41" s="1"/>
  <c r="G131" i="58"/>
  <c r="G131" i="37"/>
  <c r="G131" i="41" s="1"/>
  <c r="G120" i="37"/>
  <c r="G120" i="41" s="1"/>
  <c r="G120" i="58"/>
  <c r="E459" i="58"/>
  <c r="E459" i="37"/>
  <c r="E459" i="41" s="1"/>
  <c r="E451" i="58"/>
  <c r="E451" i="37"/>
  <c r="E451" i="41" s="1"/>
  <c r="E442" i="37"/>
  <c r="E442" i="41" s="1"/>
  <c r="E442" i="58"/>
  <c r="E432" i="37"/>
  <c r="E432" i="41" s="1"/>
  <c r="E432" i="58"/>
  <c r="E422" i="58"/>
  <c r="E422" i="37"/>
  <c r="E422" i="41" s="1"/>
  <c r="E414" i="58"/>
  <c r="E414" i="37"/>
  <c r="E414" i="41" s="1"/>
  <c r="E405" i="37"/>
  <c r="E405" i="41" s="1"/>
  <c r="E405" i="58"/>
  <c r="E397" i="37"/>
  <c r="E397" i="41" s="1"/>
  <c r="E397" i="58"/>
  <c r="E389" i="58"/>
  <c r="E389" i="37"/>
  <c r="E389" i="41" s="1"/>
  <c r="E381" i="58"/>
  <c r="E381" i="37"/>
  <c r="E381" i="41" s="1"/>
  <c r="E373" i="37"/>
  <c r="E373" i="41" s="1"/>
  <c r="E373" i="58"/>
  <c r="E365" i="58"/>
  <c r="E365" i="37"/>
  <c r="E365" i="41" s="1"/>
  <c r="E357" i="37"/>
  <c r="E357" i="41" s="1"/>
  <c r="E357" i="58"/>
  <c r="E349" i="37"/>
  <c r="E349" i="41" s="1"/>
  <c r="E349" i="58"/>
  <c r="E341" i="37"/>
  <c r="E341" i="41" s="1"/>
  <c r="E341" i="58"/>
  <c r="E333" i="37"/>
  <c r="E333" i="41" s="1"/>
  <c r="E333" i="58"/>
  <c r="E325" i="37"/>
  <c r="E325" i="41" s="1"/>
  <c r="E325" i="58"/>
  <c r="E317" i="58"/>
  <c r="E317" i="37"/>
  <c r="E317" i="41" s="1"/>
  <c r="E309" i="58"/>
  <c r="E309" i="37"/>
  <c r="E309" i="41" s="1"/>
  <c r="E301" i="58"/>
  <c r="E301" i="37"/>
  <c r="E301" i="41" s="1"/>
  <c r="E293" i="58"/>
  <c r="E293" i="37"/>
  <c r="E293" i="41" s="1"/>
  <c r="E285" i="58"/>
  <c r="E285" i="37"/>
  <c r="E285" i="41" s="1"/>
  <c r="E277" i="37"/>
  <c r="E277" i="41" s="1"/>
  <c r="E277" i="58"/>
  <c r="E269" i="37"/>
  <c r="E269" i="41" s="1"/>
  <c r="E269" i="58"/>
  <c r="E261" i="58"/>
  <c r="E261" i="37"/>
  <c r="E261" i="41" s="1"/>
  <c r="E253" i="58"/>
  <c r="E253" i="37"/>
  <c r="E253" i="41" s="1"/>
  <c r="E245" i="37"/>
  <c r="E245" i="41" s="1"/>
  <c r="E245" i="58"/>
  <c r="E237" i="37"/>
  <c r="E237" i="41" s="1"/>
  <c r="E237" i="58"/>
  <c r="E229" i="58"/>
  <c r="E229" i="37"/>
  <c r="E229" i="41" s="1"/>
  <c r="E219" i="58"/>
  <c r="E219" i="37"/>
  <c r="E219" i="41" s="1"/>
  <c r="E208" i="37"/>
  <c r="E208" i="41" s="1"/>
  <c r="E208" i="58"/>
  <c r="E199" i="58"/>
  <c r="E199" i="37"/>
  <c r="E199" i="41" s="1"/>
  <c r="E191" i="58"/>
  <c r="E191" i="37"/>
  <c r="E191" i="41" s="1"/>
  <c r="E183" i="37"/>
  <c r="E183" i="41" s="1"/>
  <c r="E183" i="58"/>
  <c r="E175" i="37"/>
  <c r="E175" i="41" s="1"/>
  <c r="E175" i="58"/>
  <c r="E167" i="58"/>
  <c r="E167" i="37"/>
  <c r="E167" i="41" s="1"/>
  <c r="E159" i="58"/>
  <c r="E159" i="37"/>
  <c r="E159" i="41" s="1"/>
  <c r="E151" i="37"/>
  <c r="E151" i="41" s="1"/>
  <c r="E151" i="58"/>
  <c r="E143" i="58"/>
  <c r="E143" i="37"/>
  <c r="E143" i="41" s="1"/>
  <c r="E135" i="37"/>
  <c r="E135" i="41" s="1"/>
  <c r="E135" i="58"/>
  <c r="E127" i="37"/>
  <c r="E127" i="41" s="1"/>
  <c r="E127" i="58"/>
  <c r="E119" i="37"/>
  <c r="E119" i="41" s="1"/>
  <c r="E119" i="58"/>
  <c r="E111" i="58"/>
  <c r="E111" i="37"/>
  <c r="E111" i="41" s="1"/>
  <c r="E103" i="58"/>
  <c r="E103" i="37"/>
  <c r="E103" i="41" s="1"/>
  <c r="E95" i="58"/>
  <c r="E95" i="37"/>
  <c r="E95" i="41" s="1"/>
  <c r="E87" i="58"/>
  <c r="E87" i="37"/>
  <c r="E87" i="41" s="1"/>
  <c r="E79" i="58"/>
  <c r="E79" i="37"/>
  <c r="E79" i="41" s="1"/>
  <c r="E9" i="58"/>
  <c r="E9" i="37"/>
  <c r="E9" i="41" s="1"/>
  <c r="G72" i="58"/>
  <c r="I72" i="58" s="1"/>
  <c r="G72" i="37"/>
  <c r="G72" i="41" s="1"/>
  <c r="G68" i="58"/>
  <c r="I68" i="58" s="1"/>
  <c r="G68" i="37"/>
  <c r="G68" i="41" s="1"/>
  <c r="G64" i="37"/>
  <c r="G64" i="41" s="1"/>
  <c r="G64" i="58"/>
  <c r="H64" i="58" s="1"/>
  <c r="G60" i="58"/>
  <c r="H60" i="58" s="1"/>
  <c r="G60" i="37"/>
  <c r="G60" i="41" s="1"/>
  <c r="G56" i="37"/>
  <c r="G56" i="41" s="1"/>
  <c r="G56" i="58"/>
  <c r="I56" i="58" s="1"/>
  <c r="G52" i="37"/>
  <c r="G52" i="41" s="1"/>
  <c r="G52" i="58"/>
  <c r="I52" i="58" s="1"/>
  <c r="G48" i="58"/>
  <c r="H48" i="58" s="1"/>
  <c r="G48" i="37"/>
  <c r="G48" i="41" s="1"/>
  <c r="G44" i="37"/>
  <c r="G44" i="41" s="1"/>
  <c r="G44" i="58"/>
  <c r="I44" i="58" s="1"/>
  <c r="G40" i="37"/>
  <c r="G40" i="41" s="1"/>
  <c r="G40" i="58"/>
  <c r="I40" i="58" s="1"/>
  <c r="G36" i="37"/>
  <c r="G36" i="41" s="1"/>
  <c r="G36" i="58"/>
  <c r="I36" i="58" s="1"/>
  <c r="G32" i="37"/>
  <c r="G32" i="41" s="1"/>
  <c r="G32" i="58"/>
  <c r="I32" i="58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58"/>
  <c r="H16" i="58" s="1"/>
  <c r="G16" i="37"/>
  <c r="G16" i="41" s="1"/>
  <c r="G12" i="37"/>
  <c r="G12" i="58"/>
  <c r="E470" i="58"/>
  <c r="E470" i="37"/>
  <c r="E470" i="41" s="1"/>
  <c r="E225" i="58"/>
  <c r="E225" i="37"/>
  <c r="E225" i="41" s="1"/>
  <c r="H8" i="58"/>
  <c r="H8" i="37"/>
  <c r="E225" i="38"/>
  <c r="E270" i="38"/>
  <c r="H440" i="58"/>
  <c r="H440" i="37"/>
  <c r="E243" i="38"/>
  <c r="E198" i="38"/>
  <c r="E190" i="38"/>
  <c r="E235" i="38"/>
  <c r="I441" i="58"/>
  <c r="I441" i="37"/>
  <c r="E253" i="38"/>
  <c r="E208" i="38"/>
  <c r="E251" i="38"/>
  <c r="E206" i="38"/>
  <c r="J58" i="37"/>
  <c r="J58" i="58"/>
  <c r="J34" i="58"/>
  <c r="I70" i="58"/>
  <c r="I46" i="58"/>
  <c r="I46" i="37"/>
  <c r="I22" i="58"/>
  <c r="H64" i="37"/>
  <c r="H52" i="37"/>
  <c r="H40" i="37"/>
  <c r="I63" i="58"/>
  <c r="I63" i="37"/>
  <c r="I51" i="58"/>
  <c r="I51" i="37"/>
  <c r="I39" i="37"/>
  <c r="I39" i="58"/>
  <c r="I27" i="58"/>
  <c r="I15" i="37"/>
  <c r="I15" i="58"/>
  <c r="H66" i="58"/>
  <c r="H66" i="37"/>
  <c r="H54" i="37"/>
  <c r="H42" i="37"/>
  <c r="H42" i="41" s="1"/>
  <c r="H30" i="37"/>
  <c r="H30" i="41" s="1"/>
  <c r="H18" i="58"/>
  <c r="J47" i="37"/>
  <c r="J42" i="37"/>
  <c r="J42" i="58"/>
  <c r="J26" i="58"/>
  <c r="J26" i="37"/>
  <c r="J24" i="58"/>
  <c r="J24" i="37"/>
  <c r="J21" i="37"/>
  <c r="J21" i="58"/>
  <c r="J18" i="58"/>
  <c r="J15" i="37"/>
  <c r="G76" i="58"/>
  <c r="G76" i="37"/>
  <c r="G76" i="41" s="1"/>
  <c r="G407" i="58"/>
  <c r="G407" i="37"/>
  <c r="G407" i="41" s="1"/>
  <c r="G264" i="58"/>
  <c r="G264" i="37"/>
  <c r="G264" i="41" s="1"/>
  <c r="G212" i="37"/>
  <c r="G212" i="41" s="1"/>
  <c r="G212" i="58"/>
  <c r="G148" i="58"/>
  <c r="G148" i="37"/>
  <c r="G148" i="41" s="1"/>
  <c r="E457" i="58"/>
  <c r="E457" i="37"/>
  <c r="E457" i="41" s="1"/>
  <c r="E395" i="58"/>
  <c r="E395" i="37"/>
  <c r="E395" i="41" s="1"/>
  <c r="E339" i="58"/>
  <c r="E339" i="37"/>
  <c r="E339" i="41" s="1"/>
  <c r="E267" i="37"/>
  <c r="E267" i="41" s="1"/>
  <c r="E267" i="58"/>
  <c r="E216" i="58"/>
  <c r="E216" i="37"/>
  <c r="E216" i="41" s="1"/>
  <c r="E157" i="58"/>
  <c r="E157" i="37"/>
  <c r="E157" i="41" s="1"/>
  <c r="E109" i="37"/>
  <c r="E109" i="41" s="1"/>
  <c r="E109" i="58"/>
  <c r="G35" i="58"/>
  <c r="H35" i="58" s="1"/>
  <c r="G35" i="37"/>
  <c r="G35" i="41" s="1"/>
  <c r="I40" i="37"/>
  <c r="H61" i="37"/>
  <c r="H61" i="58"/>
  <c r="H25" i="58"/>
  <c r="H25" i="37"/>
  <c r="I24" i="37"/>
  <c r="I24" i="58"/>
  <c r="G7" i="58"/>
  <c r="G7" i="37"/>
  <c r="G7" i="41" s="1"/>
  <c r="G309" i="37"/>
  <c r="G309" i="41" s="1"/>
  <c r="G309" i="58"/>
  <c r="G435" i="58"/>
  <c r="G435" i="37"/>
  <c r="G435" i="41" s="1"/>
  <c r="G111" i="58"/>
  <c r="G111" i="37"/>
  <c r="G111" i="41" s="1"/>
  <c r="G313" i="58"/>
  <c r="G313" i="37"/>
  <c r="G313" i="41" s="1"/>
  <c r="G436" i="58"/>
  <c r="G436" i="37"/>
  <c r="G436" i="41" s="1"/>
  <c r="I8" i="58"/>
  <c r="I8" i="37"/>
  <c r="G369" i="37"/>
  <c r="G369" i="41" s="1"/>
  <c r="G369" i="58"/>
  <c r="G312" i="58"/>
  <c r="G312" i="37"/>
  <c r="G312" i="41" s="1"/>
  <c r="G269" i="37"/>
  <c r="G269" i="41" s="1"/>
  <c r="G269" i="58"/>
  <c r="G199" i="58"/>
  <c r="G199" i="37"/>
  <c r="G199" i="41" s="1"/>
  <c r="G3" i="37"/>
  <c r="G3" i="41" s="1"/>
  <c r="G3" i="58"/>
  <c r="G75" i="37"/>
  <c r="G75" i="41" s="1"/>
  <c r="G75" i="58"/>
  <c r="G83" i="58"/>
  <c r="G83" i="37"/>
  <c r="G83" i="41" s="1"/>
  <c r="G91" i="37"/>
  <c r="G91" i="41" s="1"/>
  <c r="G91" i="58"/>
  <c r="G99" i="58"/>
  <c r="G99" i="37"/>
  <c r="G99" i="41" s="1"/>
  <c r="G107" i="58"/>
  <c r="G107" i="37"/>
  <c r="G107" i="41" s="1"/>
  <c r="G115" i="37"/>
  <c r="G115" i="41" s="1"/>
  <c r="G115" i="58"/>
  <c r="G133" i="37"/>
  <c r="G133" i="41" s="1"/>
  <c r="G133" i="58"/>
  <c r="G167" i="58"/>
  <c r="G167" i="37"/>
  <c r="G167" i="41" s="1"/>
  <c r="G329" i="58"/>
  <c r="G329" i="37"/>
  <c r="G329" i="41" s="1"/>
  <c r="G405" i="37"/>
  <c r="G405" i="41" s="1"/>
  <c r="G405" i="58"/>
  <c r="G414" i="58"/>
  <c r="G414" i="37"/>
  <c r="G414" i="41" s="1"/>
  <c r="G422" i="37"/>
  <c r="G422" i="41" s="1"/>
  <c r="G422" i="58"/>
  <c r="G432" i="37"/>
  <c r="G432" i="41" s="1"/>
  <c r="G432" i="58"/>
  <c r="G442" i="37"/>
  <c r="G442" i="41" s="1"/>
  <c r="G442" i="58"/>
  <c r="G451" i="58"/>
  <c r="G451" i="37"/>
  <c r="G451" i="41" s="1"/>
  <c r="G459" i="37"/>
  <c r="G459" i="41" s="1"/>
  <c r="G459" i="58"/>
  <c r="G397" i="37"/>
  <c r="G397" i="41" s="1"/>
  <c r="G397" i="58"/>
  <c r="G389" i="58"/>
  <c r="G389" i="37"/>
  <c r="G389" i="41" s="1"/>
  <c r="G381" i="58"/>
  <c r="G381" i="37"/>
  <c r="G381" i="41" s="1"/>
  <c r="G373" i="58"/>
  <c r="G373" i="37"/>
  <c r="G373" i="41" s="1"/>
  <c r="G365" i="37"/>
  <c r="G365" i="41" s="1"/>
  <c r="G365" i="58"/>
  <c r="G357" i="58"/>
  <c r="G357" i="37"/>
  <c r="G357" i="41" s="1"/>
  <c r="G349" i="37"/>
  <c r="G349" i="41" s="1"/>
  <c r="G349" i="58"/>
  <c r="G339" i="37"/>
  <c r="G339" i="41" s="1"/>
  <c r="G339" i="58"/>
  <c r="G328" i="58"/>
  <c r="G328" i="37"/>
  <c r="G328" i="41" s="1"/>
  <c r="G318" i="58"/>
  <c r="G318" i="37"/>
  <c r="G318" i="41" s="1"/>
  <c r="G307" i="58"/>
  <c r="G307" i="37"/>
  <c r="G307" i="41" s="1"/>
  <c r="G297" i="37"/>
  <c r="G297" i="41" s="1"/>
  <c r="G297" i="58"/>
  <c r="G289" i="37"/>
  <c r="G289" i="41" s="1"/>
  <c r="G289" i="58"/>
  <c r="G281" i="58"/>
  <c r="G281" i="37"/>
  <c r="G281" i="41" s="1"/>
  <c r="G273" i="58"/>
  <c r="G273" i="37"/>
  <c r="G273" i="41" s="1"/>
  <c r="G265" i="58"/>
  <c r="G265" i="37"/>
  <c r="G265" i="41" s="1"/>
  <c r="G257" i="37"/>
  <c r="G257" i="41" s="1"/>
  <c r="G257" i="58"/>
  <c r="G249" i="37"/>
  <c r="G249" i="41" s="1"/>
  <c r="G249" i="58"/>
  <c r="G241" i="58"/>
  <c r="G241" i="37"/>
  <c r="G241" i="41" s="1"/>
  <c r="G233" i="58"/>
  <c r="G233" i="37"/>
  <c r="G233" i="41" s="1"/>
  <c r="G224" i="58"/>
  <c r="G224" i="37"/>
  <c r="G224" i="41" s="1"/>
  <c r="G214" i="58"/>
  <c r="G214" i="37"/>
  <c r="G214" i="41" s="1"/>
  <c r="G203" i="37"/>
  <c r="G203" i="41" s="1"/>
  <c r="G203" i="58"/>
  <c r="G195" i="58"/>
  <c r="G195" i="37"/>
  <c r="G195" i="41" s="1"/>
  <c r="G187" i="58"/>
  <c r="G187" i="37"/>
  <c r="G187" i="41" s="1"/>
  <c r="G179" i="37"/>
  <c r="G179" i="41" s="1"/>
  <c r="G179" i="58"/>
  <c r="G171" i="58"/>
  <c r="G171" i="37"/>
  <c r="G171" i="41" s="1"/>
  <c r="G157" i="58"/>
  <c r="G157" i="37"/>
  <c r="G157" i="41" s="1"/>
  <c r="G149" i="58"/>
  <c r="G149" i="37"/>
  <c r="G149" i="41" s="1"/>
  <c r="G140" i="37"/>
  <c r="G140" i="41" s="1"/>
  <c r="G140" i="58"/>
  <c r="G130" i="37"/>
  <c r="G130" i="41" s="1"/>
  <c r="G130" i="58"/>
  <c r="E458" i="37"/>
  <c r="E458" i="41" s="1"/>
  <c r="E458" i="58"/>
  <c r="E450" i="58"/>
  <c r="E450" i="37"/>
  <c r="E450" i="41" s="1"/>
  <c r="E441" i="37"/>
  <c r="E441" i="41" s="1"/>
  <c r="E441" i="58"/>
  <c r="E431" i="58"/>
  <c r="E431" i="37"/>
  <c r="E431" i="41" s="1"/>
  <c r="E421" i="37"/>
  <c r="E421" i="41" s="1"/>
  <c r="E421" i="58"/>
  <c r="E413" i="58"/>
  <c r="E413" i="37"/>
  <c r="E413" i="41" s="1"/>
  <c r="E404" i="37"/>
  <c r="E404" i="41" s="1"/>
  <c r="E404" i="58"/>
  <c r="E396" i="37"/>
  <c r="E396" i="41" s="1"/>
  <c r="E396" i="58"/>
  <c r="E388" i="37"/>
  <c r="E388" i="41" s="1"/>
  <c r="E388" i="58"/>
  <c r="E380" i="58"/>
  <c r="E380" i="37"/>
  <c r="E380" i="41" s="1"/>
  <c r="E372" i="58"/>
  <c r="E372" i="37"/>
  <c r="E372" i="41" s="1"/>
  <c r="E364" i="58"/>
  <c r="E364" i="37"/>
  <c r="E364" i="41" s="1"/>
  <c r="E356" i="37"/>
  <c r="E356" i="41" s="1"/>
  <c r="E356" i="58"/>
  <c r="E348" i="58"/>
  <c r="E348" i="37"/>
  <c r="E348" i="41" s="1"/>
  <c r="E340" i="58"/>
  <c r="E340" i="37"/>
  <c r="E340" i="41" s="1"/>
  <c r="E332" i="37"/>
  <c r="E332" i="41" s="1"/>
  <c r="E332" i="58"/>
  <c r="E324" i="37"/>
  <c r="E324" i="41" s="1"/>
  <c r="E324" i="58"/>
  <c r="E316" i="37"/>
  <c r="E316" i="41" s="1"/>
  <c r="E316" i="58"/>
  <c r="E308" i="58"/>
  <c r="E308" i="37"/>
  <c r="E308" i="41" s="1"/>
  <c r="E300" i="37"/>
  <c r="E300" i="41" s="1"/>
  <c r="E300" i="58"/>
  <c r="E292" i="37"/>
  <c r="E292" i="41" s="1"/>
  <c r="E292" i="58"/>
  <c r="E284" i="37"/>
  <c r="E284" i="41" s="1"/>
  <c r="E284" i="58"/>
  <c r="E276" i="37"/>
  <c r="E276" i="41" s="1"/>
  <c r="E276" i="58"/>
  <c r="E268" i="58"/>
  <c r="E268" i="37"/>
  <c r="E268" i="41" s="1"/>
  <c r="E260" i="37"/>
  <c r="E260" i="41" s="1"/>
  <c r="E260" i="58"/>
  <c r="E252" i="37"/>
  <c r="E252" i="41" s="1"/>
  <c r="E252" i="58"/>
  <c r="E244" i="37"/>
  <c r="E244" i="41" s="1"/>
  <c r="E244" i="58"/>
  <c r="E236" i="58"/>
  <c r="E236" i="37"/>
  <c r="E236" i="41" s="1"/>
  <c r="E228" i="58"/>
  <c r="E228" i="37"/>
  <c r="E228" i="41" s="1"/>
  <c r="E218" i="37"/>
  <c r="E218" i="41" s="1"/>
  <c r="E218" i="58"/>
  <c r="E207" i="37"/>
  <c r="E207" i="41" s="1"/>
  <c r="E207" i="58"/>
  <c r="E198" i="58"/>
  <c r="E198" i="37"/>
  <c r="E198" i="41" s="1"/>
  <c r="E190" i="37"/>
  <c r="E190" i="41" s="1"/>
  <c r="E190" i="58"/>
  <c r="E182" i="37"/>
  <c r="E182" i="41" s="1"/>
  <c r="E182" i="58"/>
  <c r="E174" i="58"/>
  <c r="E174" i="37"/>
  <c r="E174" i="41" s="1"/>
  <c r="E166" i="37"/>
  <c r="E166" i="41" s="1"/>
  <c r="E166" i="58"/>
  <c r="E158" i="58"/>
  <c r="E158" i="37"/>
  <c r="E158" i="41" s="1"/>
  <c r="E150" i="37"/>
  <c r="E150" i="41" s="1"/>
  <c r="E150" i="58"/>
  <c r="E142" i="58"/>
  <c r="E142" i="37"/>
  <c r="E142" i="41" s="1"/>
  <c r="E134" i="58"/>
  <c r="E134" i="37"/>
  <c r="E134" i="41" s="1"/>
  <c r="E126" i="58"/>
  <c r="E126" i="37"/>
  <c r="E126" i="41" s="1"/>
  <c r="E118" i="58"/>
  <c r="E118" i="37"/>
  <c r="E118" i="41" s="1"/>
  <c r="E110" i="58"/>
  <c r="E110" i="37"/>
  <c r="E110" i="41" s="1"/>
  <c r="E102" i="37"/>
  <c r="E102" i="41" s="1"/>
  <c r="E102" i="58"/>
  <c r="E94" i="58"/>
  <c r="E94" i="37"/>
  <c r="E94" i="41" s="1"/>
  <c r="E86" i="58"/>
  <c r="E86" i="37"/>
  <c r="E86" i="41" s="1"/>
  <c r="E78" i="58"/>
  <c r="E78" i="37"/>
  <c r="E78" i="41" s="1"/>
  <c r="E8" i="58"/>
  <c r="E8" i="37"/>
  <c r="E8" i="41" s="1"/>
  <c r="E72" i="58"/>
  <c r="E72" i="37"/>
  <c r="E72" i="41" s="1"/>
  <c r="E68" i="58"/>
  <c r="E68" i="37"/>
  <c r="E6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E269" i="38"/>
  <c r="H448" i="58"/>
  <c r="H448" i="37"/>
  <c r="H438" i="58"/>
  <c r="H438" i="37"/>
  <c r="E242" i="38"/>
  <c r="E197" i="38"/>
  <c r="E189" i="38"/>
  <c r="E234" i="38"/>
  <c r="I440" i="37"/>
  <c r="I440" i="58"/>
  <c r="E261" i="38"/>
  <c r="E216" i="38"/>
  <c r="E255" i="38"/>
  <c r="E210" i="38"/>
  <c r="J55" i="37"/>
  <c r="J31" i="37"/>
  <c r="I67" i="37"/>
  <c r="I67" i="41" s="1"/>
  <c r="I43" i="58"/>
  <c r="I19" i="37"/>
  <c r="J163" i="37"/>
  <c r="J163" i="58"/>
  <c r="I62" i="37"/>
  <c r="I62" i="41" s="1"/>
  <c r="I50" i="37"/>
  <c r="I38" i="58"/>
  <c r="I26" i="37"/>
  <c r="I26" i="58"/>
  <c r="I14" i="37"/>
  <c r="I14" i="58"/>
  <c r="H53" i="37"/>
  <c r="H53" i="58"/>
  <c r="H41" i="37"/>
  <c r="H41" i="41" s="1"/>
  <c r="H29" i="37"/>
  <c r="J69" i="58"/>
  <c r="J69" i="37"/>
  <c r="J53" i="37"/>
  <c r="J53" i="41" s="1"/>
  <c r="J35" i="37"/>
  <c r="J30" i="37"/>
  <c r="J30" i="58"/>
  <c r="P22" i="66"/>
  <c r="V22" i="66" s="1"/>
  <c r="S22" i="66"/>
  <c r="R22" i="66"/>
  <c r="W22" i="66"/>
  <c r="D16" i="34"/>
  <c r="D19" i="34" s="1"/>
  <c r="H15" i="58" l="1"/>
  <c r="J47" i="58"/>
  <c r="H16" i="37"/>
  <c r="I43" i="37"/>
  <c r="H22" i="37"/>
  <c r="H29" i="41"/>
  <c r="H37" i="41"/>
  <c r="J15" i="41"/>
  <c r="J65" i="58"/>
  <c r="I49" i="37"/>
  <c r="H17" i="37"/>
  <c r="H17" i="41" s="1"/>
  <c r="J66" i="58"/>
  <c r="J66" i="41" s="1"/>
  <c r="H23" i="37"/>
  <c r="H23" i="41" s="1"/>
  <c r="I34" i="37"/>
  <c r="I34" i="41" s="1"/>
  <c r="H18" i="37"/>
  <c r="H18" i="41" s="1"/>
  <c r="H28" i="37"/>
  <c r="J36" i="58"/>
  <c r="J67" i="37"/>
  <c r="I18" i="37"/>
  <c r="I18" i="41" s="1"/>
  <c r="I50" i="58"/>
  <c r="I50" i="41" s="1"/>
  <c r="J18" i="37"/>
  <c r="J18" i="41" s="1"/>
  <c r="H52" i="58"/>
  <c r="H52" i="41" s="1"/>
  <c r="J34" i="37"/>
  <c r="J34" i="41" s="1"/>
  <c r="H68" i="37"/>
  <c r="I65" i="58"/>
  <c r="H33" i="37"/>
  <c r="H34" i="37"/>
  <c r="I17" i="37"/>
  <c r="I70" i="37"/>
  <c r="I70" i="41" s="1"/>
  <c r="H56" i="37"/>
  <c r="J35" i="58"/>
  <c r="J35" i="41" s="1"/>
  <c r="I38" i="37"/>
  <c r="I38" i="41" s="1"/>
  <c r="J65" i="37"/>
  <c r="J43" i="58"/>
  <c r="H67" i="37"/>
  <c r="H65" i="37"/>
  <c r="H65" i="41" s="1"/>
  <c r="I60" i="58"/>
  <c r="J38" i="37"/>
  <c r="J38" i="41" s="1"/>
  <c r="I17" i="58"/>
  <c r="I65" i="37"/>
  <c r="I54" i="58"/>
  <c r="I54" i="41" s="1"/>
  <c r="J22" i="37"/>
  <c r="J22" i="41" s="1"/>
  <c r="H14" i="37"/>
  <c r="I22" i="37"/>
  <c r="I22" i="41" s="1"/>
  <c r="I23" i="37"/>
  <c r="J55" i="58"/>
  <c r="J55" i="41" s="1"/>
  <c r="I27" i="37"/>
  <c r="I27" i="41" s="1"/>
  <c r="H28" i="58"/>
  <c r="J54" i="58"/>
  <c r="J54" i="41" s="1"/>
  <c r="J59" i="37"/>
  <c r="J27" i="37"/>
  <c r="J27" i="41" s="1"/>
  <c r="H33" i="58"/>
  <c r="H49" i="37"/>
  <c r="H32" i="58"/>
  <c r="I55" i="58"/>
  <c r="I55" i="41" s="1"/>
  <c r="H47" i="37"/>
  <c r="H451" i="41"/>
  <c r="I40" i="41"/>
  <c r="H34" i="41"/>
  <c r="I19" i="41"/>
  <c r="H440" i="41"/>
  <c r="H55" i="41"/>
  <c r="J71" i="41"/>
  <c r="H69" i="41"/>
  <c r="J31" i="41"/>
  <c r="I49" i="41"/>
  <c r="H53" i="41"/>
  <c r="H64" i="41"/>
  <c r="I450" i="41"/>
  <c r="J61" i="41"/>
  <c r="J446" i="41"/>
  <c r="I440" i="41"/>
  <c r="I451" i="41"/>
  <c r="I24" i="41"/>
  <c r="I15" i="41"/>
  <c r="J447" i="41"/>
  <c r="J58" i="41"/>
  <c r="I445" i="41"/>
  <c r="H73" i="41"/>
  <c r="J438" i="41"/>
  <c r="H58" i="41"/>
  <c r="I14" i="41"/>
  <c r="I29" i="41"/>
  <c r="H163" i="41"/>
  <c r="I446" i="41"/>
  <c r="H162" i="41"/>
  <c r="J450" i="41"/>
  <c r="H61" i="41"/>
  <c r="J21" i="41"/>
  <c r="H54" i="41"/>
  <c r="I39" i="41"/>
  <c r="I41" i="41"/>
  <c r="Q166" i="66"/>
  <c r="I26" i="41"/>
  <c r="J30" i="41"/>
  <c r="H438" i="41"/>
  <c r="J451" i="41"/>
  <c r="J24" i="41"/>
  <c r="H66" i="41"/>
  <c r="I51" i="41"/>
  <c r="J37" i="41"/>
  <c r="H45" i="41"/>
  <c r="I42" i="41"/>
  <c r="J436" i="41"/>
  <c r="H71" i="41"/>
  <c r="H63" i="41"/>
  <c r="I438" i="41"/>
  <c r="I357" i="37"/>
  <c r="I357" i="58"/>
  <c r="J208" i="37"/>
  <c r="J208" i="58"/>
  <c r="J292" i="58"/>
  <c r="J292" i="37"/>
  <c r="I157" i="58"/>
  <c r="I157" i="37"/>
  <c r="I283" i="37"/>
  <c r="I283" i="58"/>
  <c r="H175" i="37"/>
  <c r="H175" i="58"/>
  <c r="J276" i="37"/>
  <c r="J276" i="58"/>
  <c r="H152" i="37"/>
  <c r="H152" i="58"/>
  <c r="I431" i="37"/>
  <c r="G91" i="66"/>
  <c r="N91" i="66" s="1"/>
  <c r="G77" i="66"/>
  <c r="I423" i="37"/>
  <c r="H44" i="37"/>
  <c r="G211" i="66"/>
  <c r="I419" i="58"/>
  <c r="G265" i="66"/>
  <c r="J418" i="58"/>
  <c r="E357" i="38"/>
  <c r="K75" i="66" s="1"/>
  <c r="N75" i="66" s="1"/>
  <c r="O219" i="66" s="1"/>
  <c r="I454" i="41"/>
  <c r="J428" i="37"/>
  <c r="G124" i="66"/>
  <c r="N124" i="66" s="1"/>
  <c r="J32" i="58"/>
  <c r="H31" i="37"/>
  <c r="J16" i="58"/>
  <c r="G76" i="66"/>
  <c r="N76" i="66" s="1"/>
  <c r="I428" i="37"/>
  <c r="G115" i="66"/>
  <c r="J419" i="37"/>
  <c r="I64" i="37"/>
  <c r="G125" i="66"/>
  <c r="J423" i="37"/>
  <c r="J11" i="58"/>
  <c r="H11" i="58"/>
  <c r="I11" i="58"/>
  <c r="I20" i="58"/>
  <c r="J56" i="37"/>
  <c r="H72" i="58"/>
  <c r="I69" i="37"/>
  <c r="I69" i="41" s="1"/>
  <c r="G216" i="66"/>
  <c r="I420" i="58"/>
  <c r="H46" i="37"/>
  <c r="H46" i="41" s="1"/>
  <c r="G46" i="41"/>
  <c r="H62" i="58"/>
  <c r="I59" i="37"/>
  <c r="J49" i="58"/>
  <c r="G209" i="66"/>
  <c r="I430" i="58"/>
  <c r="E390" i="38"/>
  <c r="J20" i="37"/>
  <c r="J181" i="37"/>
  <c r="J181" i="58"/>
  <c r="I213" i="58"/>
  <c r="I213" i="37"/>
  <c r="I313" i="58"/>
  <c r="I313" i="37"/>
  <c r="I379" i="37"/>
  <c r="I379" i="58"/>
  <c r="I361" i="58"/>
  <c r="I361" i="37"/>
  <c r="I162" i="58"/>
  <c r="I162" i="37"/>
  <c r="H404" i="58"/>
  <c r="F174" i="66" s="1"/>
  <c r="N174" i="66" s="1"/>
  <c r="H404" i="37"/>
  <c r="I43" i="41"/>
  <c r="I431" i="58"/>
  <c r="G235" i="66"/>
  <c r="N235" i="66" s="1"/>
  <c r="I423" i="58"/>
  <c r="G221" i="66"/>
  <c r="H56" i="58"/>
  <c r="I419" i="37"/>
  <c r="G67" i="66"/>
  <c r="J418" i="37"/>
  <c r="G121" i="66"/>
  <c r="J43" i="37"/>
  <c r="G268" i="66"/>
  <c r="N268" i="66" s="1"/>
  <c r="J428" i="58"/>
  <c r="H51" i="41"/>
  <c r="J32" i="37"/>
  <c r="I66" i="41"/>
  <c r="H43" i="37"/>
  <c r="H43" i="41" s="1"/>
  <c r="J40" i="37"/>
  <c r="G213" i="66"/>
  <c r="N213" i="66" s="1"/>
  <c r="I432" i="58"/>
  <c r="G112" i="66"/>
  <c r="J427" i="37"/>
  <c r="J73" i="41"/>
  <c r="H57" i="37"/>
  <c r="H57" i="41" s="1"/>
  <c r="G57" i="41"/>
  <c r="I64" i="58"/>
  <c r="J423" i="58"/>
  <c r="G269" i="66"/>
  <c r="H11" i="37"/>
  <c r="I11" i="37"/>
  <c r="G11" i="41"/>
  <c r="J11" i="37"/>
  <c r="J39" i="41"/>
  <c r="I20" i="37"/>
  <c r="J72" i="58"/>
  <c r="H72" i="37"/>
  <c r="H22" i="58"/>
  <c r="I58" i="41"/>
  <c r="G89" i="66"/>
  <c r="I422" i="37"/>
  <c r="G100" i="66"/>
  <c r="J421" i="37"/>
  <c r="H27" i="37"/>
  <c r="H27" i="41" s="1"/>
  <c r="J68" i="37"/>
  <c r="H62" i="37"/>
  <c r="I71" i="37"/>
  <c r="I71" i="41" s="1"/>
  <c r="J49" i="37"/>
  <c r="I436" i="41"/>
  <c r="J422" i="58"/>
  <c r="G281" i="66"/>
  <c r="J20" i="58"/>
  <c r="H15" i="4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J453" i="37"/>
  <c r="J453" i="58"/>
  <c r="E380" i="38" s="1"/>
  <c r="K285" i="66" s="1"/>
  <c r="N285" i="66" s="1"/>
  <c r="J455" i="58"/>
  <c r="E382" i="38" s="1"/>
  <c r="K251" i="66" s="1"/>
  <c r="N251" i="66" s="1"/>
  <c r="H448" i="41"/>
  <c r="J26" i="41"/>
  <c r="I63" i="41"/>
  <c r="I441" i="41"/>
  <c r="G287" i="66"/>
  <c r="N287" i="66" s="1"/>
  <c r="J425" i="58"/>
  <c r="I12" i="58"/>
  <c r="J12" i="58"/>
  <c r="H12" i="58"/>
  <c r="J59" i="58"/>
  <c r="G148" i="66"/>
  <c r="H421" i="58"/>
  <c r="G127" i="66"/>
  <c r="J426" i="37"/>
  <c r="I31" i="58"/>
  <c r="J67" i="41"/>
  <c r="J48" i="58"/>
  <c r="H21" i="41"/>
  <c r="J40" i="58"/>
  <c r="I432" i="37"/>
  <c r="G69" i="66"/>
  <c r="N69" i="66" s="1"/>
  <c r="G256" i="66"/>
  <c r="J427" i="58"/>
  <c r="I48" i="58"/>
  <c r="J28" i="37"/>
  <c r="H418" i="58"/>
  <c r="G169" i="66"/>
  <c r="G139" i="66"/>
  <c r="N139" i="66" s="1"/>
  <c r="J431" i="37"/>
  <c r="H35" i="37"/>
  <c r="H35" i="41" s="1"/>
  <c r="I32" i="37"/>
  <c r="I32" i="41" s="1"/>
  <c r="J72" i="37"/>
  <c r="I21" i="37"/>
  <c r="G233" i="66"/>
  <c r="I422" i="58"/>
  <c r="J421" i="58"/>
  <c r="G244" i="66"/>
  <c r="J68" i="58"/>
  <c r="I23" i="58"/>
  <c r="I163" i="41"/>
  <c r="G17" i="66"/>
  <c r="E386" i="38"/>
  <c r="H430" i="37"/>
  <c r="J422" i="37"/>
  <c r="G137" i="66"/>
  <c r="J23" i="58"/>
  <c r="I36" i="37"/>
  <c r="I36" i="41" s="1"/>
  <c r="U22" i="66"/>
  <c r="Q22" i="66"/>
  <c r="J230" i="58"/>
  <c r="J230" i="37"/>
  <c r="G143" i="66"/>
  <c r="J425" i="37"/>
  <c r="J12" i="37"/>
  <c r="I12" i="37"/>
  <c r="G12" i="41"/>
  <c r="H12" i="37"/>
  <c r="H421" i="37"/>
  <c r="G4" i="66"/>
  <c r="G271" i="66"/>
  <c r="N271" i="66" s="1"/>
  <c r="J426" i="58"/>
  <c r="I455" i="41"/>
  <c r="E358" i="38"/>
  <c r="K59" i="66" s="1"/>
  <c r="N59" i="66" s="1"/>
  <c r="I31" i="37"/>
  <c r="I72" i="37"/>
  <c r="I72" i="41" s="1"/>
  <c r="T166" i="66"/>
  <c r="J48" i="37"/>
  <c r="J64" i="37"/>
  <c r="H422" i="58"/>
  <c r="G185" i="66"/>
  <c r="J13" i="37"/>
  <c r="I13" i="37"/>
  <c r="H13" i="37"/>
  <c r="G13" i="41"/>
  <c r="I48" i="37"/>
  <c r="J28" i="58"/>
  <c r="H418" i="37"/>
  <c r="G25" i="66"/>
  <c r="G283" i="66"/>
  <c r="N283" i="66" s="1"/>
  <c r="J431" i="58"/>
  <c r="J44" i="58"/>
  <c r="H47" i="58"/>
  <c r="I68" i="37"/>
  <c r="I68" i="41" s="1"/>
  <c r="J33" i="37"/>
  <c r="H24" i="37"/>
  <c r="H24" i="41" s="1"/>
  <c r="I21" i="58"/>
  <c r="G231" i="66"/>
  <c r="I424" i="58"/>
  <c r="G161" i="66"/>
  <c r="E389" i="38"/>
  <c r="H430" i="58"/>
  <c r="G47" i="66"/>
  <c r="N47" i="66" s="1"/>
  <c r="H425" i="37"/>
  <c r="E391" i="38"/>
  <c r="G257" i="66"/>
  <c r="J430" i="58"/>
  <c r="J23" i="37"/>
  <c r="H426" i="58"/>
  <c r="G175" i="66"/>
  <c r="N175" i="66" s="1"/>
  <c r="J235" i="37"/>
  <c r="J235" i="58"/>
  <c r="I208" i="58"/>
  <c r="I208" i="37"/>
  <c r="H290" i="58"/>
  <c r="H290" i="37"/>
  <c r="J8" i="58"/>
  <c r="J8" i="37"/>
  <c r="T22" i="66"/>
  <c r="J69" i="41"/>
  <c r="H419" i="58"/>
  <c r="G163" i="66"/>
  <c r="J424" i="58"/>
  <c r="G279" i="66"/>
  <c r="I8" i="41"/>
  <c r="C16" i="63"/>
  <c r="H25" i="41"/>
  <c r="J42" i="41"/>
  <c r="H16" i="41"/>
  <c r="G168" i="66"/>
  <c r="H420" i="58"/>
  <c r="H8" i="41"/>
  <c r="C7" i="63"/>
  <c r="I44" i="37"/>
  <c r="I44" i="41" s="1"/>
  <c r="J36" i="37"/>
  <c r="H20" i="37"/>
  <c r="H20" i="41" s="1"/>
  <c r="H68" i="58"/>
  <c r="I53" i="41"/>
  <c r="H431" i="58"/>
  <c r="G187" i="66"/>
  <c r="N187" i="66" s="1"/>
  <c r="J445" i="41"/>
  <c r="E259" i="38"/>
  <c r="E36" i="34"/>
  <c r="E214" i="38"/>
  <c r="F32" i="34"/>
  <c r="X166" i="66"/>
  <c r="J50" i="41"/>
  <c r="I30" i="41"/>
  <c r="H67" i="58"/>
  <c r="J64" i="58"/>
  <c r="H422" i="37"/>
  <c r="G41" i="66"/>
  <c r="I13" i="58"/>
  <c r="J13" i="58"/>
  <c r="H13" i="58"/>
  <c r="H49" i="58"/>
  <c r="J52" i="37"/>
  <c r="J44" i="37"/>
  <c r="G264" i="66"/>
  <c r="J420" i="58"/>
  <c r="J33" i="58"/>
  <c r="H36" i="58"/>
  <c r="I33" i="37"/>
  <c r="I33" i="41" s="1"/>
  <c r="G87" i="66"/>
  <c r="I424" i="37"/>
  <c r="J440" i="41"/>
  <c r="J70" i="37"/>
  <c r="G70" i="41"/>
  <c r="J29" i="58"/>
  <c r="H14" i="58"/>
  <c r="I35" i="58"/>
  <c r="I37" i="58"/>
  <c r="G217" i="66"/>
  <c r="I418" i="58"/>
  <c r="H425" i="58"/>
  <c r="G191" i="66"/>
  <c r="N191" i="66" s="1"/>
  <c r="G113" i="66"/>
  <c r="E388" i="38"/>
  <c r="J430" i="37"/>
  <c r="J41" i="58"/>
  <c r="G31" i="66"/>
  <c r="N31" i="66" s="1"/>
  <c r="H426" i="37"/>
  <c r="I363" i="58"/>
  <c r="I363" i="37"/>
  <c r="H419" i="37"/>
  <c r="G19" i="66"/>
  <c r="J424" i="37"/>
  <c r="G135" i="66"/>
  <c r="C43" i="63"/>
  <c r="G24" i="66"/>
  <c r="H420" i="37"/>
  <c r="C34" i="63"/>
  <c r="H431" i="37"/>
  <c r="G43" i="66"/>
  <c r="N43" i="66" s="1"/>
  <c r="H19" i="37"/>
  <c r="I28" i="37"/>
  <c r="I28" i="41" s="1"/>
  <c r="G79" i="66"/>
  <c r="I426" i="37"/>
  <c r="G21" i="66"/>
  <c r="N21" i="66" s="1"/>
  <c r="H432" i="37"/>
  <c r="I56" i="37"/>
  <c r="I56" i="41" s="1"/>
  <c r="J52" i="58"/>
  <c r="H436" i="41"/>
  <c r="J60" i="58"/>
  <c r="H59" i="37"/>
  <c r="H59" i="41" s="1"/>
  <c r="G120" i="66"/>
  <c r="J420" i="37"/>
  <c r="H36" i="37"/>
  <c r="I45" i="58"/>
  <c r="J46" i="37"/>
  <c r="J46" i="41" s="1"/>
  <c r="H424" i="37"/>
  <c r="G39" i="66"/>
  <c r="J29" i="37"/>
  <c r="H26" i="37"/>
  <c r="H26" i="41" s="1"/>
  <c r="I35" i="37"/>
  <c r="I37" i="37"/>
  <c r="I418" i="37"/>
  <c r="G73" i="66"/>
  <c r="J14" i="37"/>
  <c r="J14" i="41" s="1"/>
  <c r="J41" i="37"/>
  <c r="J266" i="37"/>
  <c r="J266" i="58"/>
  <c r="I298" i="58"/>
  <c r="I298" i="37"/>
  <c r="I256" i="37"/>
  <c r="I256" i="58"/>
  <c r="I395" i="37"/>
  <c r="I395" i="58"/>
  <c r="J141" i="37"/>
  <c r="J141" i="58"/>
  <c r="I230" i="37"/>
  <c r="I230" i="58"/>
  <c r="X22" i="66"/>
  <c r="J163" i="41"/>
  <c r="G95" i="66"/>
  <c r="I425" i="37"/>
  <c r="G16" i="66"/>
  <c r="H427" i="37"/>
  <c r="G261" i="66"/>
  <c r="N261" i="66" s="1"/>
  <c r="J432" i="58"/>
  <c r="J47" i="41"/>
  <c r="I46" i="41"/>
  <c r="I421" i="37"/>
  <c r="G52" i="66"/>
  <c r="H428" i="37"/>
  <c r="G28" i="66"/>
  <c r="N28" i="66" s="1"/>
  <c r="I447" i="41"/>
  <c r="I60" i="37"/>
  <c r="H32" i="37"/>
  <c r="G10" i="66"/>
  <c r="H429" i="37"/>
  <c r="H441" i="41"/>
  <c r="I453" i="41"/>
  <c r="E356" i="38"/>
  <c r="K93" i="66" s="1"/>
  <c r="N93" i="66" s="1"/>
  <c r="J19" i="37"/>
  <c r="G173" i="66"/>
  <c r="H423" i="58"/>
  <c r="H19" i="58"/>
  <c r="I52" i="37"/>
  <c r="I52" i="41" s="1"/>
  <c r="G223" i="66"/>
  <c r="N223" i="66" s="1"/>
  <c r="I426" i="58"/>
  <c r="G165" i="66"/>
  <c r="N165" i="66" s="1"/>
  <c r="H432" i="58"/>
  <c r="I16" i="37"/>
  <c r="I427" i="37"/>
  <c r="G64" i="66"/>
  <c r="J60" i="37"/>
  <c r="J51" i="37"/>
  <c r="J51" i="41" s="1"/>
  <c r="H48" i="37"/>
  <c r="H48" i="41" s="1"/>
  <c r="I45" i="37"/>
  <c r="H70" i="41"/>
  <c r="J70" i="58"/>
  <c r="G183" i="66"/>
  <c r="H424" i="58"/>
  <c r="J448" i="41"/>
  <c r="J45" i="37"/>
  <c r="J45" i="41" s="1"/>
  <c r="H38" i="37"/>
  <c r="H38" i="41" s="1"/>
  <c r="I47" i="37"/>
  <c r="I47" i="41" s="1"/>
  <c r="I61" i="37"/>
  <c r="I61" i="41" s="1"/>
  <c r="H446" i="41"/>
  <c r="J441" i="41"/>
  <c r="J17" i="58"/>
  <c r="J57" i="58"/>
  <c r="J341" i="58"/>
  <c r="J341" i="37"/>
  <c r="I235" i="58"/>
  <c r="I235" i="37"/>
  <c r="J162" i="58"/>
  <c r="J162" i="37"/>
  <c r="H251" i="58"/>
  <c r="H251" i="37"/>
  <c r="I425" i="58"/>
  <c r="G239" i="66"/>
  <c r="N239" i="66" s="1"/>
  <c r="H427" i="58"/>
  <c r="G160" i="66"/>
  <c r="G117" i="66"/>
  <c r="N117" i="66" s="1"/>
  <c r="J432" i="37"/>
  <c r="H40" i="58"/>
  <c r="H40" i="41" s="1"/>
  <c r="G196" i="66"/>
  <c r="I421" i="58"/>
  <c r="G172" i="66"/>
  <c r="N172" i="66" s="1"/>
  <c r="H428" i="58"/>
  <c r="H44" i="58"/>
  <c r="I25" i="41"/>
  <c r="H429" i="58"/>
  <c r="G154" i="66"/>
  <c r="E359" i="38"/>
  <c r="K57" i="66" s="1"/>
  <c r="N57" i="66" s="1"/>
  <c r="I456" i="41"/>
  <c r="J19" i="58"/>
  <c r="G29" i="66"/>
  <c r="H423" i="37"/>
  <c r="H31" i="58"/>
  <c r="J16" i="37"/>
  <c r="G220" i="66"/>
  <c r="N220" i="66" s="1"/>
  <c r="I428" i="58"/>
  <c r="G259" i="66"/>
  <c r="J419" i="58"/>
  <c r="I16" i="58"/>
  <c r="G208" i="66"/>
  <c r="I427" i="58"/>
  <c r="H447" i="41"/>
  <c r="J62" i="41"/>
  <c r="J56" i="58"/>
  <c r="H60" i="37"/>
  <c r="H60" i="41" s="1"/>
  <c r="I57" i="37"/>
  <c r="I57" i="41" s="1"/>
  <c r="G72" i="66"/>
  <c r="I420" i="37"/>
  <c r="H450" i="41"/>
  <c r="I448" i="41"/>
  <c r="J63" i="41"/>
  <c r="H50" i="37"/>
  <c r="H50" i="41" s="1"/>
  <c r="I59" i="58"/>
  <c r="I59" i="41" s="1"/>
  <c r="J25" i="37"/>
  <c r="J25" i="41" s="1"/>
  <c r="E387" i="38"/>
  <c r="G65" i="66"/>
  <c r="I430" i="37"/>
  <c r="J17" i="37"/>
  <c r="J57" i="37"/>
  <c r="H22" i="41" l="1"/>
  <c r="J65" i="41"/>
  <c r="J36" i="41"/>
  <c r="J43" i="41"/>
  <c r="H67" i="41"/>
  <c r="H14" i="41"/>
  <c r="H33" i="41"/>
  <c r="J59" i="41"/>
  <c r="I20" i="41"/>
  <c r="I60" i="41"/>
  <c r="J422" i="41"/>
  <c r="J420" i="41"/>
  <c r="H49" i="41"/>
  <c r="I23" i="41"/>
  <c r="H431" i="41"/>
  <c r="H423" i="41"/>
  <c r="I17" i="41"/>
  <c r="J48" i="41"/>
  <c r="H418" i="41"/>
  <c r="I45" i="41"/>
  <c r="H426" i="41"/>
  <c r="H62" i="41"/>
  <c r="I65" i="41"/>
  <c r="H56" i="41"/>
  <c r="H32" i="41"/>
  <c r="H28" i="41"/>
  <c r="I420" i="41"/>
  <c r="H47" i="41"/>
  <c r="H68" i="41"/>
  <c r="J16" i="41"/>
  <c r="J32" i="41"/>
  <c r="J230" i="41"/>
  <c r="J70" i="41"/>
  <c r="J424" i="41"/>
  <c r="H421" i="41"/>
  <c r="I432" i="41"/>
  <c r="J57" i="41"/>
  <c r="I419" i="41"/>
  <c r="J41" i="41"/>
  <c r="I37" i="41"/>
  <c r="J44" i="41"/>
  <c r="H36" i="41"/>
  <c r="O191" i="66"/>
  <c r="Q191" i="66" s="1"/>
  <c r="H420" i="41"/>
  <c r="H422" i="41"/>
  <c r="J72" i="41"/>
  <c r="J49" i="41"/>
  <c r="J425" i="41"/>
  <c r="H72" i="41"/>
  <c r="J432" i="41"/>
  <c r="J266" i="41"/>
  <c r="I35" i="41"/>
  <c r="J17" i="41"/>
  <c r="I424" i="41"/>
  <c r="I313" i="41"/>
  <c r="J430" i="41"/>
  <c r="H419" i="41"/>
  <c r="J60" i="41"/>
  <c r="J418" i="41"/>
  <c r="J29" i="41"/>
  <c r="I395" i="41"/>
  <c r="I379" i="41"/>
  <c r="I48" i="41"/>
  <c r="J141" i="41"/>
  <c r="J292" i="41"/>
  <c r="I421" i="41"/>
  <c r="H424" i="41"/>
  <c r="I157" i="41"/>
  <c r="I235" i="41"/>
  <c r="H19" i="41"/>
  <c r="J423" i="41"/>
  <c r="J341" i="41"/>
  <c r="I298" i="41"/>
  <c r="J276" i="41"/>
  <c r="H290" i="41"/>
  <c r="I361" i="41"/>
  <c r="I208" i="41"/>
  <c r="I283" i="41"/>
  <c r="H305" i="58"/>
  <c r="H305" i="37"/>
  <c r="I374" i="58"/>
  <c r="I374" i="37"/>
  <c r="I268" i="37"/>
  <c r="I268" i="58"/>
  <c r="J388" i="58"/>
  <c r="J388" i="37"/>
  <c r="J386" i="58"/>
  <c r="J386" i="37"/>
  <c r="I349" i="37"/>
  <c r="I349" i="58"/>
  <c r="H159" i="37"/>
  <c r="H159" i="58"/>
  <c r="J348" i="37"/>
  <c r="J348" i="58"/>
  <c r="J249" i="58"/>
  <c r="J249" i="37"/>
  <c r="I204" i="37"/>
  <c r="I204" i="58"/>
  <c r="I316" i="37"/>
  <c r="I316" i="58"/>
  <c r="J361" i="58"/>
  <c r="J361" i="37"/>
  <c r="H179" i="58"/>
  <c r="H179" i="37"/>
  <c r="H332" i="37"/>
  <c r="H332" i="58"/>
  <c r="J145" i="37"/>
  <c r="J145" i="58"/>
  <c r="I178" i="37"/>
  <c r="I178" i="58"/>
  <c r="J222" i="37"/>
  <c r="J222" i="58"/>
  <c r="J283" i="37"/>
  <c r="J283" i="58"/>
  <c r="H234" i="58"/>
  <c r="H234" i="37"/>
  <c r="H121" i="58"/>
  <c r="H121" i="37"/>
  <c r="J287" i="37"/>
  <c r="J287" i="58"/>
  <c r="J138" i="37"/>
  <c r="J138" i="58"/>
  <c r="J362" i="58"/>
  <c r="J362" i="37"/>
  <c r="H283" i="58"/>
  <c r="H283" i="37"/>
  <c r="H230" i="58"/>
  <c r="H230" i="37"/>
  <c r="J394" i="37"/>
  <c r="J394" i="58"/>
  <c r="J178" i="58"/>
  <c r="J178" i="37"/>
  <c r="I184" i="58"/>
  <c r="I184" i="37"/>
  <c r="H178" i="58"/>
  <c r="H178" i="37"/>
  <c r="H331" i="58"/>
  <c r="H331" i="37"/>
  <c r="H377" i="58"/>
  <c r="H377" i="37"/>
  <c r="I193" i="58"/>
  <c r="I193" i="37"/>
  <c r="J182" i="58"/>
  <c r="J182" i="37"/>
  <c r="H311" i="37"/>
  <c r="H311" i="58"/>
  <c r="H203" i="37"/>
  <c r="H203" i="58"/>
  <c r="I244" i="37"/>
  <c r="I244" i="58"/>
  <c r="J274" i="37"/>
  <c r="J274" i="58"/>
  <c r="I350" i="58"/>
  <c r="I350" i="37"/>
  <c r="J158" i="58"/>
  <c r="J158" i="37"/>
  <c r="H235" i="58"/>
  <c r="H235" i="37"/>
  <c r="H191" i="58"/>
  <c r="H191" i="37"/>
  <c r="H309" i="37"/>
  <c r="H309" i="58"/>
  <c r="J397" i="58"/>
  <c r="J397" i="37"/>
  <c r="H228" i="58"/>
  <c r="H228" i="37"/>
  <c r="I296" i="37"/>
  <c r="I296" i="58"/>
  <c r="I325" i="58"/>
  <c r="I325" i="37"/>
  <c r="J357" i="58"/>
  <c r="J357" i="37"/>
  <c r="J379" i="58"/>
  <c r="J379" i="37"/>
  <c r="I292" i="37"/>
  <c r="I292" i="58"/>
  <c r="J197" i="58"/>
  <c r="J197" i="37"/>
  <c r="I469" i="37"/>
  <c r="I470" i="37"/>
  <c r="M64" i="66"/>
  <c r="I468" i="37"/>
  <c r="Z117" i="66"/>
  <c r="Z261" i="66"/>
  <c r="Y261" i="66"/>
  <c r="Y117" i="66"/>
  <c r="I16" i="41"/>
  <c r="N95" i="66"/>
  <c r="O239" i="66" s="1"/>
  <c r="F28" i="39"/>
  <c r="C52" i="63"/>
  <c r="H469" i="58"/>
  <c r="F154" i="66" s="1"/>
  <c r="N154" i="66" s="1"/>
  <c r="H468" i="58"/>
  <c r="F161" i="66" s="1"/>
  <c r="N161" i="66" s="1"/>
  <c r="H470" i="58"/>
  <c r="M160" i="66"/>
  <c r="U219" i="66"/>
  <c r="Q219" i="66"/>
  <c r="R219" i="66" s="1"/>
  <c r="T219" i="66" s="1"/>
  <c r="V219" i="66"/>
  <c r="X219" i="66" s="1"/>
  <c r="E364" i="38"/>
  <c r="K107" i="66" s="1"/>
  <c r="N107" i="66" s="1"/>
  <c r="O251" i="66" s="1"/>
  <c r="J455" i="41"/>
  <c r="H403" i="37"/>
  <c r="F49" i="66" s="1"/>
  <c r="H402" i="37"/>
  <c r="H11" i="41"/>
  <c r="H404" i="41"/>
  <c r="F30" i="66"/>
  <c r="N30" i="66" s="1"/>
  <c r="H31" i="41"/>
  <c r="J271" i="37"/>
  <c r="J271" i="58"/>
  <c r="H396" i="37"/>
  <c r="H396" i="58"/>
  <c r="I376" i="37"/>
  <c r="I376" i="58"/>
  <c r="H298" i="37"/>
  <c r="H298" i="58"/>
  <c r="J297" i="37"/>
  <c r="J297" i="58"/>
  <c r="J321" i="37"/>
  <c r="J321" i="58"/>
  <c r="J261" i="58"/>
  <c r="J261" i="37"/>
  <c r="I201" i="37"/>
  <c r="I201" i="58"/>
  <c r="H225" i="37"/>
  <c r="H225" i="58"/>
  <c r="H374" i="58"/>
  <c r="H374" i="37"/>
  <c r="I214" i="37"/>
  <c r="I214" i="58"/>
  <c r="J322" i="58"/>
  <c r="J322" i="37"/>
  <c r="J295" i="58"/>
  <c r="J295" i="37"/>
  <c r="I341" i="58"/>
  <c r="I341" i="37"/>
  <c r="J128" i="58"/>
  <c r="J128" i="37"/>
  <c r="I351" i="58"/>
  <c r="I351" i="37"/>
  <c r="J279" i="58"/>
  <c r="J279" i="37"/>
  <c r="I252" i="37"/>
  <c r="I252" i="58"/>
  <c r="J387" i="58"/>
  <c r="J387" i="37"/>
  <c r="J153" i="58"/>
  <c r="J153" i="37"/>
  <c r="I180" i="37"/>
  <c r="I180" i="58"/>
  <c r="J234" i="58"/>
  <c r="J234" i="37"/>
  <c r="I348" i="37"/>
  <c r="I348" i="58"/>
  <c r="H297" i="58"/>
  <c r="H297" i="37"/>
  <c r="J204" i="58"/>
  <c r="J204" i="37"/>
  <c r="I220" i="37"/>
  <c r="I220" i="58"/>
  <c r="J396" i="58"/>
  <c r="J396" i="37"/>
  <c r="I177" i="58"/>
  <c r="I177" i="37"/>
  <c r="J300" i="58"/>
  <c r="J300" i="37"/>
  <c r="I372" i="58"/>
  <c r="I372" i="37"/>
  <c r="H313" i="37"/>
  <c r="H313" i="58"/>
  <c r="J132" i="37"/>
  <c r="J132" i="58"/>
  <c r="I189" i="37"/>
  <c r="I189" i="58"/>
  <c r="J366" i="37"/>
  <c r="J366" i="58"/>
  <c r="I301" i="37"/>
  <c r="I301" i="58"/>
  <c r="J314" i="58"/>
  <c r="J314" i="37"/>
  <c r="I362" i="58"/>
  <c r="I362" i="37"/>
  <c r="I352" i="37"/>
  <c r="I352" i="58"/>
  <c r="H227" i="37"/>
  <c r="H227" i="58"/>
  <c r="H363" i="37"/>
  <c r="H363" i="58"/>
  <c r="J330" i="37"/>
  <c r="J330" i="58"/>
  <c r="J233" i="37"/>
  <c r="J233" i="58"/>
  <c r="I142" i="58"/>
  <c r="I142" i="37"/>
  <c r="H352" i="58"/>
  <c r="H352" i="37"/>
  <c r="H250" i="58"/>
  <c r="H250" i="37"/>
  <c r="H238" i="37"/>
  <c r="H238" i="58"/>
  <c r="I247" i="58"/>
  <c r="I247" i="37"/>
  <c r="H157" i="37"/>
  <c r="H157" i="58"/>
  <c r="I368" i="58"/>
  <c r="I368" i="37"/>
  <c r="H366" i="58"/>
  <c r="H366" i="37"/>
  <c r="H278" i="58"/>
  <c r="H278" i="37"/>
  <c r="I232" i="58"/>
  <c r="I232" i="37"/>
  <c r="J179" i="58"/>
  <c r="J179" i="37"/>
  <c r="I398" i="58"/>
  <c r="I398" i="37"/>
  <c r="H215" i="58"/>
  <c r="H215" i="37"/>
  <c r="H147" i="37"/>
  <c r="H147" i="58"/>
  <c r="J173" i="37"/>
  <c r="J173" i="58"/>
  <c r="J262" i="58"/>
  <c r="J262" i="37"/>
  <c r="H158" i="58"/>
  <c r="H158" i="37"/>
  <c r="H385" i="37"/>
  <c r="H385" i="58"/>
  <c r="H256" i="58"/>
  <c r="H256" i="37"/>
  <c r="J214" i="37"/>
  <c r="J214" i="58"/>
  <c r="I306" i="37"/>
  <c r="I306" i="58"/>
  <c r="J334" i="37"/>
  <c r="J334" i="58"/>
  <c r="J364" i="58"/>
  <c r="J364" i="37"/>
  <c r="H342" i="37"/>
  <c r="H342" i="58"/>
  <c r="H229" i="37"/>
  <c r="H229" i="58"/>
  <c r="I269" i="37"/>
  <c r="I269" i="58"/>
  <c r="H389" i="58"/>
  <c r="H389" i="37"/>
  <c r="J278" i="37"/>
  <c r="J278" i="58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75" i="66"/>
  <c r="Z31" i="66"/>
  <c r="Y31" i="66"/>
  <c r="O31" i="66"/>
  <c r="Y175" i="66"/>
  <c r="J52" i="41"/>
  <c r="G202" i="66"/>
  <c r="I429" i="58"/>
  <c r="G28" i="39"/>
  <c r="N143" i="66"/>
  <c r="J431" i="41"/>
  <c r="Z213" i="66"/>
  <c r="Z69" i="66"/>
  <c r="Y69" i="66"/>
  <c r="Y213" i="66"/>
  <c r="J426" i="41"/>
  <c r="J68" i="41"/>
  <c r="H152" i="41"/>
  <c r="J382" i="37"/>
  <c r="J382" i="58"/>
  <c r="J391" i="37"/>
  <c r="J391" i="58"/>
  <c r="H284" i="37"/>
  <c r="H284" i="58"/>
  <c r="J298" i="58"/>
  <c r="J298" i="37"/>
  <c r="I343" i="58"/>
  <c r="I343" i="37"/>
  <c r="H286" i="37"/>
  <c r="H286" i="58"/>
  <c r="I354" i="37"/>
  <c r="I354" i="58"/>
  <c r="I267" i="58"/>
  <c r="I267" i="37"/>
  <c r="I393" i="37"/>
  <c r="I393" i="58"/>
  <c r="H321" i="58"/>
  <c r="H321" i="37"/>
  <c r="I272" i="37"/>
  <c r="I272" i="58"/>
  <c r="J229" i="37"/>
  <c r="J229" i="58"/>
  <c r="H388" i="37"/>
  <c r="H388" i="58"/>
  <c r="H312" i="37"/>
  <c r="H312" i="58"/>
  <c r="H128" i="37"/>
  <c r="H128" i="58"/>
  <c r="J255" i="37"/>
  <c r="J255" i="58"/>
  <c r="J337" i="37"/>
  <c r="J337" i="58"/>
  <c r="J294" i="37"/>
  <c r="J294" i="58"/>
  <c r="J257" i="37"/>
  <c r="J257" i="58"/>
  <c r="I334" i="37"/>
  <c r="I334" i="58"/>
  <c r="J347" i="58"/>
  <c r="J347" i="37"/>
  <c r="J377" i="37"/>
  <c r="J377" i="58"/>
  <c r="H325" i="37"/>
  <c r="H325" i="58"/>
  <c r="H219" i="58"/>
  <c r="H219" i="37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37"/>
  <c r="J280" i="58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37"/>
  <c r="H168" i="58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58"/>
  <c r="J252" i="37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58"/>
  <c r="H212" i="37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58"/>
  <c r="J323" i="37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I256" i="41"/>
  <c r="I418" i="41"/>
  <c r="Z43" i="66"/>
  <c r="Y43" i="66"/>
  <c r="Y187" i="66"/>
  <c r="Z187" i="66"/>
  <c r="H13" i="41"/>
  <c r="C8" i="63"/>
  <c r="H430" i="41"/>
  <c r="Y139" i="66"/>
  <c r="Y283" i="66"/>
  <c r="Z283" i="66"/>
  <c r="Z139" i="66"/>
  <c r="G27" i="39"/>
  <c r="N127" i="66"/>
  <c r="I162" i="41"/>
  <c r="I213" i="41"/>
  <c r="I64" i="41"/>
  <c r="Y124" i="66"/>
  <c r="Y268" i="66"/>
  <c r="Z268" i="66"/>
  <c r="Z124" i="66"/>
  <c r="J196" i="58"/>
  <c r="J196" i="37"/>
  <c r="H334" i="37"/>
  <c r="H334" i="58"/>
  <c r="J240" i="58"/>
  <c r="J240" i="37"/>
  <c r="H362" i="58"/>
  <c r="H362" i="37"/>
  <c r="H267" i="58"/>
  <c r="H267" i="37"/>
  <c r="H252" i="58"/>
  <c r="H252" i="37"/>
  <c r="H340" i="58"/>
  <c r="H340" i="37"/>
  <c r="J201" i="37"/>
  <c r="J201" i="58"/>
  <c r="J343" i="58"/>
  <c r="J343" i="37"/>
  <c r="I278" i="58"/>
  <c r="I278" i="37"/>
  <c r="I302" i="58"/>
  <c r="I302" i="37"/>
  <c r="I322" i="37"/>
  <c r="I322" i="58"/>
  <c r="I191" i="37"/>
  <c r="I191" i="58"/>
  <c r="H304" i="37"/>
  <c r="H304" i="58"/>
  <c r="I255" i="37"/>
  <c r="I255" i="58"/>
  <c r="I253" i="58"/>
  <c r="I253" i="37"/>
  <c r="I172" i="58"/>
  <c r="I172" i="37"/>
  <c r="I318" i="58"/>
  <c r="I318" i="37"/>
  <c r="H206" i="58"/>
  <c r="H206" i="37"/>
  <c r="J358" i="58"/>
  <c r="J358" i="37"/>
  <c r="H398" i="37"/>
  <c r="H398" i="58"/>
  <c r="J148" i="58"/>
  <c r="J148" i="37"/>
  <c r="H268" i="58"/>
  <c r="H268" i="37"/>
  <c r="H125" i="58"/>
  <c r="H125" i="37"/>
  <c r="I370" i="58"/>
  <c r="I370" i="37"/>
  <c r="I123" i="58"/>
  <c r="I123" i="37"/>
  <c r="J194" i="37"/>
  <c r="J194" i="58"/>
  <c r="J254" i="37"/>
  <c r="J254" i="58"/>
  <c r="H273" i="37"/>
  <c r="H273" i="58"/>
  <c r="H136" i="37"/>
  <c r="H136" i="58"/>
  <c r="J171" i="37"/>
  <c r="J171" i="58"/>
  <c r="I300" i="58"/>
  <c r="I300" i="37"/>
  <c r="H336" i="58"/>
  <c r="H336" i="37"/>
  <c r="J198" i="58"/>
  <c r="J198" i="37"/>
  <c r="I198" i="58"/>
  <c r="I198" i="37"/>
  <c r="J336" i="37"/>
  <c r="J336" i="58"/>
  <c r="I297" i="37"/>
  <c r="I297" i="58"/>
  <c r="J209" i="37"/>
  <c r="J209" i="58"/>
  <c r="I183" i="58"/>
  <c r="I183" i="37"/>
  <c r="J237" i="58"/>
  <c r="J237" i="37"/>
  <c r="I195" i="37"/>
  <c r="I195" i="58"/>
  <c r="J333" i="58"/>
  <c r="J333" i="37"/>
  <c r="I378" i="58"/>
  <c r="I378" i="37"/>
  <c r="H372" i="37"/>
  <c r="H372" i="58"/>
  <c r="J205" i="37"/>
  <c r="J205" i="58"/>
  <c r="I249" i="37"/>
  <c r="I249" i="58"/>
  <c r="H156" i="37"/>
  <c r="H156" i="58"/>
  <c r="J150" i="58"/>
  <c r="J150" i="37"/>
  <c r="I192" i="37"/>
  <c r="I192" i="58"/>
  <c r="I345" i="37"/>
  <c r="I345" i="58"/>
  <c r="I136" i="37"/>
  <c r="I136" i="58"/>
  <c r="J231" i="58"/>
  <c r="J231" i="37"/>
  <c r="I332" i="58"/>
  <c r="I332" i="37"/>
  <c r="J301" i="37"/>
  <c r="J301" i="58"/>
  <c r="I317" i="37"/>
  <c r="I317" i="58"/>
  <c r="I133" i="37"/>
  <c r="I133" i="58"/>
  <c r="J285" i="37"/>
  <c r="J285" i="58"/>
  <c r="I132" i="37"/>
  <c r="I132" i="58"/>
  <c r="J245" i="58"/>
  <c r="J245" i="37"/>
  <c r="I364" i="58"/>
  <c r="I364" i="37"/>
  <c r="I314" i="58"/>
  <c r="I314" i="37"/>
  <c r="H308" i="37"/>
  <c r="H308" i="58"/>
  <c r="H279" i="58"/>
  <c r="H279" i="37"/>
  <c r="J353" i="58"/>
  <c r="J353" i="37"/>
  <c r="I377" i="37"/>
  <c r="I377" i="58"/>
  <c r="J389" i="58"/>
  <c r="J389" i="37"/>
  <c r="H386" i="37"/>
  <c r="H386" i="58"/>
  <c r="H323" i="58"/>
  <c r="H323" i="37"/>
  <c r="J160" i="58"/>
  <c r="J160" i="37"/>
  <c r="I248" i="58"/>
  <c r="I248" i="37"/>
  <c r="J251" i="37"/>
  <c r="J251" i="58"/>
  <c r="H368" i="37"/>
  <c r="H368" i="58"/>
  <c r="H233" i="58"/>
  <c r="H233" i="37"/>
  <c r="H218" i="58"/>
  <c r="H218" i="37"/>
  <c r="I275" i="37"/>
  <c r="I275" i="58"/>
  <c r="I295" i="37"/>
  <c r="I295" i="58"/>
  <c r="I383" i="37"/>
  <c r="I383" i="58"/>
  <c r="H358" i="58"/>
  <c r="H358" i="37"/>
  <c r="H263" i="58"/>
  <c r="H263" i="37"/>
  <c r="J342" i="58"/>
  <c r="J342" i="37"/>
  <c r="J193" i="58"/>
  <c r="J193" i="37"/>
  <c r="J142" i="37"/>
  <c r="J142" i="58"/>
  <c r="H207" i="58"/>
  <c r="H207" i="37"/>
  <c r="H124" i="37"/>
  <c r="H124" i="58"/>
  <c r="J188" i="58"/>
  <c r="J188" i="37"/>
  <c r="I206" i="37"/>
  <c r="I206" i="58"/>
  <c r="J223" i="58"/>
  <c r="J223" i="37"/>
  <c r="J242" i="58"/>
  <c r="J242" i="37"/>
  <c r="H185" i="37"/>
  <c r="H185" i="58"/>
  <c r="H190" i="58"/>
  <c r="H190" i="37"/>
  <c r="I173" i="37"/>
  <c r="I173" i="58"/>
  <c r="I242" i="37"/>
  <c r="I242" i="58"/>
  <c r="J371" i="58"/>
  <c r="J371" i="37"/>
  <c r="J270" i="37"/>
  <c r="J270" i="58"/>
  <c r="I401" i="58"/>
  <c r="I401" i="37"/>
  <c r="J303" i="58"/>
  <c r="J303" i="37"/>
  <c r="J325" i="58"/>
  <c r="J325" i="37"/>
  <c r="I262" i="58"/>
  <c r="I262" i="37"/>
  <c r="I308" i="37"/>
  <c r="I308" i="58"/>
  <c r="H164" i="37"/>
  <c r="H164" i="58"/>
  <c r="I404" i="37"/>
  <c r="I404" i="58"/>
  <c r="F222" i="66" s="1"/>
  <c r="N222" i="66" s="1"/>
  <c r="J19" i="41"/>
  <c r="C35" i="63"/>
  <c r="I13" i="41"/>
  <c r="C17" i="63"/>
  <c r="M16" i="66"/>
  <c r="H469" i="37"/>
  <c r="H470" i="37"/>
  <c r="H468" i="37"/>
  <c r="E362" i="38"/>
  <c r="K141" i="66" s="1"/>
  <c r="N141" i="66" s="1"/>
  <c r="J453" i="41"/>
  <c r="J421" i="41"/>
  <c r="J40" i="41"/>
  <c r="J56" i="41"/>
  <c r="J419" i="41"/>
  <c r="J428" i="41"/>
  <c r="H44" i="41"/>
  <c r="H384" i="37"/>
  <c r="H384" i="58"/>
  <c r="I259" i="58"/>
  <c r="I259" i="37"/>
  <c r="I319" i="37"/>
  <c r="I319" i="58"/>
  <c r="H200" i="58"/>
  <c r="H200" i="37"/>
  <c r="J202" i="37"/>
  <c r="J202" i="58"/>
  <c r="I270" i="58"/>
  <c r="I270" i="37"/>
  <c r="I366" i="58"/>
  <c r="I366" i="37"/>
  <c r="J166" i="58"/>
  <c r="J166" i="37"/>
  <c r="I234" i="58"/>
  <c r="I234" i="37"/>
  <c r="J393" i="58"/>
  <c r="J393" i="37"/>
  <c r="I365" i="58"/>
  <c r="I365" i="37"/>
  <c r="J265" i="58"/>
  <c r="J265" i="37"/>
  <c r="H357" i="58"/>
  <c r="H357" i="37"/>
  <c r="J338" i="37"/>
  <c r="J338" i="58"/>
  <c r="J359" i="58"/>
  <c r="J359" i="37"/>
  <c r="H360" i="58"/>
  <c r="H360" i="37"/>
  <c r="I245" i="37"/>
  <c r="I245" i="58"/>
  <c r="H381" i="37"/>
  <c r="H381" i="58"/>
  <c r="I222" i="37"/>
  <c r="I222" i="58"/>
  <c r="H338" i="37"/>
  <c r="H338" i="58"/>
  <c r="H246" i="37"/>
  <c r="H246" i="58"/>
  <c r="H302" i="37"/>
  <c r="H302" i="58"/>
  <c r="I323" i="58"/>
  <c r="I323" i="37"/>
  <c r="J215" i="37"/>
  <c r="J215" i="58"/>
  <c r="J238" i="58"/>
  <c r="J238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58"/>
  <c r="J180" i="37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37"/>
  <c r="I120" i="58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37"/>
  <c r="J185" i="58"/>
  <c r="H249" i="58"/>
  <c r="H249" i="37"/>
  <c r="I215" i="58"/>
  <c r="I215" i="37"/>
  <c r="J247" i="58"/>
  <c r="J247" i="37"/>
  <c r="J293" i="58"/>
  <c r="J293" i="37"/>
  <c r="J310" i="58"/>
  <c r="J310" i="37"/>
  <c r="H186" i="58"/>
  <c r="H186" i="37"/>
  <c r="H361" i="37"/>
  <c r="H361" i="58"/>
  <c r="I290" i="58"/>
  <c r="I290" i="37"/>
  <c r="H265" i="37"/>
  <c r="H265" i="58"/>
  <c r="H151" i="37"/>
  <c r="H151" i="58"/>
  <c r="H266" i="37"/>
  <c r="H266" i="58"/>
  <c r="H201" i="37"/>
  <c r="H201" i="58"/>
  <c r="H154" i="37"/>
  <c r="H154" i="58"/>
  <c r="J277" i="37"/>
  <c r="J277" i="58"/>
  <c r="H260" i="58"/>
  <c r="H260" i="37"/>
  <c r="H293" i="58"/>
  <c r="H293" i="37"/>
  <c r="H184" i="58"/>
  <c r="H184" i="37"/>
  <c r="J400" i="37"/>
  <c r="J400" i="58"/>
  <c r="H187" i="58"/>
  <c r="H187" i="37"/>
  <c r="I126" i="58"/>
  <c r="I126" i="37"/>
  <c r="I392" i="37"/>
  <c r="I392" i="58"/>
  <c r="I240" i="37"/>
  <c r="I240" i="58"/>
  <c r="I219" i="37"/>
  <c r="I219" i="58"/>
  <c r="J373" i="37"/>
  <c r="J373" i="58"/>
  <c r="H294" i="58"/>
  <c r="H294" i="37"/>
  <c r="J157" i="58"/>
  <c r="J157" i="37"/>
  <c r="I390" i="37"/>
  <c r="I390" i="58"/>
  <c r="J308" i="58"/>
  <c r="J308" i="37"/>
  <c r="O237" i="66"/>
  <c r="Y237" i="66"/>
  <c r="Z237" i="66"/>
  <c r="Y93" i="66"/>
  <c r="Z93" i="66"/>
  <c r="O93" i="66"/>
  <c r="I230" i="41"/>
  <c r="H432" i="41"/>
  <c r="M112" i="66"/>
  <c r="J468" i="37"/>
  <c r="J469" i="37"/>
  <c r="J470" i="37"/>
  <c r="C53" i="63"/>
  <c r="M256" i="66"/>
  <c r="J470" i="58"/>
  <c r="J469" i="58"/>
  <c r="F250" i="66" s="1"/>
  <c r="J468" i="58"/>
  <c r="F257" i="66" s="1"/>
  <c r="N257" i="66" s="1"/>
  <c r="J13" i="41"/>
  <c r="C26" i="63"/>
  <c r="I31" i="41"/>
  <c r="H12" i="41"/>
  <c r="E365" i="38"/>
  <c r="K105" i="66" s="1"/>
  <c r="N105" i="66" s="1"/>
  <c r="O249" i="66" s="1"/>
  <c r="J456" i="41"/>
  <c r="I423" i="41"/>
  <c r="I346" i="37"/>
  <c r="I346" i="58"/>
  <c r="H165" i="37"/>
  <c r="H165" i="58"/>
  <c r="I199" i="58"/>
  <c r="I199" i="37"/>
  <c r="H299" i="58"/>
  <c r="H299" i="37"/>
  <c r="I311" i="37"/>
  <c r="I311" i="58"/>
  <c r="I339" i="58"/>
  <c r="I339" i="37"/>
  <c r="H393" i="58"/>
  <c r="H393" i="37"/>
  <c r="J399" i="58"/>
  <c r="J399" i="37"/>
  <c r="H270" i="37"/>
  <c r="H270" i="58"/>
  <c r="J121" i="58"/>
  <c r="J121" i="37"/>
  <c r="I371" i="37"/>
  <c r="I371" i="58"/>
  <c r="J170" i="37"/>
  <c r="J170" i="58"/>
  <c r="J284" i="37"/>
  <c r="J284" i="58"/>
  <c r="I281" i="58"/>
  <c r="I281" i="37"/>
  <c r="J286" i="37"/>
  <c r="J286" i="58"/>
  <c r="H380" i="58"/>
  <c r="H380" i="37"/>
  <c r="H351" i="58"/>
  <c r="H351" i="37"/>
  <c r="J369" i="58"/>
  <c r="J369" i="37"/>
  <c r="J331" i="37"/>
  <c r="J331" i="58"/>
  <c r="H329" i="37"/>
  <c r="H329" i="58"/>
  <c r="I241" i="37"/>
  <c r="I241" i="58"/>
  <c r="J167" i="37"/>
  <c r="J167" i="58"/>
  <c r="H210" i="58"/>
  <c r="H210" i="37"/>
  <c r="H335" i="58"/>
  <c r="H335" i="37"/>
  <c r="J134" i="37"/>
  <c r="J134" i="58"/>
  <c r="I327" i="37"/>
  <c r="I327" i="58"/>
  <c r="I236" i="58"/>
  <c r="I236" i="37"/>
  <c r="J269" i="58"/>
  <c r="J269" i="37"/>
  <c r="J463" i="58"/>
  <c r="J463" i="37"/>
  <c r="H239" i="58"/>
  <c r="H239" i="37"/>
  <c r="J290" i="37"/>
  <c r="J290" i="58"/>
  <c r="H318" i="37"/>
  <c r="H318" i="58"/>
  <c r="H285" i="37"/>
  <c r="H285" i="58"/>
  <c r="H173" i="37"/>
  <c r="H173" i="58"/>
  <c r="H170" i="58"/>
  <c r="H170" i="37"/>
  <c r="I391" i="37"/>
  <c r="I391" i="58"/>
  <c r="H391" i="58"/>
  <c r="H391" i="37"/>
  <c r="I185" i="37"/>
  <c r="I185" i="58"/>
  <c r="J164" i="58"/>
  <c r="J164" i="37"/>
  <c r="H365" i="58"/>
  <c r="H365" i="37"/>
  <c r="H153" i="37"/>
  <c r="H153" i="58"/>
  <c r="H130" i="37"/>
  <c r="H130" i="58"/>
  <c r="J263" i="58"/>
  <c r="J263" i="37"/>
  <c r="J239" i="58"/>
  <c r="J239" i="37"/>
  <c r="H367" i="58"/>
  <c r="H367" i="37"/>
  <c r="H231" i="37"/>
  <c r="H231" i="58"/>
  <c r="J327" i="58"/>
  <c r="J327" i="37"/>
  <c r="I146" i="58"/>
  <c r="I146" i="37"/>
  <c r="J149" i="58"/>
  <c r="J149" i="37"/>
  <c r="I155" i="58"/>
  <c r="I155" i="37"/>
  <c r="I284" i="37"/>
  <c r="I284" i="58"/>
  <c r="H383" i="37"/>
  <c r="H383" i="58"/>
  <c r="H347" i="58"/>
  <c r="H347" i="37"/>
  <c r="I356" i="58"/>
  <c r="I356" i="37"/>
  <c r="H193" i="58"/>
  <c r="H193" i="37"/>
  <c r="I326" i="37"/>
  <c r="I326" i="58"/>
  <c r="J365" i="58"/>
  <c r="J365" i="37"/>
  <c r="H333" i="58"/>
  <c r="H333" i="37"/>
  <c r="J316" i="37"/>
  <c r="J316" i="58"/>
  <c r="J144" i="58"/>
  <c r="J144" i="37"/>
  <c r="I243" i="37"/>
  <c r="I243" i="58"/>
  <c r="H237" i="58"/>
  <c r="H237" i="37"/>
  <c r="I399" i="58"/>
  <c r="I399" i="37"/>
  <c r="I159" i="58"/>
  <c r="I159" i="37"/>
  <c r="J267" i="58"/>
  <c r="J267" i="37"/>
  <c r="I128" i="37"/>
  <c r="I128" i="58"/>
  <c r="J168" i="58"/>
  <c r="J168" i="37"/>
  <c r="H243" i="37"/>
  <c r="H243" i="58"/>
  <c r="I396" i="37"/>
  <c r="I396" i="58"/>
  <c r="I140" i="37"/>
  <c r="I140" i="58"/>
  <c r="J305" i="37"/>
  <c r="J305" i="58"/>
  <c r="I309" i="58"/>
  <c r="I309" i="37"/>
  <c r="H316" i="37"/>
  <c r="H316" i="58"/>
  <c r="J165" i="58"/>
  <c r="J165" i="37"/>
  <c r="I166" i="37"/>
  <c r="I166" i="58"/>
  <c r="J384" i="37"/>
  <c r="J384" i="58"/>
  <c r="I360" i="58"/>
  <c r="I360" i="37"/>
  <c r="I137" i="37"/>
  <c r="I137" i="58"/>
  <c r="I320" i="37"/>
  <c r="I320" i="58"/>
  <c r="H255" i="37"/>
  <c r="H255" i="58"/>
  <c r="J189" i="37"/>
  <c r="J189" i="58"/>
  <c r="I246" i="58"/>
  <c r="I246" i="37"/>
  <c r="J340" i="58"/>
  <c r="J340" i="37"/>
  <c r="I273" i="37"/>
  <c r="I273" i="58"/>
  <c r="H387" i="58"/>
  <c r="H387" i="37"/>
  <c r="J228" i="58"/>
  <c r="J228" i="37"/>
  <c r="J127" i="37"/>
  <c r="J127" i="58"/>
  <c r="J190" i="37"/>
  <c r="J190" i="58"/>
  <c r="I223" i="37"/>
  <c r="I223" i="58"/>
  <c r="H319" i="37"/>
  <c r="H319" i="58"/>
  <c r="H259" i="58"/>
  <c r="H259" i="37"/>
  <c r="H129" i="37"/>
  <c r="H129" i="58"/>
  <c r="J259" i="58"/>
  <c r="J259" i="37"/>
  <c r="I394" i="58"/>
  <c r="I394" i="37"/>
  <c r="I367" i="58"/>
  <c r="I367" i="37"/>
  <c r="H236" i="58"/>
  <c r="H236" i="37"/>
  <c r="H172" i="37"/>
  <c r="H172" i="58"/>
  <c r="J146" i="58"/>
  <c r="J146" i="37"/>
  <c r="I138" i="37"/>
  <c r="I138" i="58"/>
  <c r="J383" i="37"/>
  <c r="J383" i="58"/>
  <c r="H376" i="37"/>
  <c r="H376" i="58"/>
  <c r="H315" i="37"/>
  <c r="H315" i="58"/>
  <c r="J172" i="37"/>
  <c r="J172" i="58"/>
  <c r="I263" i="58"/>
  <c r="I263" i="37"/>
  <c r="I196" i="37"/>
  <c r="I196" i="58"/>
  <c r="I130" i="37"/>
  <c r="I130" i="58"/>
  <c r="H213" i="37"/>
  <c r="H213" i="58"/>
  <c r="H209" i="37"/>
  <c r="H209" i="58"/>
  <c r="J260" i="37"/>
  <c r="J260" i="58"/>
  <c r="I310" i="58"/>
  <c r="I310" i="37"/>
  <c r="J350" i="37"/>
  <c r="J350" i="58"/>
  <c r="H350" i="37"/>
  <c r="H350" i="58"/>
  <c r="H254" i="37"/>
  <c r="H254" i="58"/>
  <c r="I274" i="37"/>
  <c r="I274" i="58"/>
  <c r="I194" i="58"/>
  <c r="I194" i="37"/>
  <c r="I211" i="58"/>
  <c r="I211" i="37"/>
  <c r="H375" i="58"/>
  <c r="H375" i="37"/>
  <c r="H241" i="37"/>
  <c r="H241" i="58"/>
  <c r="H354" i="37"/>
  <c r="H354" i="58"/>
  <c r="H292" i="58"/>
  <c r="H292" i="37"/>
  <c r="H161" i="58"/>
  <c r="H161" i="37"/>
  <c r="H240" i="58"/>
  <c r="H240" i="37"/>
  <c r="I287" i="58"/>
  <c r="I287" i="37"/>
  <c r="J246" i="58"/>
  <c r="J246" i="37"/>
  <c r="H221" i="37"/>
  <c r="H221" i="58"/>
  <c r="J319" i="37"/>
  <c r="J319" i="58"/>
  <c r="I152" i="37"/>
  <c r="I152" i="58"/>
  <c r="J282" i="58"/>
  <c r="J282" i="37"/>
  <c r="I225" i="37"/>
  <c r="I225" i="58"/>
  <c r="O201" i="66"/>
  <c r="Z57" i="66"/>
  <c r="Z201" i="66"/>
  <c r="Y57" i="66"/>
  <c r="O57" i="66"/>
  <c r="Y201" i="66"/>
  <c r="H251" i="41"/>
  <c r="Y28" i="66"/>
  <c r="Z28" i="66"/>
  <c r="Y172" i="66"/>
  <c r="Z172" i="66"/>
  <c r="H427" i="41"/>
  <c r="Z165" i="66"/>
  <c r="Z21" i="66"/>
  <c r="Y165" i="66"/>
  <c r="Y21" i="66"/>
  <c r="C44" i="63"/>
  <c r="H425" i="41"/>
  <c r="O203" i="66"/>
  <c r="Z203" i="66"/>
  <c r="Z59" i="66"/>
  <c r="Y203" i="66"/>
  <c r="Y59" i="66"/>
  <c r="O59" i="66"/>
  <c r="I21" i="41"/>
  <c r="J28" i="41"/>
  <c r="I422" i="41"/>
  <c r="J402" i="37"/>
  <c r="J403" i="37"/>
  <c r="E29" i="53" s="1"/>
  <c r="F29" i="53" s="1"/>
  <c r="H35" i="53" s="1"/>
  <c r="J11" i="41"/>
  <c r="J181" i="41"/>
  <c r="I402" i="58"/>
  <c r="F242" i="66" s="1"/>
  <c r="N242" i="66" s="1"/>
  <c r="I403" i="58"/>
  <c r="F241" i="66" s="1"/>
  <c r="I428" i="41"/>
  <c r="H175" i="41"/>
  <c r="J208" i="41"/>
  <c r="J236" i="58"/>
  <c r="J236" i="37"/>
  <c r="H167" i="37"/>
  <c r="H167" i="58"/>
  <c r="H188" i="58"/>
  <c r="H188" i="37"/>
  <c r="J356" i="37"/>
  <c r="J356" i="58"/>
  <c r="J355" i="37"/>
  <c r="J355" i="58"/>
  <c r="I271" i="37"/>
  <c r="I271" i="58"/>
  <c r="H192" i="58"/>
  <c r="H192" i="37"/>
  <c r="J156" i="58"/>
  <c r="J156" i="37"/>
  <c r="I237" i="58"/>
  <c r="I237" i="37"/>
  <c r="J329" i="37"/>
  <c r="J329" i="58"/>
  <c r="H356" i="37"/>
  <c r="H356" i="58"/>
  <c r="H181" i="37"/>
  <c r="H181" i="58"/>
  <c r="J370" i="58"/>
  <c r="J370" i="37"/>
  <c r="I389" i="58"/>
  <c r="I389" i="37"/>
  <c r="I463" i="37"/>
  <c r="I463" i="58"/>
  <c r="I289" i="37"/>
  <c r="I289" i="58"/>
  <c r="I207" i="58"/>
  <c r="I207" i="37"/>
  <c r="I226" i="58"/>
  <c r="I226" i="37"/>
  <c r="H327" i="37"/>
  <c r="H327" i="58"/>
  <c r="H232" i="37"/>
  <c r="H232" i="58"/>
  <c r="I286" i="37"/>
  <c r="I286" i="58"/>
  <c r="H138" i="37"/>
  <c r="H138" i="58"/>
  <c r="I380" i="58"/>
  <c r="I380" i="37"/>
  <c r="J184" i="58"/>
  <c r="J184" i="37"/>
  <c r="I164" i="58"/>
  <c r="I164" i="37"/>
  <c r="H140" i="58"/>
  <c r="H140" i="37"/>
  <c r="H253" i="37"/>
  <c r="H253" i="58"/>
  <c r="J122" i="58"/>
  <c r="J122" i="37"/>
  <c r="H400" i="37"/>
  <c r="H400" i="58"/>
  <c r="I227" i="37"/>
  <c r="I227" i="58"/>
  <c r="H133" i="37"/>
  <c r="H133" i="58"/>
  <c r="H370" i="58"/>
  <c r="H370" i="37"/>
  <c r="I331" i="58"/>
  <c r="I331" i="37"/>
  <c r="I355" i="37"/>
  <c r="I355" i="58"/>
  <c r="H280" i="58"/>
  <c r="H280" i="37"/>
  <c r="J154" i="37"/>
  <c r="J154" i="58"/>
  <c r="J241" i="58"/>
  <c r="J241" i="37"/>
  <c r="H176" i="37"/>
  <c r="H176" i="58"/>
  <c r="H346" i="58"/>
  <c r="H346" i="37"/>
  <c r="J299" i="58"/>
  <c r="J299" i="37"/>
  <c r="I335" i="37"/>
  <c r="I335" i="58"/>
  <c r="J335" i="58"/>
  <c r="J335" i="37"/>
  <c r="H198" i="37"/>
  <c r="H198" i="58"/>
  <c r="H371" i="37"/>
  <c r="H371" i="58"/>
  <c r="J378" i="37"/>
  <c r="J378" i="58"/>
  <c r="I384" i="37"/>
  <c r="I384" i="58"/>
  <c r="I228" i="37"/>
  <c r="I228" i="58"/>
  <c r="H208" i="58"/>
  <c r="H208" i="37"/>
  <c r="I340" i="37"/>
  <c r="I340" i="58"/>
  <c r="I144" i="37"/>
  <c r="I144" i="58"/>
  <c r="J224" i="37"/>
  <c r="J224" i="58"/>
  <c r="H291" i="37"/>
  <c r="H291" i="58"/>
  <c r="J140" i="37"/>
  <c r="J140" i="58"/>
  <c r="H132" i="37"/>
  <c r="H132" i="58"/>
  <c r="I337" i="37"/>
  <c r="I337" i="58"/>
  <c r="H224" i="58"/>
  <c r="H224" i="37"/>
  <c r="J291" i="58"/>
  <c r="J291" i="37"/>
  <c r="I294" i="58"/>
  <c r="I294" i="37"/>
  <c r="J345" i="58"/>
  <c r="J345" i="37"/>
  <c r="J137" i="58"/>
  <c r="J137" i="37"/>
  <c r="I153" i="37"/>
  <c r="I153" i="58"/>
  <c r="J344" i="58"/>
  <c r="J344" i="37"/>
  <c r="I321" i="58"/>
  <c r="I321" i="37"/>
  <c r="H348" i="58"/>
  <c r="H348" i="37"/>
  <c r="I305" i="58"/>
  <c r="I305" i="37"/>
  <c r="J288" i="37"/>
  <c r="J288" i="58"/>
  <c r="J174" i="58"/>
  <c r="J174" i="37"/>
  <c r="I217" i="37"/>
  <c r="I217" i="58"/>
  <c r="J328" i="37"/>
  <c r="J328" i="58"/>
  <c r="I231" i="37"/>
  <c r="I231" i="58"/>
  <c r="H369" i="37"/>
  <c r="H369" i="58"/>
  <c r="J186" i="58"/>
  <c r="J186" i="37"/>
  <c r="H123" i="58"/>
  <c r="H123" i="37"/>
  <c r="I151" i="37"/>
  <c r="I151" i="58"/>
  <c r="J207" i="37"/>
  <c r="J207" i="58"/>
  <c r="I400" i="58"/>
  <c r="I400" i="37"/>
  <c r="H258" i="37"/>
  <c r="H258" i="58"/>
  <c r="H262" i="58"/>
  <c r="H262" i="37"/>
  <c r="I233" i="58"/>
  <c r="I233" i="37"/>
  <c r="H149" i="37"/>
  <c r="H149" i="58"/>
  <c r="J349" i="58"/>
  <c r="J349" i="37"/>
  <c r="H300" i="37"/>
  <c r="H300" i="58"/>
  <c r="H264" i="58"/>
  <c r="H264" i="37"/>
  <c r="J367" i="37"/>
  <c r="J367" i="58"/>
  <c r="J151" i="37"/>
  <c r="J151" i="58"/>
  <c r="I170" i="37"/>
  <c r="I170" i="58"/>
  <c r="H197" i="37"/>
  <c r="H197" i="58"/>
  <c r="H339" i="58"/>
  <c r="H339" i="37"/>
  <c r="H353" i="58"/>
  <c r="H353" i="37"/>
  <c r="J275" i="58"/>
  <c r="J275" i="37"/>
  <c r="J155" i="58"/>
  <c r="J155" i="37"/>
  <c r="J199" i="58"/>
  <c r="J199" i="37"/>
  <c r="H223" i="58"/>
  <c r="H223" i="37"/>
  <c r="I229" i="37"/>
  <c r="I229" i="58"/>
  <c r="I277" i="37"/>
  <c r="I277" i="58"/>
  <c r="J306" i="37"/>
  <c r="J306" i="58"/>
  <c r="I145" i="58"/>
  <c r="I145" i="37"/>
  <c r="I175" i="37"/>
  <c r="I175" i="58"/>
  <c r="H345" i="58"/>
  <c r="H345" i="37"/>
  <c r="J368" i="58"/>
  <c r="J368" i="37"/>
  <c r="J206" i="37"/>
  <c r="J206" i="58"/>
  <c r="J169" i="37"/>
  <c r="J169" i="58"/>
  <c r="H120" i="58"/>
  <c r="H120" i="37"/>
  <c r="H314" i="37"/>
  <c r="H314" i="58"/>
  <c r="J307" i="37"/>
  <c r="J307" i="58"/>
  <c r="I203" i="37"/>
  <c r="I203" i="58"/>
  <c r="J226" i="58"/>
  <c r="J226" i="37"/>
  <c r="I257" i="37"/>
  <c r="I257" i="58"/>
  <c r="I141" i="58"/>
  <c r="I141" i="37"/>
  <c r="J363" i="58"/>
  <c r="J363" i="37"/>
  <c r="H395" i="58"/>
  <c r="H395" i="37"/>
  <c r="J147" i="58"/>
  <c r="J147" i="37"/>
  <c r="J152" i="37"/>
  <c r="J152" i="58"/>
  <c r="J256" i="58"/>
  <c r="J256" i="37"/>
  <c r="I386" i="58"/>
  <c r="I386" i="37"/>
  <c r="H428" i="41"/>
  <c r="I426" i="41"/>
  <c r="I363" i="41"/>
  <c r="F36" i="34"/>
  <c r="E229" i="38"/>
  <c r="E274" i="38"/>
  <c r="J235" i="41"/>
  <c r="Y191" i="66"/>
  <c r="Z47" i="66"/>
  <c r="O47" i="66"/>
  <c r="Z191" i="66"/>
  <c r="Y47" i="66"/>
  <c r="I12" i="41"/>
  <c r="J454" i="41"/>
  <c r="E363" i="38"/>
  <c r="K123" i="66" s="1"/>
  <c r="N123" i="66" s="1"/>
  <c r="J20" i="41"/>
  <c r="H402" i="58"/>
  <c r="F194" i="66" s="1"/>
  <c r="N194" i="66" s="1"/>
  <c r="H403" i="58"/>
  <c r="E11" i="53" s="1"/>
  <c r="F11" i="53" s="1"/>
  <c r="H5" i="53" s="1"/>
  <c r="Z220" i="66"/>
  <c r="Y220" i="66"/>
  <c r="Y76" i="66"/>
  <c r="Z76" i="66"/>
  <c r="Z75" i="66"/>
  <c r="O75" i="66"/>
  <c r="Z219" i="66"/>
  <c r="Y219" i="66"/>
  <c r="Y75" i="66"/>
  <c r="Z91" i="66"/>
  <c r="Z235" i="66"/>
  <c r="Y91" i="66"/>
  <c r="Y235" i="66"/>
  <c r="H463" i="58"/>
  <c r="H463" i="37"/>
  <c r="J374" i="37"/>
  <c r="J374" i="58"/>
  <c r="H222" i="37"/>
  <c r="H222" i="58"/>
  <c r="I330" i="37"/>
  <c r="I330" i="58"/>
  <c r="H202" i="37"/>
  <c r="H202" i="58"/>
  <c r="J126" i="37"/>
  <c r="J126" i="58"/>
  <c r="J211" i="58"/>
  <c r="J211" i="37"/>
  <c r="H195" i="37"/>
  <c r="H195" i="58"/>
  <c r="H137" i="37"/>
  <c r="H137" i="58"/>
  <c r="J272" i="37"/>
  <c r="J272" i="58"/>
  <c r="J339" i="58"/>
  <c r="J339" i="37"/>
  <c r="J123" i="37"/>
  <c r="J123" i="58"/>
  <c r="H214" i="58"/>
  <c r="H214" i="37"/>
  <c r="H134" i="37"/>
  <c r="H134" i="58"/>
  <c r="H282" i="58"/>
  <c r="H282" i="37"/>
  <c r="H145" i="37"/>
  <c r="H145" i="58"/>
  <c r="I149" i="58"/>
  <c r="I149" i="37"/>
  <c r="H242" i="37"/>
  <c r="H242" i="58"/>
  <c r="H392" i="37"/>
  <c r="H392" i="58"/>
  <c r="H245" i="37"/>
  <c r="H245" i="58"/>
  <c r="H397" i="37"/>
  <c r="H397" i="58"/>
  <c r="J351" i="58"/>
  <c r="J351" i="37"/>
  <c r="I369" i="37"/>
  <c r="I369" i="58"/>
  <c r="I186" i="37"/>
  <c r="I186" i="58"/>
  <c r="H189" i="58"/>
  <c r="H189" i="37"/>
  <c r="I328" i="37"/>
  <c r="I328" i="58"/>
  <c r="I129" i="58"/>
  <c r="I129" i="37"/>
  <c r="J183" i="58"/>
  <c r="J183" i="37"/>
  <c r="J375" i="37"/>
  <c r="J375" i="58"/>
  <c r="I381" i="37"/>
  <c r="I381" i="58"/>
  <c r="J360" i="37"/>
  <c r="J360" i="58"/>
  <c r="I324" i="37"/>
  <c r="I324" i="58"/>
  <c r="H166" i="37"/>
  <c r="H166" i="58"/>
  <c r="J221" i="37"/>
  <c r="J221" i="58"/>
  <c r="I279" i="58"/>
  <c r="I279" i="37"/>
  <c r="J304" i="37"/>
  <c r="J304" i="58"/>
  <c r="J124" i="37"/>
  <c r="J124" i="58"/>
  <c r="I124" i="58"/>
  <c r="I124" i="37"/>
  <c r="J317" i="58"/>
  <c r="J317" i="37"/>
  <c r="I291" i="37"/>
  <c r="I291" i="58"/>
  <c r="H288" i="37"/>
  <c r="H288" i="58"/>
  <c r="I261" i="58"/>
  <c r="I261" i="37"/>
  <c r="J354" i="58"/>
  <c r="J354" i="37"/>
  <c r="J133" i="37"/>
  <c r="J133" i="58"/>
  <c r="I121" i="37"/>
  <c r="I121" i="58"/>
  <c r="J258" i="58"/>
  <c r="J258" i="37"/>
  <c r="I216" i="58"/>
  <c r="I216" i="37"/>
  <c r="H180" i="37"/>
  <c r="H180" i="58"/>
  <c r="I387" i="37"/>
  <c r="I387" i="58"/>
  <c r="J380" i="37"/>
  <c r="J380" i="58"/>
  <c r="J218" i="58"/>
  <c r="J218" i="37"/>
  <c r="I338" i="37"/>
  <c r="I338" i="58"/>
  <c r="J392" i="37"/>
  <c r="J392" i="58"/>
  <c r="H271" i="37"/>
  <c r="H271" i="58"/>
  <c r="I188" i="58"/>
  <c r="I188" i="37"/>
  <c r="J203" i="37"/>
  <c r="J203" i="58"/>
  <c r="I238" i="37"/>
  <c r="I238" i="58"/>
  <c r="I353" i="58"/>
  <c r="I353" i="37"/>
  <c r="H382" i="37"/>
  <c r="H382" i="58"/>
  <c r="H295" i="37"/>
  <c r="H295" i="58"/>
  <c r="I202" i="37"/>
  <c r="I202" i="58"/>
  <c r="H349" i="37"/>
  <c r="H349" i="58"/>
  <c r="I382" i="58"/>
  <c r="I382" i="37"/>
  <c r="H226" i="37"/>
  <c r="H226" i="58"/>
  <c r="H155" i="37"/>
  <c r="H155" i="58"/>
  <c r="J161" i="58"/>
  <c r="J161" i="37"/>
  <c r="I179" i="58"/>
  <c r="I179" i="37"/>
  <c r="H142" i="58"/>
  <c r="H142" i="37"/>
  <c r="H328" i="37"/>
  <c r="H328" i="58"/>
  <c r="H306" i="37"/>
  <c r="H306" i="58"/>
  <c r="J200" i="58"/>
  <c r="J200" i="37"/>
  <c r="J289" i="37"/>
  <c r="J289" i="58"/>
  <c r="I210" i="58"/>
  <c r="I210" i="37"/>
  <c r="J227" i="37"/>
  <c r="J227" i="58"/>
  <c r="H204" i="58"/>
  <c r="H204" i="37"/>
  <c r="H199" i="58"/>
  <c r="H199" i="37"/>
  <c r="I359" i="58"/>
  <c r="I359" i="37"/>
  <c r="H307" i="37"/>
  <c r="H307" i="58"/>
  <c r="H275" i="58"/>
  <c r="H275" i="37"/>
  <c r="H196" i="58"/>
  <c r="H196" i="37"/>
  <c r="H122" i="58"/>
  <c r="H122" i="37"/>
  <c r="H343" i="37"/>
  <c r="H343" i="58"/>
  <c r="H390" i="37"/>
  <c r="H390" i="58"/>
  <c r="J326" i="58"/>
  <c r="J326" i="37"/>
  <c r="I251" i="58"/>
  <c r="I251" i="37"/>
  <c r="J213" i="37"/>
  <c r="J213" i="58"/>
  <c r="J385" i="58"/>
  <c r="J385" i="37"/>
  <c r="J225" i="37"/>
  <c r="J225" i="58"/>
  <c r="I375" i="37"/>
  <c r="I375" i="58"/>
  <c r="J401" i="37"/>
  <c r="J401" i="58"/>
  <c r="H287" i="37"/>
  <c r="H287" i="58"/>
  <c r="J162" i="41"/>
  <c r="I427" i="41"/>
  <c r="H429" i="41"/>
  <c r="I425" i="41"/>
  <c r="N79" i="66"/>
  <c r="F27" i="39"/>
  <c r="G58" i="66"/>
  <c r="I429" i="37"/>
  <c r="J8" i="41"/>
  <c r="C25" i="63"/>
  <c r="O175" i="66"/>
  <c r="J33" i="41"/>
  <c r="J64" i="41"/>
  <c r="J12" i="41"/>
  <c r="J23" i="41"/>
  <c r="I11" i="41"/>
  <c r="I402" i="37"/>
  <c r="I403" i="37"/>
  <c r="J427" i="41"/>
  <c r="M208" i="66"/>
  <c r="I468" i="58"/>
  <c r="F209" i="66" s="1"/>
  <c r="N209" i="66" s="1"/>
  <c r="I469" i="58"/>
  <c r="F202" i="66" s="1"/>
  <c r="I470" i="58"/>
  <c r="J403" i="58"/>
  <c r="F289" i="66" s="1"/>
  <c r="J402" i="58"/>
  <c r="F290" i="66" s="1"/>
  <c r="N290" i="66" s="1"/>
  <c r="I431" i="41"/>
  <c r="I357" i="41"/>
  <c r="U191" i="66" l="1"/>
  <c r="N202" i="66"/>
  <c r="I403" i="41"/>
  <c r="I220" i="41"/>
  <c r="I252" i="41"/>
  <c r="J321" i="41"/>
  <c r="J297" i="41"/>
  <c r="J271" i="41"/>
  <c r="J357" i="41"/>
  <c r="J397" i="41"/>
  <c r="J158" i="41"/>
  <c r="H335" i="41"/>
  <c r="H380" i="41"/>
  <c r="J399" i="41"/>
  <c r="H299" i="41"/>
  <c r="I401" i="41"/>
  <c r="J223" i="41"/>
  <c r="H207" i="41"/>
  <c r="H263" i="41"/>
  <c r="H279" i="41"/>
  <c r="J245" i="41"/>
  <c r="I378" i="41"/>
  <c r="I183" i="41"/>
  <c r="I198" i="41"/>
  <c r="H268" i="41"/>
  <c r="H206" i="41"/>
  <c r="I302" i="41"/>
  <c r="H340" i="41"/>
  <c r="J240" i="41"/>
  <c r="J147" i="41"/>
  <c r="J368" i="41"/>
  <c r="I287" i="41"/>
  <c r="I194" i="41"/>
  <c r="I367" i="41"/>
  <c r="H259" i="41"/>
  <c r="J340" i="41"/>
  <c r="I399" i="41"/>
  <c r="H193" i="41"/>
  <c r="J327" i="41"/>
  <c r="J263" i="41"/>
  <c r="J164" i="41"/>
  <c r="H170" i="41"/>
  <c r="I236" i="41"/>
  <c r="H210" i="41"/>
  <c r="H393" i="41"/>
  <c r="I199" i="41"/>
  <c r="I262" i="41"/>
  <c r="H190" i="41"/>
  <c r="H358" i="41"/>
  <c r="H218" i="41"/>
  <c r="I248" i="41"/>
  <c r="J389" i="41"/>
  <c r="J333" i="41"/>
  <c r="J198" i="41"/>
  <c r="I123" i="41"/>
  <c r="J148" i="41"/>
  <c r="I318" i="41"/>
  <c r="I278" i="41"/>
  <c r="H252" i="41"/>
  <c r="J173" i="41"/>
  <c r="J330" i="41"/>
  <c r="I189" i="41"/>
  <c r="I180" i="41"/>
  <c r="H225" i="41"/>
  <c r="J161" i="41"/>
  <c r="I353" i="41"/>
  <c r="J258" i="41"/>
  <c r="I261" i="41"/>
  <c r="I124" i="41"/>
  <c r="J351" i="41"/>
  <c r="I203" i="41"/>
  <c r="J169" i="41"/>
  <c r="I175" i="41"/>
  <c r="I229" i="41"/>
  <c r="I170" i="41"/>
  <c r="I151" i="41"/>
  <c r="I231" i="41"/>
  <c r="J288" i="41"/>
  <c r="H132" i="41"/>
  <c r="I384" i="41"/>
  <c r="H176" i="41"/>
  <c r="I355" i="41"/>
  <c r="I227" i="41"/>
  <c r="H138" i="41"/>
  <c r="J329" i="41"/>
  <c r="I271" i="41"/>
  <c r="H167" i="41"/>
  <c r="H161" i="41"/>
  <c r="H375" i="41"/>
  <c r="J259" i="41"/>
  <c r="H387" i="41"/>
  <c r="I360" i="41"/>
  <c r="J267" i="41"/>
  <c r="J365" i="41"/>
  <c r="H347" i="41"/>
  <c r="J149" i="41"/>
  <c r="H367" i="41"/>
  <c r="H391" i="41"/>
  <c r="J463" i="41"/>
  <c r="H351" i="41"/>
  <c r="I240" i="41"/>
  <c r="J400" i="41"/>
  <c r="J277" i="41"/>
  <c r="H151" i="41"/>
  <c r="I158" i="41"/>
  <c r="J381" i="41"/>
  <c r="I333" i="41"/>
  <c r="I221" i="41"/>
  <c r="J320" i="41"/>
  <c r="J195" i="41"/>
  <c r="J191" i="41"/>
  <c r="I250" i="41"/>
  <c r="I167" i="41"/>
  <c r="H160" i="41"/>
  <c r="I222" i="41"/>
  <c r="I319" i="41"/>
  <c r="J303" i="41"/>
  <c r="J242" i="41"/>
  <c r="J342" i="41"/>
  <c r="H323" i="41"/>
  <c r="J353" i="41"/>
  <c r="I364" i="41"/>
  <c r="J231" i="41"/>
  <c r="J150" i="41"/>
  <c r="J237" i="41"/>
  <c r="H125" i="41"/>
  <c r="J358" i="41"/>
  <c r="I253" i="41"/>
  <c r="H362" i="41"/>
  <c r="J199" i="41"/>
  <c r="H339" i="41"/>
  <c r="I400" i="41"/>
  <c r="J137" i="41"/>
  <c r="H224" i="41"/>
  <c r="H208" i="41"/>
  <c r="J299" i="41"/>
  <c r="H370" i="41"/>
  <c r="J122" i="41"/>
  <c r="J184" i="41"/>
  <c r="J156" i="41"/>
  <c r="F193" i="66"/>
  <c r="I187" i="41"/>
  <c r="H229" i="41"/>
  <c r="I306" i="41"/>
  <c r="H227" i="41"/>
  <c r="I301" i="41"/>
  <c r="H313" i="41"/>
  <c r="I214" i="41"/>
  <c r="I376" i="41"/>
  <c r="J278" i="41"/>
  <c r="H342" i="41"/>
  <c r="J214" i="41"/>
  <c r="H238" i="41"/>
  <c r="J233" i="41"/>
  <c r="I352" i="41"/>
  <c r="I178" i="41"/>
  <c r="H292" i="41"/>
  <c r="I211" i="41"/>
  <c r="I263" i="41"/>
  <c r="H236" i="41"/>
  <c r="I309" i="41"/>
  <c r="I159" i="41"/>
  <c r="I146" i="41"/>
  <c r="J239" i="41"/>
  <c r="H365" i="41"/>
  <c r="J269" i="41"/>
  <c r="H309" i="41"/>
  <c r="H311" i="41"/>
  <c r="J394" i="41"/>
  <c r="J138" i="41"/>
  <c r="J283" i="41"/>
  <c r="H332" i="41"/>
  <c r="I349" i="41"/>
  <c r="I292" i="41"/>
  <c r="I296" i="41"/>
  <c r="J274" i="41"/>
  <c r="J287" i="41"/>
  <c r="J222" i="41"/>
  <c r="J326" i="41"/>
  <c r="H196" i="41"/>
  <c r="H199" i="41"/>
  <c r="H142" i="41"/>
  <c r="J183" i="41"/>
  <c r="J334" i="41"/>
  <c r="H385" i="41"/>
  <c r="H147" i="41"/>
  <c r="J197" i="41"/>
  <c r="I325" i="41"/>
  <c r="H287" i="41"/>
  <c r="H390" i="41"/>
  <c r="H382" i="41"/>
  <c r="J360" i="41"/>
  <c r="I369" i="41"/>
  <c r="H392" i="41"/>
  <c r="H222" i="41"/>
  <c r="J319" i="41"/>
  <c r="H241" i="41"/>
  <c r="I274" i="41"/>
  <c r="I130" i="41"/>
  <c r="H315" i="41"/>
  <c r="H319" i="41"/>
  <c r="I137" i="41"/>
  <c r="I140" i="41"/>
  <c r="I128" i="41"/>
  <c r="H231" i="41"/>
  <c r="H130" i="41"/>
  <c r="I185" i="41"/>
  <c r="H173" i="41"/>
  <c r="I327" i="41"/>
  <c r="J167" i="41"/>
  <c r="H165" i="41"/>
  <c r="H185" i="41"/>
  <c r="I383" i="41"/>
  <c r="I377" i="41"/>
  <c r="J285" i="41"/>
  <c r="I192" i="41"/>
  <c r="J205" i="41"/>
  <c r="I195" i="41"/>
  <c r="I297" i="41"/>
  <c r="H273" i="41"/>
  <c r="H398" i="41"/>
  <c r="I191" i="41"/>
  <c r="I276" i="41"/>
  <c r="H341" i="41"/>
  <c r="J376" i="41"/>
  <c r="I312" i="41"/>
  <c r="H344" i="41"/>
  <c r="I161" i="41"/>
  <c r="H326" i="41"/>
  <c r="H325" i="41"/>
  <c r="J257" i="41"/>
  <c r="H128" i="41"/>
  <c r="I272" i="41"/>
  <c r="I354" i="41"/>
  <c r="H284" i="41"/>
  <c r="I141" i="41"/>
  <c r="I145" i="41"/>
  <c r="H223" i="41"/>
  <c r="H353" i="41"/>
  <c r="J349" i="41"/>
  <c r="I305" i="41"/>
  <c r="J291" i="41"/>
  <c r="J241" i="41"/>
  <c r="I331" i="41"/>
  <c r="I164" i="41"/>
  <c r="I207" i="41"/>
  <c r="J370" i="41"/>
  <c r="I237" i="41"/>
  <c r="J236" i="41"/>
  <c r="H294" i="41"/>
  <c r="H184" i="41"/>
  <c r="J310" i="41"/>
  <c r="H249" i="41"/>
  <c r="H247" i="41"/>
  <c r="J268" i="41"/>
  <c r="J243" i="41"/>
  <c r="I304" i="41"/>
  <c r="I165" i="41"/>
  <c r="H261" i="41"/>
  <c r="H272" i="41"/>
  <c r="J352" i="41"/>
  <c r="H174" i="41"/>
  <c r="J393" i="41"/>
  <c r="I270" i="41"/>
  <c r="I259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94" i="41"/>
  <c r="H312" i="41"/>
  <c r="H286" i="41"/>
  <c r="J391" i="41"/>
  <c r="I184" i="41"/>
  <c r="H283" i="41"/>
  <c r="I375" i="41"/>
  <c r="H328" i="41"/>
  <c r="H155" i="41"/>
  <c r="I202" i="41"/>
  <c r="I238" i="41"/>
  <c r="J392" i="41"/>
  <c r="I387" i="41"/>
  <c r="H288" i="41"/>
  <c r="J124" i="41"/>
  <c r="H166" i="41"/>
  <c r="J375" i="41"/>
  <c r="H397" i="41"/>
  <c r="H137" i="41"/>
  <c r="H202" i="41"/>
  <c r="H148" i="41"/>
  <c r="H401" i="41"/>
  <c r="I239" i="41"/>
  <c r="I280" i="41"/>
  <c r="H182" i="41"/>
  <c r="I176" i="41"/>
  <c r="I150" i="41"/>
  <c r="J125" i="41"/>
  <c r="I224" i="41"/>
  <c r="I212" i="41"/>
  <c r="J212" i="41"/>
  <c r="H217" i="41"/>
  <c r="H296" i="41"/>
  <c r="J280" i="41"/>
  <c r="H177" i="41"/>
  <c r="H269" i="41"/>
  <c r="J337" i="41"/>
  <c r="H388" i="41"/>
  <c r="I393" i="41"/>
  <c r="J382" i="41"/>
  <c r="I244" i="41"/>
  <c r="J373" i="41"/>
  <c r="H201" i="41"/>
  <c r="J185" i="41"/>
  <c r="I190" i="41"/>
  <c r="J216" i="41"/>
  <c r="I285" i="41"/>
  <c r="J250" i="41"/>
  <c r="I245" i="41"/>
  <c r="J202" i="41"/>
  <c r="H384" i="41"/>
  <c r="J253" i="41"/>
  <c r="J313" i="41"/>
  <c r="I269" i="41"/>
  <c r="H157" i="41"/>
  <c r="H363" i="41"/>
  <c r="J132" i="41"/>
  <c r="I201" i="41"/>
  <c r="H298" i="41"/>
  <c r="H377" i="41"/>
  <c r="J178" i="41"/>
  <c r="J362" i="41"/>
  <c r="H234" i="41"/>
  <c r="I386" i="41"/>
  <c r="H395" i="41"/>
  <c r="J226" i="41"/>
  <c r="H345" i="41"/>
  <c r="J155" i="41"/>
  <c r="I233" i="41"/>
  <c r="J174" i="41"/>
  <c r="I321" i="41"/>
  <c r="J345" i="41"/>
  <c r="H346" i="41"/>
  <c r="H280" i="41"/>
  <c r="I380" i="41"/>
  <c r="H192" i="41"/>
  <c r="H188" i="41"/>
  <c r="H187" i="41"/>
  <c r="H260" i="41"/>
  <c r="J247" i="41"/>
  <c r="I218" i="41"/>
  <c r="I288" i="41"/>
  <c r="I336" i="41"/>
  <c r="I171" i="41"/>
  <c r="I254" i="41"/>
  <c r="H317" i="41"/>
  <c r="J395" i="41"/>
  <c r="H360" i="41"/>
  <c r="J265" i="41"/>
  <c r="J166" i="41"/>
  <c r="H200" i="41"/>
  <c r="H337" i="41"/>
  <c r="I197" i="41"/>
  <c r="H394" i="41"/>
  <c r="I397" i="41"/>
  <c r="H244" i="41"/>
  <c r="J217" i="41"/>
  <c r="J372" i="41"/>
  <c r="H330" i="41"/>
  <c r="J176" i="41"/>
  <c r="I293" i="41"/>
  <c r="I334" i="41"/>
  <c r="J255" i="41"/>
  <c r="J229" i="41"/>
  <c r="J131" i="37"/>
  <c r="J131" i="58"/>
  <c r="L44" i="39"/>
  <c r="E161" i="38" s="1"/>
  <c r="F200" i="66"/>
  <c r="F205" i="66"/>
  <c r="N205" i="66" s="1"/>
  <c r="D64" i="57"/>
  <c r="D57" i="57"/>
  <c r="F208" i="66"/>
  <c r="O267" i="66"/>
  <c r="Y123" i="66"/>
  <c r="O123" i="66"/>
  <c r="Z123" i="66"/>
  <c r="Z267" i="66"/>
  <c r="Y267" i="66"/>
  <c r="J152" i="41"/>
  <c r="J307" i="41"/>
  <c r="J206" i="41"/>
  <c r="J151" i="41"/>
  <c r="H258" i="41"/>
  <c r="J328" i="41"/>
  <c r="I153" i="41"/>
  <c r="J140" i="41"/>
  <c r="I340" i="41"/>
  <c r="J378" i="41"/>
  <c r="I335" i="41"/>
  <c r="H400" i="41"/>
  <c r="I286" i="41"/>
  <c r="J355" i="41"/>
  <c r="F145" i="66"/>
  <c r="J403" i="41"/>
  <c r="I225" i="41"/>
  <c r="H221" i="41"/>
  <c r="H254" i="41"/>
  <c r="J260" i="41"/>
  <c r="I196" i="41"/>
  <c r="H376" i="41"/>
  <c r="H172" i="41"/>
  <c r="I223" i="41"/>
  <c r="J189" i="41"/>
  <c r="H316" i="41"/>
  <c r="I396" i="41"/>
  <c r="I243" i="41"/>
  <c r="H153" i="41"/>
  <c r="H285" i="41"/>
  <c r="J134" i="41"/>
  <c r="I241" i="41"/>
  <c r="J284" i="41"/>
  <c r="H270" i="41"/>
  <c r="I311" i="41"/>
  <c r="I346" i="41"/>
  <c r="J468" i="41"/>
  <c r="F113" i="66"/>
  <c r="N113" i="66" s="1"/>
  <c r="F216" i="66"/>
  <c r="N216" i="66" s="1"/>
  <c r="D59" i="57"/>
  <c r="I282" i="41"/>
  <c r="F77" i="66"/>
  <c r="D22" i="57"/>
  <c r="I300" i="41"/>
  <c r="E393" i="38"/>
  <c r="M86" i="66" s="1"/>
  <c r="D17" i="57"/>
  <c r="I471" i="37"/>
  <c r="I472" i="37"/>
  <c r="F86" i="66"/>
  <c r="O271" i="66"/>
  <c r="Y127" i="66"/>
  <c r="Y271" i="66"/>
  <c r="Z271" i="66"/>
  <c r="Z127" i="66"/>
  <c r="O127" i="66"/>
  <c r="H168" i="41"/>
  <c r="D7" i="57"/>
  <c r="F24" i="66"/>
  <c r="N24" i="66" s="1"/>
  <c r="E23" i="53"/>
  <c r="F23" i="53" s="1"/>
  <c r="I348" i="41"/>
  <c r="F71" i="66"/>
  <c r="N71" i="66" s="1"/>
  <c r="D26" i="57"/>
  <c r="Y95" i="66"/>
  <c r="Z95" i="66"/>
  <c r="Z239" i="66"/>
  <c r="Y239" i="66"/>
  <c r="O95" i="66"/>
  <c r="F56" i="66"/>
  <c r="D44" i="39"/>
  <c r="E110" i="38" s="1"/>
  <c r="I470" i="41"/>
  <c r="D17" i="39" s="1"/>
  <c r="H139" i="37"/>
  <c r="H139" i="58"/>
  <c r="I402" i="41"/>
  <c r="F98" i="66"/>
  <c r="N98" i="66" s="1"/>
  <c r="I131" i="37"/>
  <c r="I131" i="58"/>
  <c r="C42" i="63" s="1"/>
  <c r="H131" i="37"/>
  <c r="H131" i="58"/>
  <c r="I139" i="37"/>
  <c r="I139" i="58"/>
  <c r="J143" i="37"/>
  <c r="J143" i="58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186" i="41"/>
  <c r="D31" i="57"/>
  <c r="F112" i="66"/>
  <c r="H348" i="41"/>
  <c r="D13" i="57"/>
  <c r="F23" i="66"/>
  <c r="N23" i="66" s="1"/>
  <c r="J402" i="41"/>
  <c r="F146" i="66"/>
  <c r="N146" i="66" s="1"/>
  <c r="F125" i="66"/>
  <c r="J282" i="41"/>
  <c r="D35" i="57"/>
  <c r="J246" i="41"/>
  <c r="D36" i="57"/>
  <c r="F110" i="66"/>
  <c r="N110" i="66" s="1"/>
  <c r="J144" i="41"/>
  <c r="F114" i="66"/>
  <c r="N114" i="66" s="1"/>
  <c r="D32" i="57"/>
  <c r="Q237" i="66"/>
  <c r="R237" i="66" s="1"/>
  <c r="T237" i="66" s="1"/>
  <c r="V237" i="66"/>
  <c r="X237" i="66" s="1"/>
  <c r="U237" i="66"/>
  <c r="I392" i="41"/>
  <c r="H154" i="41"/>
  <c r="H265" i="41"/>
  <c r="H289" i="41"/>
  <c r="J192" i="41"/>
  <c r="I168" i="41"/>
  <c r="F72" i="66"/>
  <c r="N72" i="66" s="1"/>
  <c r="D20" i="57"/>
  <c r="D61" i="57"/>
  <c r="F221" i="66"/>
  <c r="J346" i="41"/>
  <c r="H183" i="41"/>
  <c r="I358" i="41"/>
  <c r="J210" i="41"/>
  <c r="H302" i="41"/>
  <c r="H381" i="41"/>
  <c r="J338" i="41"/>
  <c r="H164" i="41"/>
  <c r="I242" i="41"/>
  <c r="H124" i="41"/>
  <c r="I295" i="41"/>
  <c r="H368" i="41"/>
  <c r="I133" i="41"/>
  <c r="H372" i="41"/>
  <c r="J336" i="41"/>
  <c r="I471" i="58"/>
  <c r="F231" i="66" s="1"/>
  <c r="N231" i="66" s="1"/>
  <c r="I472" i="58"/>
  <c r="F230" i="66"/>
  <c r="D56" i="57"/>
  <c r="E396" i="38"/>
  <c r="M230" i="66" s="1"/>
  <c r="J254" i="41"/>
  <c r="I322" i="41"/>
  <c r="J201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321" i="41"/>
  <c r="I266" i="41"/>
  <c r="I373" i="41"/>
  <c r="J262" i="41"/>
  <c r="I398" i="41"/>
  <c r="F34" i="66"/>
  <c r="D14" i="57"/>
  <c r="E4" i="53"/>
  <c r="F4" i="53" s="1"/>
  <c r="H10" i="53" s="1"/>
  <c r="H366" i="41"/>
  <c r="F274" i="66"/>
  <c r="E34" i="53"/>
  <c r="F34" i="53" s="1"/>
  <c r="D79" i="57"/>
  <c r="I372" i="41"/>
  <c r="J234" i="41"/>
  <c r="I341" i="41"/>
  <c r="H374" i="41"/>
  <c r="H402" i="41"/>
  <c r="F50" i="66"/>
  <c r="N50" i="66" s="1"/>
  <c r="I469" i="41"/>
  <c r="F58" i="66"/>
  <c r="N58" i="66" s="1"/>
  <c r="H203" i="41"/>
  <c r="J145" i="41"/>
  <c r="I316" i="41"/>
  <c r="H159" i="41"/>
  <c r="I268" i="41"/>
  <c r="J135" i="58"/>
  <c r="C49" i="63" s="1"/>
  <c r="J135" i="37"/>
  <c r="I127" i="58"/>
  <c r="I127" i="37"/>
  <c r="J385" i="41"/>
  <c r="H275" i="41"/>
  <c r="D3" i="57"/>
  <c r="F4" i="66"/>
  <c r="N4" i="66" s="1"/>
  <c r="H204" i="41"/>
  <c r="J200" i="41"/>
  <c r="I179" i="41"/>
  <c r="I382" i="41"/>
  <c r="I188" i="41"/>
  <c r="J218" i="41"/>
  <c r="I216" i="41"/>
  <c r="J354" i="41"/>
  <c r="J317" i="41"/>
  <c r="I279" i="41"/>
  <c r="I129" i="41"/>
  <c r="D9" i="57"/>
  <c r="H282" i="41"/>
  <c r="F29" i="66"/>
  <c r="J339" i="41"/>
  <c r="J211" i="41"/>
  <c r="E17" i="53"/>
  <c r="F17" i="53" s="1"/>
  <c r="H23" i="53" s="1"/>
  <c r="I257" i="41"/>
  <c r="H314" i="41"/>
  <c r="J306" i="41"/>
  <c r="J367" i="41"/>
  <c r="H149" i="41"/>
  <c r="D70" i="57"/>
  <c r="F256" i="66"/>
  <c r="I217" i="41"/>
  <c r="F167" i="66"/>
  <c r="N167" i="66" s="1"/>
  <c r="D52" i="57"/>
  <c r="H291" i="41"/>
  <c r="H371" i="41"/>
  <c r="J154" i="41"/>
  <c r="H232" i="41"/>
  <c r="I289" i="41"/>
  <c r="H181" i="41"/>
  <c r="J356" i="41"/>
  <c r="V57" i="66"/>
  <c r="X57" i="66" s="1"/>
  <c r="U57" i="66"/>
  <c r="Q57" i="66"/>
  <c r="R57" i="66" s="1"/>
  <c r="T57" i="66" s="1"/>
  <c r="D74" i="57"/>
  <c r="F269" i="66"/>
  <c r="D75" i="57"/>
  <c r="F254" i="66"/>
  <c r="N254" i="66" s="1"/>
  <c r="H350" i="41"/>
  <c r="H209" i="41"/>
  <c r="J383" i="41"/>
  <c r="H129" i="41"/>
  <c r="J190" i="41"/>
  <c r="I273" i="41"/>
  <c r="H255" i="41"/>
  <c r="J384" i="41"/>
  <c r="H243" i="41"/>
  <c r="D71" i="57"/>
  <c r="F258" i="66"/>
  <c r="N258" i="66" s="1"/>
  <c r="I326" i="41"/>
  <c r="H383" i="41"/>
  <c r="I391" i="41"/>
  <c r="H318" i="41"/>
  <c r="H329" i="41"/>
  <c r="J170" i="41"/>
  <c r="J308" i="41"/>
  <c r="I126" i="41"/>
  <c r="H293" i="41"/>
  <c r="I290" i="41"/>
  <c r="J293" i="41"/>
  <c r="H355" i="41"/>
  <c r="H126" i="41"/>
  <c r="F217" i="66"/>
  <c r="D54" i="57"/>
  <c r="J136" i="41"/>
  <c r="D51" i="57"/>
  <c r="F157" i="66"/>
  <c r="N157" i="66" s="1"/>
  <c r="J180" i="41"/>
  <c r="J309" i="41"/>
  <c r="I315" i="41"/>
  <c r="H211" i="41"/>
  <c r="I122" i="41"/>
  <c r="H310" i="41"/>
  <c r="H320" i="41"/>
  <c r="J238" i="41"/>
  <c r="F158" i="66"/>
  <c r="N158" i="66" s="1"/>
  <c r="D49" i="57"/>
  <c r="H357" i="41"/>
  <c r="I234" i="41"/>
  <c r="D76" i="57"/>
  <c r="F273" i="66"/>
  <c r="N273" i="66" s="1"/>
  <c r="D53" i="57"/>
  <c r="F178" i="66"/>
  <c r="E10" i="53"/>
  <c r="F10" i="53" s="1"/>
  <c r="D40" i="57"/>
  <c r="E28" i="53"/>
  <c r="F28" i="53" s="1"/>
  <c r="H34" i="53" s="1"/>
  <c r="F130" i="66"/>
  <c r="J366" i="41"/>
  <c r="H396" i="41"/>
  <c r="E5" i="53"/>
  <c r="F5" i="53" s="1"/>
  <c r="H403" i="41"/>
  <c r="F152" i="66"/>
  <c r="K44" i="39"/>
  <c r="E144" i="38" s="1"/>
  <c r="I350" i="41"/>
  <c r="H331" i="41"/>
  <c r="F196" i="66"/>
  <c r="N196" i="66" s="1"/>
  <c r="D55" i="57"/>
  <c r="I374" i="41"/>
  <c r="F148" i="66"/>
  <c r="N148" i="66" s="1"/>
  <c r="D42" i="57"/>
  <c r="D48" i="57"/>
  <c r="F173" i="66"/>
  <c r="G250" i="66"/>
  <c r="N250" i="66" s="1"/>
  <c r="J429" i="58"/>
  <c r="F25" i="66"/>
  <c r="H120" i="41"/>
  <c r="D2" i="57"/>
  <c r="D11" i="57"/>
  <c r="F33" i="66"/>
  <c r="N33" i="66" s="1"/>
  <c r="H264" i="41"/>
  <c r="D60" i="57"/>
  <c r="F233" i="66"/>
  <c r="N3" i="58"/>
  <c r="V249" i="66"/>
  <c r="X249" i="66" s="1"/>
  <c r="U249" i="66"/>
  <c r="Q249" i="66"/>
  <c r="R249" i="66" s="1"/>
  <c r="T249" i="66" s="1"/>
  <c r="Q203" i="66"/>
  <c r="R203" i="66" s="1"/>
  <c r="T203" i="66" s="1"/>
  <c r="U203" i="66"/>
  <c r="V203" i="66"/>
  <c r="X203" i="66" s="1"/>
  <c r="J168" i="41"/>
  <c r="D33" i="57"/>
  <c r="F120" i="66"/>
  <c r="N120" i="66" s="1"/>
  <c r="Z105" i="66"/>
  <c r="Y249" i="66"/>
  <c r="Y105" i="66"/>
  <c r="Z249" i="66"/>
  <c r="O105" i="66"/>
  <c r="F248" i="66"/>
  <c r="M44" i="39"/>
  <c r="E178" i="38" s="1"/>
  <c r="I120" i="41"/>
  <c r="F73" i="66"/>
  <c r="D15" i="57"/>
  <c r="F13" i="66"/>
  <c r="N13" i="66" s="1"/>
  <c r="D12" i="57"/>
  <c r="H324" i="41"/>
  <c r="F14" i="66"/>
  <c r="N14" i="66" s="1"/>
  <c r="H246" i="41"/>
  <c r="D10" i="57"/>
  <c r="Z285" i="66"/>
  <c r="Z141" i="66"/>
  <c r="Y285" i="66"/>
  <c r="Y141" i="66"/>
  <c r="O141" i="66"/>
  <c r="I308" i="41"/>
  <c r="I173" i="41"/>
  <c r="I275" i="41"/>
  <c r="J251" i="41"/>
  <c r="H386" i="41"/>
  <c r="I317" i="41"/>
  <c r="I136" i="41"/>
  <c r="H156" i="41"/>
  <c r="J171" i="41"/>
  <c r="J194" i="41"/>
  <c r="I255" i="41"/>
  <c r="I307" i="41"/>
  <c r="H169" i="41"/>
  <c r="H220" i="41"/>
  <c r="J315" i="41"/>
  <c r="J130" i="41"/>
  <c r="F265" i="66"/>
  <c r="D67" i="57"/>
  <c r="H212" i="41"/>
  <c r="I182" i="41"/>
  <c r="J347" i="41"/>
  <c r="I343" i="41"/>
  <c r="I347" i="41"/>
  <c r="I147" i="41"/>
  <c r="H389" i="41"/>
  <c r="J364" i="41"/>
  <c r="H256" i="41"/>
  <c r="J179" i="41"/>
  <c r="I368" i="41"/>
  <c r="H250" i="41"/>
  <c r="I362" i="41"/>
  <c r="E394" i="38"/>
  <c r="M134" i="66" s="1"/>
  <c r="J472" i="37"/>
  <c r="J471" i="37"/>
  <c r="F134" i="66"/>
  <c r="J300" i="41"/>
  <c r="D30" i="57"/>
  <c r="D29" i="57"/>
  <c r="J204" i="41"/>
  <c r="F100" i="66"/>
  <c r="N100" i="66" s="1"/>
  <c r="J279" i="41"/>
  <c r="J295" i="41"/>
  <c r="I204" i="41"/>
  <c r="D16" i="57"/>
  <c r="F52" i="66"/>
  <c r="N52" i="66" s="1"/>
  <c r="H135" i="58"/>
  <c r="C31" i="63" s="1"/>
  <c r="H135" i="37"/>
  <c r="H143" i="37"/>
  <c r="H143" i="58"/>
  <c r="F97" i="66"/>
  <c r="G106" i="66"/>
  <c r="J429" i="37"/>
  <c r="F169" i="66"/>
  <c r="D41" i="57"/>
  <c r="I277" i="41"/>
  <c r="H197" i="41"/>
  <c r="F177" i="66"/>
  <c r="N177" i="66" s="1"/>
  <c r="D50" i="57"/>
  <c r="J207" i="41"/>
  <c r="H369" i="41"/>
  <c r="I337" i="41"/>
  <c r="J224" i="41"/>
  <c r="D21" i="57"/>
  <c r="I228" i="41"/>
  <c r="N3" i="37"/>
  <c r="F89" i="66"/>
  <c r="H198" i="41"/>
  <c r="H133" i="41"/>
  <c r="H253" i="41"/>
  <c r="H327" i="41"/>
  <c r="I463" i="41"/>
  <c r="H356" i="41"/>
  <c r="I152" i="41"/>
  <c r="H354" i="41"/>
  <c r="J350" i="41"/>
  <c r="H213" i="41"/>
  <c r="J172" i="41"/>
  <c r="I138" i="41"/>
  <c r="J127" i="41"/>
  <c r="I320" i="41"/>
  <c r="I166" i="41"/>
  <c r="J305" i="41"/>
  <c r="F264" i="66"/>
  <c r="N264" i="66" s="1"/>
  <c r="D72" i="57"/>
  <c r="J316" i="41"/>
  <c r="I284" i="41"/>
  <c r="J290" i="41"/>
  <c r="J331" i="41"/>
  <c r="J286" i="41"/>
  <c r="I371" i="41"/>
  <c r="V93" i="66"/>
  <c r="X93" i="66" s="1"/>
  <c r="U93" i="66"/>
  <c r="Q93" i="66"/>
  <c r="R93" i="66" s="1"/>
  <c r="T93" i="66" s="1"/>
  <c r="F17" i="66"/>
  <c r="N17" i="66" s="1"/>
  <c r="H468" i="41"/>
  <c r="D28" i="57"/>
  <c r="F121" i="66"/>
  <c r="G21" i="39" s="1"/>
  <c r="J120" i="41"/>
  <c r="D69" i="57"/>
  <c r="J471" i="58"/>
  <c r="F279" i="66" s="1"/>
  <c r="N279" i="66" s="1"/>
  <c r="F278" i="66"/>
  <c r="E397" i="38"/>
  <c r="M278" i="66" s="1"/>
  <c r="J472" i="58"/>
  <c r="D68" i="57"/>
  <c r="F244" i="66"/>
  <c r="N244" i="66" s="1"/>
  <c r="Y107" i="66"/>
  <c r="Y251" i="66"/>
  <c r="Z251" i="66"/>
  <c r="O107" i="66"/>
  <c r="Z107" i="66"/>
  <c r="H191" i="41"/>
  <c r="J182" i="41"/>
  <c r="H178" i="41"/>
  <c r="H230" i="41"/>
  <c r="H179" i="41"/>
  <c r="J249" i="41"/>
  <c r="J386" i="41"/>
  <c r="H305" i="41"/>
  <c r="H127" i="37"/>
  <c r="H127" i="58"/>
  <c r="O223" i="66"/>
  <c r="O79" i="66"/>
  <c r="Z223" i="66"/>
  <c r="Z79" i="66"/>
  <c r="Y223" i="66"/>
  <c r="Y79" i="66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J374" i="41"/>
  <c r="J256" i="41"/>
  <c r="J363" i="41"/>
  <c r="J275" i="41"/>
  <c r="E395" i="38"/>
  <c r="M182" i="66" s="1"/>
  <c r="H472" i="58"/>
  <c r="H471" i="58"/>
  <c r="F183" i="66" s="1"/>
  <c r="N183" i="66" s="1"/>
  <c r="D43" i="57"/>
  <c r="F182" i="66"/>
  <c r="H262" i="41"/>
  <c r="J344" i="41"/>
  <c r="I294" i="41"/>
  <c r="F210" i="66"/>
  <c r="N210" i="66" s="1"/>
  <c r="D58" i="57"/>
  <c r="J335" i="41"/>
  <c r="H140" i="41"/>
  <c r="I226" i="41"/>
  <c r="I389" i="41"/>
  <c r="H240" i="41"/>
  <c r="I310" i="41"/>
  <c r="J146" i="41"/>
  <c r="I394" i="41"/>
  <c r="D34" i="57"/>
  <c r="J228" i="41"/>
  <c r="F137" i="66"/>
  <c r="O3" i="37"/>
  <c r="D23" i="57"/>
  <c r="F62" i="66"/>
  <c r="N62" i="66" s="1"/>
  <c r="I246" i="41"/>
  <c r="J165" i="41"/>
  <c r="H237" i="41"/>
  <c r="H333" i="41"/>
  <c r="I356" i="41"/>
  <c r="I155" i="41"/>
  <c r="H239" i="41"/>
  <c r="J369" i="41"/>
  <c r="I281" i="41"/>
  <c r="E26" i="53"/>
  <c r="J121" i="41"/>
  <c r="F115" i="66"/>
  <c r="I339" i="41"/>
  <c r="I390" i="41"/>
  <c r="I219" i="41"/>
  <c r="H266" i="41"/>
  <c r="H361" i="41"/>
  <c r="I169" i="41"/>
  <c r="H216" i="41"/>
  <c r="H303" i="41"/>
  <c r="H378" i="41"/>
  <c r="J332" i="41"/>
  <c r="I156" i="41"/>
  <c r="J159" i="41"/>
  <c r="H373" i="41"/>
  <c r="H301" i="41"/>
  <c r="H248" i="41"/>
  <c r="J215" i="41"/>
  <c r="H338" i="41"/>
  <c r="C44" i="39"/>
  <c r="E93" i="38" s="1"/>
  <c r="F8" i="66"/>
  <c r="H470" i="41"/>
  <c r="C17" i="39" s="1"/>
  <c r="U239" i="66"/>
  <c r="V239" i="66"/>
  <c r="X239" i="66" s="1"/>
  <c r="Q239" i="66"/>
  <c r="R239" i="66" s="1"/>
  <c r="T239" i="66" s="1"/>
  <c r="J270" i="41"/>
  <c r="I206" i="41"/>
  <c r="J142" i="41"/>
  <c r="H308" i="41"/>
  <c r="I132" i="41"/>
  <c r="J301" i="41"/>
  <c r="I345" i="41"/>
  <c r="I249" i="41"/>
  <c r="J209" i="41"/>
  <c r="H136" i="41"/>
  <c r="H304" i="41"/>
  <c r="H334" i="41"/>
  <c r="I181" i="41"/>
  <c r="I303" i="41"/>
  <c r="J302" i="41"/>
  <c r="H274" i="41"/>
  <c r="J232" i="41"/>
  <c r="I258" i="41"/>
  <c r="H171" i="41"/>
  <c r="F225" i="66"/>
  <c r="N225" i="66" s="1"/>
  <c r="D63" i="57"/>
  <c r="J252" i="41"/>
  <c r="D38" i="57"/>
  <c r="J324" i="41"/>
  <c r="F109" i="66"/>
  <c r="N109" i="66" s="1"/>
  <c r="H359" i="41"/>
  <c r="D45" i="57"/>
  <c r="F162" i="66"/>
  <c r="N162" i="66" s="1"/>
  <c r="H276" i="41"/>
  <c r="H219" i="41"/>
  <c r="I267" i="41"/>
  <c r="J298" i="41"/>
  <c r="U31" i="66"/>
  <c r="Q31" i="66"/>
  <c r="I232" i="41"/>
  <c r="H352" i="41"/>
  <c r="J314" i="41"/>
  <c r="I177" i="41"/>
  <c r="H297" i="41"/>
  <c r="J153" i="41"/>
  <c r="I351" i="41"/>
  <c r="J322" i="41"/>
  <c r="E35" i="53"/>
  <c r="F35" i="53" s="1"/>
  <c r="I135" i="37"/>
  <c r="I135" i="58"/>
  <c r="C40" i="63" s="1"/>
  <c r="J404" i="37"/>
  <c r="J404" i="58"/>
  <c r="F270" i="66" s="1"/>
  <c r="N270" i="66" s="1"/>
  <c r="J139" i="58"/>
  <c r="C50" i="63" s="1"/>
  <c r="J139" i="37"/>
  <c r="U175" i="66"/>
  <c r="Q175" i="66"/>
  <c r="I251" i="41"/>
  <c r="H122" i="41"/>
  <c r="I359" i="41"/>
  <c r="I210" i="41"/>
  <c r="E20" i="53"/>
  <c r="F211" i="66"/>
  <c r="H189" i="41"/>
  <c r="I149" i="41"/>
  <c r="H214" i="41"/>
  <c r="H463" i="41"/>
  <c r="H300" i="41"/>
  <c r="F38" i="66"/>
  <c r="H472" i="37"/>
  <c r="H471" i="37"/>
  <c r="E392" i="38"/>
  <c r="M38" i="66" s="1"/>
  <c r="D4" i="57"/>
  <c r="D19" i="57"/>
  <c r="I144" i="41"/>
  <c r="F66" i="66"/>
  <c r="N66" i="66" s="1"/>
  <c r="V59" i="66"/>
  <c r="X59" i="66" s="1"/>
  <c r="U59" i="66"/>
  <c r="Q59" i="66"/>
  <c r="R59" i="66" s="1"/>
  <c r="T59" i="66" s="1"/>
  <c r="V201" i="66"/>
  <c r="X201" i="66" s="1"/>
  <c r="U201" i="66"/>
  <c r="Q201" i="66"/>
  <c r="R201" i="66" s="1"/>
  <c r="T201" i="66" s="1"/>
  <c r="F281" i="66"/>
  <c r="D73" i="57"/>
  <c r="O3" i="58"/>
  <c r="F206" i="66"/>
  <c r="N206" i="66" s="1"/>
  <c r="D62" i="57"/>
  <c r="E32" i="53"/>
  <c r="F259" i="66"/>
  <c r="E44" i="39"/>
  <c r="E127" i="38" s="1"/>
  <c r="J470" i="41"/>
  <c r="E17" i="39" s="1"/>
  <c r="F104" i="66"/>
  <c r="J157" i="41"/>
  <c r="H186" i="41"/>
  <c r="F16" i="66"/>
  <c r="D5" i="57"/>
  <c r="I215" i="41"/>
  <c r="J248" i="41"/>
  <c r="H150" i="41"/>
  <c r="I143" i="41"/>
  <c r="J129" i="41"/>
  <c r="H277" i="41"/>
  <c r="J281" i="41"/>
  <c r="I342" i="41"/>
  <c r="I323" i="41"/>
  <c r="J359" i="41"/>
  <c r="I365" i="41"/>
  <c r="D27" i="57"/>
  <c r="F82" i="66"/>
  <c r="E16" i="53"/>
  <c r="F16" i="53" s="1"/>
  <c r="I366" i="41"/>
  <c r="H469" i="41"/>
  <c r="F10" i="66"/>
  <c r="N10" i="66" s="1"/>
  <c r="J325" i="41"/>
  <c r="J371" i="41"/>
  <c r="J188" i="41"/>
  <c r="J193" i="41"/>
  <c r="H233" i="41"/>
  <c r="J160" i="41"/>
  <c r="I314" i="41"/>
  <c r="I332" i="41"/>
  <c r="H336" i="41"/>
  <c r="I370" i="41"/>
  <c r="I172" i="41"/>
  <c r="J343" i="41"/>
  <c r="H267" i="41"/>
  <c r="J196" i="41"/>
  <c r="F81" i="66"/>
  <c r="N81" i="66" s="1"/>
  <c r="D24" i="57"/>
  <c r="I264" i="41"/>
  <c r="D77" i="57"/>
  <c r="F253" i="66"/>
  <c r="N253" i="66" s="1"/>
  <c r="F18" i="66"/>
  <c r="N18" i="66" s="1"/>
  <c r="H144" i="41"/>
  <c r="D6" i="57"/>
  <c r="Z30" i="66"/>
  <c r="Z174" i="66"/>
  <c r="Y174" i="66"/>
  <c r="Y30" i="66"/>
  <c r="F65" i="66"/>
  <c r="N65" i="66" s="1"/>
  <c r="I468" i="41"/>
  <c r="J379" i="41"/>
  <c r="D8" i="57"/>
  <c r="M3" i="37"/>
  <c r="H228" i="41"/>
  <c r="F41" i="66"/>
  <c r="H235" i="41"/>
  <c r="I193" i="41"/>
  <c r="E2" i="53"/>
  <c r="H121" i="41"/>
  <c r="H19" i="66"/>
  <c r="F19" i="66"/>
  <c r="H67" i="66"/>
  <c r="H115" i="66"/>
  <c r="J361" i="41"/>
  <c r="D78" i="57"/>
  <c r="F263" i="66"/>
  <c r="N263" i="66" s="1"/>
  <c r="J388" i="41"/>
  <c r="I121" i="41"/>
  <c r="E14" i="53"/>
  <c r="F67" i="66"/>
  <c r="U75" i="66"/>
  <c r="V75" i="66"/>
  <c r="X75" i="66" s="1"/>
  <c r="Q75" i="66"/>
  <c r="R75" i="66" s="1"/>
  <c r="T75" i="66" s="1"/>
  <c r="Q47" i="66"/>
  <c r="U47" i="66"/>
  <c r="H123" i="41"/>
  <c r="C4" i="63"/>
  <c r="F106" i="66"/>
  <c r="J469" i="41"/>
  <c r="D44" i="57"/>
  <c r="F160" i="66"/>
  <c r="F226" i="66"/>
  <c r="E22" i="53"/>
  <c r="F22" i="53" s="1"/>
  <c r="D66" i="57"/>
  <c r="I404" i="41"/>
  <c r="F78" i="66"/>
  <c r="N78" i="66" s="1"/>
  <c r="O285" i="66"/>
  <c r="J219" i="41"/>
  <c r="H141" i="41"/>
  <c r="I148" i="41"/>
  <c r="I154" i="41"/>
  <c r="H205" i="41"/>
  <c r="I200" i="41"/>
  <c r="H364" i="41"/>
  <c r="J323" i="41"/>
  <c r="J312" i="41"/>
  <c r="I344" i="41"/>
  <c r="I205" i="41"/>
  <c r="J220" i="41"/>
  <c r="I209" i="41"/>
  <c r="F168" i="66"/>
  <c r="N168" i="66" s="1"/>
  <c r="D46" i="57"/>
  <c r="J398" i="41"/>
  <c r="H399" i="41"/>
  <c r="J244" i="41"/>
  <c r="Q251" i="66"/>
  <c r="R251" i="66" s="1"/>
  <c r="T251" i="66" s="1"/>
  <c r="U251" i="66"/>
  <c r="V251" i="66"/>
  <c r="X251" i="66" s="1"/>
  <c r="O287" i="66"/>
  <c r="Y143" i="66"/>
  <c r="Z287" i="66"/>
  <c r="Y287" i="66"/>
  <c r="Z143" i="66"/>
  <c r="O143" i="66"/>
  <c r="J187" i="41"/>
  <c r="H158" i="41"/>
  <c r="H215" i="41"/>
  <c r="H278" i="41"/>
  <c r="I247" i="41"/>
  <c r="I142" i="41"/>
  <c r="J396" i="41"/>
  <c r="D65" i="57"/>
  <c r="F215" i="66"/>
  <c r="N215" i="66" s="1"/>
  <c r="J387" i="41"/>
  <c r="J128" i="41"/>
  <c r="J261" i="41"/>
  <c r="F185" i="66"/>
  <c r="D47" i="57"/>
  <c r="M3" i="58"/>
  <c r="E8" i="53"/>
  <c r="H211" i="66"/>
  <c r="F163" i="66"/>
  <c r="H259" i="66"/>
  <c r="H163" i="66"/>
  <c r="D39" i="57"/>
  <c r="F119" i="66"/>
  <c r="N119" i="66" s="1"/>
  <c r="J348" i="41"/>
  <c r="M7" i="41" l="1"/>
  <c r="O7" i="41"/>
  <c r="N7" i="41"/>
  <c r="C41" i="63"/>
  <c r="C32" i="63"/>
  <c r="N106" i="66"/>
  <c r="Y250" i="66" s="1"/>
  <c r="N38" i="66"/>
  <c r="E50" i="39"/>
  <c r="E131" i="38" s="1"/>
  <c r="J442" i="37" s="1"/>
  <c r="L50" i="39"/>
  <c r="E165" i="38" s="1"/>
  <c r="J221" i="66" s="1"/>
  <c r="N221" i="66" s="1"/>
  <c r="L51" i="39"/>
  <c r="E166" i="38" s="1"/>
  <c r="J233" i="66" s="1"/>
  <c r="N233" i="66" s="1"/>
  <c r="K51" i="39"/>
  <c r="E149" i="38" s="1"/>
  <c r="J185" i="66" s="1"/>
  <c r="E51" i="39"/>
  <c r="E132" i="38" s="1"/>
  <c r="M50" i="39"/>
  <c r="E182" i="38" s="1"/>
  <c r="J442" i="58" s="1"/>
  <c r="K50" i="39"/>
  <c r="E148" i="38" s="1"/>
  <c r="J173" i="66" s="1"/>
  <c r="K49" i="39"/>
  <c r="E147" i="38" s="1"/>
  <c r="J160" i="66" s="1"/>
  <c r="N160" i="66" s="1"/>
  <c r="E403" i="38"/>
  <c r="J475" i="58" s="1"/>
  <c r="M51" i="39"/>
  <c r="E183" i="38" s="1"/>
  <c r="J281" i="66" s="1"/>
  <c r="N281" i="66" s="1"/>
  <c r="E398" i="38"/>
  <c r="H475" i="37" s="1"/>
  <c r="M49" i="39"/>
  <c r="E181" i="38" s="1"/>
  <c r="J256" i="66" s="1"/>
  <c r="J143" i="41"/>
  <c r="K48" i="39"/>
  <c r="E146" i="38" s="1"/>
  <c r="J169" i="66" s="1"/>
  <c r="H143" i="41"/>
  <c r="C47" i="39"/>
  <c r="E94" i="38" s="1"/>
  <c r="J19" i="66" s="1"/>
  <c r="N278" i="66"/>
  <c r="K47" i="39"/>
  <c r="E145" i="38" s="1"/>
  <c r="J163" i="66" s="1"/>
  <c r="C49" i="39"/>
  <c r="E96" i="38" s="1"/>
  <c r="J16" i="66" s="1"/>
  <c r="E49" i="39"/>
  <c r="E130" i="38" s="1"/>
  <c r="J112" i="66" s="1"/>
  <c r="N112" i="66" s="1"/>
  <c r="H139" i="41"/>
  <c r="J429" i="41"/>
  <c r="M48" i="39"/>
  <c r="E180" i="38" s="1"/>
  <c r="J434" i="58" s="1"/>
  <c r="D51" i="39"/>
  <c r="E115" i="38" s="1"/>
  <c r="J89" i="66" s="1"/>
  <c r="L48" i="39"/>
  <c r="E163" i="38" s="1"/>
  <c r="J217" i="66" s="1"/>
  <c r="N217" i="66" s="1"/>
  <c r="C48" i="39"/>
  <c r="E95" i="38" s="1"/>
  <c r="J25" i="66" s="1"/>
  <c r="N25" i="66" s="1"/>
  <c r="D50" i="39"/>
  <c r="E114" i="38" s="1"/>
  <c r="J77" i="66" s="1"/>
  <c r="N77" i="66" s="1"/>
  <c r="E399" i="38"/>
  <c r="I475" i="37" s="1"/>
  <c r="C50" i="39"/>
  <c r="E97" i="38" s="1"/>
  <c r="J29" i="66" s="1"/>
  <c r="N29" i="66" s="1"/>
  <c r="L49" i="39"/>
  <c r="E164" i="38" s="1"/>
  <c r="J208" i="66" s="1"/>
  <c r="N208" i="66" s="1"/>
  <c r="H16" i="53"/>
  <c r="G16" i="53" s="1"/>
  <c r="C51" i="39"/>
  <c r="E98" i="38" s="1"/>
  <c r="G17" i="39"/>
  <c r="H471" i="41"/>
  <c r="F39" i="66"/>
  <c r="N39" i="66" s="1"/>
  <c r="E402" i="38"/>
  <c r="H29" i="53"/>
  <c r="G29" i="53" s="1"/>
  <c r="G35" i="53"/>
  <c r="J8" i="66"/>
  <c r="N8" i="66" s="1"/>
  <c r="H449" i="37"/>
  <c r="Z206" i="66"/>
  <c r="Y206" i="66"/>
  <c r="Y62" i="66"/>
  <c r="Z62" i="66"/>
  <c r="Z244" i="66"/>
  <c r="Y100" i="66"/>
  <c r="Y244" i="66"/>
  <c r="Z100" i="66"/>
  <c r="Y158" i="66"/>
  <c r="Y14" i="66"/>
  <c r="Z14" i="66"/>
  <c r="Z158" i="66"/>
  <c r="J449" i="58"/>
  <c r="J248" i="66"/>
  <c r="H4" i="53"/>
  <c r="G4" i="53" s="1"/>
  <c r="G10" i="53"/>
  <c r="Z202" i="66"/>
  <c r="Z58" i="66"/>
  <c r="Y202" i="66"/>
  <c r="Y58" i="66"/>
  <c r="N230" i="66"/>
  <c r="G22" i="39"/>
  <c r="D49" i="39"/>
  <c r="E113" i="38" s="1"/>
  <c r="F17" i="39"/>
  <c r="V123" i="66"/>
  <c r="X123" i="66" s="1"/>
  <c r="U123" i="66"/>
  <c r="Q123" i="66"/>
  <c r="R123" i="66" s="1"/>
  <c r="T123" i="66" s="1"/>
  <c r="Y263" i="66"/>
  <c r="Z263" i="66"/>
  <c r="Z119" i="66"/>
  <c r="Y119" i="66"/>
  <c r="E401" i="38"/>
  <c r="E29" i="39"/>
  <c r="E30" i="39" s="1"/>
  <c r="E32" i="39"/>
  <c r="E33" i="39" s="1"/>
  <c r="H472" i="41"/>
  <c r="E3" i="53"/>
  <c r="F3" i="53" s="1"/>
  <c r="H9" i="53" s="1"/>
  <c r="F40" i="66"/>
  <c r="L47" i="39"/>
  <c r="E162" i="38" s="1"/>
  <c r="Q79" i="66"/>
  <c r="R79" i="66" s="1"/>
  <c r="T79" i="66" s="1"/>
  <c r="U79" i="66"/>
  <c r="V79" i="66"/>
  <c r="X79" i="66" s="1"/>
  <c r="E48" i="39"/>
  <c r="E129" i="38" s="1"/>
  <c r="H135" i="41"/>
  <c r="V141" i="66"/>
  <c r="X141" i="66" s="1"/>
  <c r="Q141" i="66"/>
  <c r="R141" i="66" s="1"/>
  <c r="T141" i="66" s="1"/>
  <c r="U141" i="66"/>
  <c r="C22" i="63"/>
  <c r="J135" i="41"/>
  <c r="H28" i="53"/>
  <c r="G28" i="53" s="1"/>
  <c r="G34" i="53"/>
  <c r="E21" i="53"/>
  <c r="F21" i="53" s="1"/>
  <c r="F232" i="66"/>
  <c r="Z114" i="66"/>
  <c r="Z258" i="66"/>
  <c r="Y114" i="66"/>
  <c r="Y258" i="66"/>
  <c r="G23" i="39"/>
  <c r="I131" i="41"/>
  <c r="N9" i="41" s="1"/>
  <c r="C15" i="63"/>
  <c r="V95" i="66"/>
  <c r="X95" i="66" s="1"/>
  <c r="U95" i="66"/>
  <c r="Q95" i="66"/>
  <c r="R95" i="66" s="1"/>
  <c r="T95" i="66" s="1"/>
  <c r="H17" i="53"/>
  <c r="G17" i="53" s="1"/>
  <c r="G23" i="53"/>
  <c r="J200" i="66"/>
  <c r="I449" i="58"/>
  <c r="Z253" i="66"/>
  <c r="Y253" i="66"/>
  <c r="Z109" i="66"/>
  <c r="Y109" i="66"/>
  <c r="E47" i="39"/>
  <c r="E128" i="38" s="1"/>
  <c r="J137" i="66"/>
  <c r="J443" i="37"/>
  <c r="Q223" i="66"/>
  <c r="R223" i="66" s="1"/>
  <c r="T223" i="66" s="1"/>
  <c r="U223" i="66"/>
  <c r="V223" i="66"/>
  <c r="X223" i="66" s="1"/>
  <c r="U105" i="66"/>
  <c r="V105" i="66"/>
  <c r="X105" i="66" s="1"/>
  <c r="Q105" i="66"/>
  <c r="R105" i="66" s="1"/>
  <c r="T105" i="66" s="1"/>
  <c r="G5" i="53"/>
  <c r="H11" i="53"/>
  <c r="G11" i="53" s="1"/>
  <c r="Y50" i="66"/>
  <c r="Z50" i="66"/>
  <c r="Z194" i="66"/>
  <c r="Y194" i="66"/>
  <c r="Y290" i="66"/>
  <c r="Z146" i="66"/>
  <c r="Z290" i="66"/>
  <c r="Y146" i="66"/>
  <c r="Y242" i="66"/>
  <c r="Y98" i="66"/>
  <c r="Z98" i="66"/>
  <c r="Z242" i="66"/>
  <c r="Z24" i="66"/>
  <c r="Y24" i="66"/>
  <c r="Y168" i="66"/>
  <c r="Z168" i="66"/>
  <c r="V271" i="66"/>
  <c r="X271" i="66" s="1"/>
  <c r="Q271" i="66"/>
  <c r="R271" i="66" s="1"/>
  <c r="T271" i="66" s="1"/>
  <c r="U271" i="66"/>
  <c r="Q267" i="66"/>
  <c r="R267" i="66" s="1"/>
  <c r="T267" i="66" s="1"/>
  <c r="V267" i="66"/>
  <c r="X267" i="66" s="1"/>
  <c r="U267" i="66"/>
  <c r="C51" i="63"/>
  <c r="Q285" i="66"/>
  <c r="R285" i="66" s="1"/>
  <c r="T285" i="66" s="1"/>
  <c r="U285" i="66"/>
  <c r="V285" i="66"/>
  <c r="X285" i="66" s="1"/>
  <c r="Y10" i="66"/>
  <c r="Y154" i="66"/>
  <c r="Z154" i="66"/>
  <c r="Z10" i="66"/>
  <c r="Y81" i="66"/>
  <c r="Z225" i="66"/>
  <c r="Y225" i="66"/>
  <c r="Z81" i="66"/>
  <c r="M47" i="39"/>
  <c r="E179" i="38" s="1"/>
  <c r="Y66" i="66"/>
  <c r="Z210" i="66"/>
  <c r="Z66" i="66"/>
  <c r="Y210" i="66"/>
  <c r="E400" i="38"/>
  <c r="Z52" i="66"/>
  <c r="Y196" i="66"/>
  <c r="Y52" i="66"/>
  <c r="Z196" i="66"/>
  <c r="Z13" i="66"/>
  <c r="Z157" i="66"/>
  <c r="Y13" i="66"/>
  <c r="Y157" i="66"/>
  <c r="Y4" i="66"/>
  <c r="Y148" i="66"/>
  <c r="Z148" i="66"/>
  <c r="Z4" i="66"/>
  <c r="Z273" i="66"/>
  <c r="Y273" i="66"/>
  <c r="Y129" i="66"/>
  <c r="Z129" i="66"/>
  <c r="Y110" i="66"/>
  <c r="Z110" i="66"/>
  <c r="Y254" i="66"/>
  <c r="Z254" i="66"/>
  <c r="F22" i="39"/>
  <c r="N86" i="66"/>
  <c r="F23" i="39"/>
  <c r="J131" i="41"/>
  <c r="O9" i="41" s="1"/>
  <c r="C24" i="63"/>
  <c r="J104" i="66"/>
  <c r="J449" i="37"/>
  <c r="C23" i="63"/>
  <c r="J139" i="41"/>
  <c r="O8" i="41" s="1"/>
  <c r="D47" i="39"/>
  <c r="E111" i="38" s="1"/>
  <c r="G20" i="39"/>
  <c r="G24" i="39"/>
  <c r="N182" i="66"/>
  <c r="Z38" i="66" s="1"/>
  <c r="C5" i="63"/>
  <c r="H127" i="41"/>
  <c r="M8" i="41" s="1"/>
  <c r="E33" i="53"/>
  <c r="F33" i="53" s="1"/>
  <c r="F280" i="66"/>
  <c r="D48" i="39"/>
  <c r="E112" i="38" s="1"/>
  <c r="Y167" i="66"/>
  <c r="Y23" i="66"/>
  <c r="Z23" i="66"/>
  <c r="Z167" i="66"/>
  <c r="I139" i="41"/>
  <c r="I472" i="41"/>
  <c r="E15" i="53"/>
  <c r="F15" i="53" s="1"/>
  <c r="F88" i="66"/>
  <c r="Z78" i="66"/>
  <c r="Z222" i="66"/>
  <c r="Y78" i="66"/>
  <c r="Y222" i="66"/>
  <c r="Q287" i="66"/>
  <c r="R287" i="66" s="1"/>
  <c r="T287" i="66" s="1"/>
  <c r="V287" i="66"/>
  <c r="X287" i="66" s="1"/>
  <c r="U287" i="66"/>
  <c r="H22" i="53"/>
  <c r="G22" i="53" s="1"/>
  <c r="F126" i="66"/>
  <c r="N126" i="66" s="1"/>
  <c r="J404" i="41"/>
  <c r="F24" i="39"/>
  <c r="N134" i="66"/>
  <c r="Z177" i="66"/>
  <c r="Y177" i="66"/>
  <c r="Z33" i="66"/>
  <c r="Y33" i="66"/>
  <c r="Y205" i="66"/>
  <c r="Z61" i="66"/>
  <c r="Y61" i="66"/>
  <c r="Z205" i="66"/>
  <c r="U127" i="66"/>
  <c r="V127" i="66"/>
  <c r="X127" i="66" s="1"/>
  <c r="Q127" i="66"/>
  <c r="R127" i="66" s="1"/>
  <c r="T127" i="66" s="1"/>
  <c r="F87" i="66"/>
  <c r="N87" i="66" s="1"/>
  <c r="I471" i="41"/>
  <c r="Y162" i="66"/>
  <c r="Z18" i="66"/>
  <c r="Y18" i="66"/>
  <c r="Z162" i="66"/>
  <c r="P17" i="39"/>
  <c r="C32" i="39"/>
  <c r="C33" i="39" s="1"/>
  <c r="C29" i="39"/>
  <c r="C30" i="39" s="1"/>
  <c r="Q107" i="66"/>
  <c r="R107" i="66" s="1"/>
  <c r="T107" i="66" s="1"/>
  <c r="V107" i="66"/>
  <c r="X107" i="66" s="1"/>
  <c r="U107" i="66"/>
  <c r="Y17" i="66"/>
  <c r="Y161" i="66"/>
  <c r="Z161" i="66"/>
  <c r="Z17" i="66"/>
  <c r="J471" i="41"/>
  <c r="F135" i="66"/>
  <c r="N135" i="66" s="1"/>
  <c r="F21" i="39"/>
  <c r="Z216" i="66"/>
  <c r="Z72" i="66"/>
  <c r="Y72" i="66"/>
  <c r="Y216" i="66"/>
  <c r="C33" i="63"/>
  <c r="D29" i="39"/>
  <c r="D30" i="39" s="1"/>
  <c r="D32" i="39"/>
  <c r="D33" i="39" s="1"/>
  <c r="F20" i="39"/>
  <c r="V143" i="66"/>
  <c r="X143" i="66" s="1"/>
  <c r="Q143" i="66"/>
  <c r="R143" i="66" s="1"/>
  <c r="T143" i="66" s="1"/>
  <c r="U143" i="66"/>
  <c r="Y209" i="66"/>
  <c r="Z65" i="66"/>
  <c r="Y65" i="66"/>
  <c r="Z209" i="66"/>
  <c r="C13" i="63"/>
  <c r="I135" i="41"/>
  <c r="E9" i="53"/>
  <c r="F9" i="53" s="1"/>
  <c r="F184" i="66"/>
  <c r="E27" i="53"/>
  <c r="F27" i="53" s="1"/>
  <c r="H33" i="53" s="1"/>
  <c r="J472" i="41"/>
  <c r="F136" i="66"/>
  <c r="Z120" i="66"/>
  <c r="Z264" i="66"/>
  <c r="Y264" i="66"/>
  <c r="Y120" i="66"/>
  <c r="J152" i="66"/>
  <c r="H449" i="58"/>
  <c r="C14" i="63"/>
  <c r="I127" i="41"/>
  <c r="C6" i="63"/>
  <c r="H131" i="41"/>
  <c r="J56" i="66"/>
  <c r="N56" i="66" s="1"/>
  <c r="I449" i="37"/>
  <c r="Y71" i="66"/>
  <c r="Y215" i="66"/>
  <c r="Z71" i="66"/>
  <c r="Z215" i="66"/>
  <c r="Z113" i="66"/>
  <c r="Y113" i="66"/>
  <c r="Y257" i="66"/>
  <c r="Z257" i="66"/>
  <c r="I443" i="37" l="1"/>
  <c r="J269" i="66"/>
  <c r="N269" i="66" s="1"/>
  <c r="I442" i="58"/>
  <c r="M9" i="41"/>
  <c r="H442" i="58"/>
  <c r="Z250" i="66"/>
  <c r="Z106" i="66"/>
  <c r="I449" i="41"/>
  <c r="Y106" i="66"/>
  <c r="J443" i="58"/>
  <c r="J443" i="41" s="1"/>
  <c r="J449" i="41"/>
  <c r="H433" i="58"/>
  <c r="J442" i="41"/>
  <c r="J473" i="58"/>
  <c r="C55" i="63" s="1"/>
  <c r="J125" i="66"/>
  <c r="W125" i="66" s="1"/>
  <c r="H473" i="37"/>
  <c r="C2" i="63" s="1"/>
  <c r="I443" i="58"/>
  <c r="I443" i="41" s="1"/>
  <c r="H434" i="58"/>
  <c r="H474" i="37"/>
  <c r="F36" i="66" s="1"/>
  <c r="H443" i="58"/>
  <c r="D2" i="53"/>
  <c r="F2" i="53" s="1"/>
  <c r="H8" i="53" s="1"/>
  <c r="H435" i="58"/>
  <c r="H433" i="37"/>
  <c r="J474" i="58"/>
  <c r="E415" i="38" s="1"/>
  <c r="Z182" i="66"/>
  <c r="J435" i="58"/>
  <c r="J435" i="37"/>
  <c r="J265" i="66"/>
  <c r="N265" i="66" s="1"/>
  <c r="H434" i="37"/>
  <c r="I434" i="58"/>
  <c r="I435" i="58"/>
  <c r="N8" i="41"/>
  <c r="K17" i="39"/>
  <c r="I442" i="37"/>
  <c r="I473" i="37"/>
  <c r="C11" i="63" s="1"/>
  <c r="H435" i="37"/>
  <c r="Y182" i="66"/>
  <c r="I474" i="37"/>
  <c r="F84" i="66" s="1"/>
  <c r="H442" i="37"/>
  <c r="Y38" i="66"/>
  <c r="E316" i="38"/>
  <c r="E322" i="38"/>
  <c r="M226" i="66" s="1"/>
  <c r="K23" i="39"/>
  <c r="K13" i="39"/>
  <c r="K21" i="39"/>
  <c r="K15" i="39"/>
  <c r="AB6" i="39"/>
  <c r="K24" i="39"/>
  <c r="K14" i="39"/>
  <c r="K19" i="39"/>
  <c r="D31" i="39"/>
  <c r="K22" i="39"/>
  <c r="K16" i="39"/>
  <c r="K27" i="39"/>
  <c r="K12" i="39"/>
  <c r="AB5" i="39"/>
  <c r="K25" i="39"/>
  <c r="K28" i="39"/>
  <c r="K18" i="39"/>
  <c r="K26" i="39"/>
  <c r="K20" i="39"/>
  <c r="Z231" i="66"/>
  <c r="Y87" i="66"/>
  <c r="Z87" i="66"/>
  <c r="Y231" i="66"/>
  <c r="S104" i="66"/>
  <c r="P104" i="66"/>
  <c r="W104" i="66"/>
  <c r="Z183" i="66"/>
  <c r="Y39" i="66"/>
  <c r="Y183" i="66"/>
  <c r="Z39" i="66"/>
  <c r="F275" i="66"/>
  <c r="E414" i="38"/>
  <c r="N185" i="66"/>
  <c r="R185" i="66"/>
  <c r="W185" i="66"/>
  <c r="S185" i="66"/>
  <c r="P185" i="66"/>
  <c r="V185" i="66" s="1"/>
  <c r="Q17" i="39"/>
  <c r="P29" i="39"/>
  <c r="Q29" i="39" s="1"/>
  <c r="E299" i="38"/>
  <c r="M193" i="66" s="1"/>
  <c r="E293" i="38"/>
  <c r="H15" i="53"/>
  <c r="G15" i="53" s="1"/>
  <c r="I433" i="58"/>
  <c r="J211" i="66"/>
  <c r="D20" i="53"/>
  <c r="F20" i="53" s="1"/>
  <c r="L17" i="39"/>
  <c r="L26" i="39"/>
  <c r="L27" i="39"/>
  <c r="L15" i="39"/>
  <c r="L23" i="39"/>
  <c r="L12" i="39"/>
  <c r="E31" i="39"/>
  <c r="L13" i="39"/>
  <c r="L24" i="39"/>
  <c r="L16" i="39"/>
  <c r="L28" i="39"/>
  <c r="L18" i="39"/>
  <c r="L22" i="39"/>
  <c r="L21" i="39"/>
  <c r="AC6" i="39"/>
  <c r="AC5" i="39"/>
  <c r="L25" i="39"/>
  <c r="L14" i="39"/>
  <c r="L19" i="39"/>
  <c r="L20" i="39"/>
  <c r="N173" i="66"/>
  <c r="O173" i="66" s="1"/>
  <c r="W173" i="66"/>
  <c r="S173" i="66"/>
  <c r="R173" i="66"/>
  <c r="P173" i="66"/>
  <c r="V173" i="66" s="1"/>
  <c r="N256" i="66"/>
  <c r="O256" i="66" s="1"/>
  <c r="P256" i="66"/>
  <c r="W256" i="66"/>
  <c r="S256" i="66"/>
  <c r="N125" i="66"/>
  <c r="Y126" i="66"/>
  <c r="Z270" i="66"/>
  <c r="Z126" i="66"/>
  <c r="Y270" i="66"/>
  <c r="E287" i="38"/>
  <c r="E281" i="38"/>
  <c r="E346" i="38"/>
  <c r="M274" i="66" s="1"/>
  <c r="E340" i="38"/>
  <c r="J64" i="66"/>
  <c r="I435" i="37"/>
  <c r="E292" i="38"/>
  <c r="E298" i="38"/>
  <c r="M178" i="66" s="1"/>
  <c r="N104" i="66"/>
  <c r="W221" i="66"/>
  <c r="P221" i="66"/>
  <c r="S221" i="66"/>
  <c r="P233" i="66"/>
  <c r="S233" i="66"/>
  <c r="W233" i="66"/>
  <c r="I434" i="37"/>
  <c r="J73" i="66"/>
  <c r="S200" i="66"/>
  <c r="P200" i="66"/>
  <c r="W200" i="66"/>
  <c r="E334" i="38"/>
  <c r="E328" i="38"/>
  <c r="H474" i="58"/>
  <c r="H475" i="58"/>
  <c r="H475" i="41" s="1"/>
  <c r="H473" i="58"/>
  <c r="C37" i="63" s="1"/>
  <c r="E286" i="38"/>
  <c r="E280" i="38"/>
  <c r="H449" i="41"/>
  <c r="P77" i="66"/>
  <c r="S77" i="66"/>
  <c r="W77" i="66"/>
  <c r="P208" i="66"/>
  <c r="S208" i="66"/>
  <c r="W208" i="66"/>
  <c r="R152" i="66"/>
  <c r="S152" i="66"/>
  <c r="W152" i="66"/>
  <c r="P152" i="66"/>
  <c r="V152" i="66" s="1"/>
  <c r="Y279" i="66"/>
  <c r="Z135" i="66"/>
  <c r="Z279" i="66"/>
  <c r="Y135" i="66"/>
  <c r="E310" i="38"/>
  <c r="E304" i="38"/>
  <c r="H21" i="53"/>
  <c r="G21" i="53" s="1"/>
  <c r="D32" i="53"/>
  <c r="F32" i="53" s="1"/>
  <c r="H26" i="53" s="1"/>
  <c r="J433" i="58"/>
  <c r="J259" i="66"/>
  <c r="N137" i="66"/>
  <c r="O281" i="66" s="1"/>
  <c r="S137" i="66"/>
  <c r="P137" i="66"/>
  <c r="W137" i="66"/>
  <c r="E317" i="38"/>
  <c r="E323" i="38"/>
  <c r="M241" i="66" s="1"/>
  <c r="N200" i="66"/>
  <c r="O200" i="66" s="1"/>
  <c r="N152" i="66"/>
  <c r="O152" i="66" s="1"/>
  <c r="W8" i="66"/>
  <c r="R8" i="66"/>
  <c r="S8" i="66"/>
  <c r="P8" i="66"/>
  <c r="V8" i="66" s="1"/>
  <c r="H443" i="37"/>
  <c r="J41" i="66"/>
  <c r="N16" i="66"/>
  <c r="P16" i="66"/>
  <c r="V16" i="66" s="1"/>
  <c r="R16" i="66"/>
  <c r="W16" i="66"/>
  <c r="S16" i="66"/>
  <c r="G9" i="53"/>
  <c r="H3" i="53"/>
  <c r="G3" i="53" s="1"/>
  <c r="S89" i="66"/>
  <c r="W89" i="66"/>
  <c r="P89" i="66"/>
  <c r="Z221" i="66"/>
  <c r="Y221" i="66"/>
  <c r="Y77" i="66"/>
  <c r="O77" i="66"/>
  <c r="Z77" i="66"/>
  <c r="D26" i="53"/>
  <c r="F26" i="53" s="1"/>
  <c r="J115" i="66"/>
  <c r="J433" i="37"/>
  <c r="E311" i="38"/>
  <c r="E305" i="38"/>
  <c r="J434" i="37"/>
  <c r="J434" i="41" s="1"/>
  <c r="J121" i="66"/>
  <c r="W160" i="66"/>
  <c r="R160" i="66"/>
  <c r="S160" i="66"/>
  <c r="P160" i="66"/>
  <c r="V160" i="66" s="1"/>
  <c r="N248" i="66"/>
  <c r="P248" i="66"/>
  <c r="S248" i="66"/>
  <c r="W248" i="66"/>
  <c r="E341" i="38"/>
  <c r="E347" i="38"/>
  <c r="M289" i="66" s="1"/>
  <c r="W163" i="66"/>
  <c r="S163" i="66"/>
  <c r="W25" i="66"/>
  <c r="R25" i="66"/>
  <c r="S25" i="66"/>
  <c r="P25" i="66"/>
  <c r="V25" i="66" s="1"/>
  <c r="E404" i="38"/>
  <c r="F35" i="66"/>
  <c r="W112" i="66"/>
  <c r="S112" i="66"/>
  <c r="P112" i="66"/>
  <c r="E406" i="38"/>
  <c r="F83" i="66"/>
  <c r="S29" i="66"/>
  <c r="W29" i="66"/>
  <c r="R29" i="66"/>
  <c r="P29" i="66"/>
  <c r="V29" i="66" s="1"/>
  <c r="P56" i="66"/>
  <c r="W56" i="66"/>
  <c r="S56" i="66"/>
  <c r="Y134" i="66"/>
  <c r="Z134" i="66"/>
  <c r="Z278" i="66"/>
  <c r="Y278" i="66"/>
  <c r="O221" i="66"/>
  <c r="W281" i="66"/>
  <c r="P281" i="66"/>
  <c r="S281" i="66"/>
  <c r="E335" i="38"/>
  <c r="E329" i="38"/>
  <c r="J17" i="39"/>
  <c r="J23" i="39"/>
  <c r="J13" i="39"/>
  <c r="J12" i="39"/>
  <c r="AA6" i="39"/>
  <c r="J25" i="39"/>
  <c r="J18" i="39"/>
  <c r="J27" i="39"/>
  <c r="AA5" i="39"/>
  <c r="J22" i="39"/>
  <c r="J24" i="39"/>
  <c r="J15" i="39"/>
  <c r="J20" i="39"/>
  <c r="J19" i="39"/>
  <c r="J21" i="39"/>
  <c r="J28" i="39"/>
  <c r="J26" i="39"/>
  <c r="J14" i="39"/>
  <c r="C31" i="39"/>
  <c r="J16" i="39"/>
  <c r="N89" i="66"/>
  <c r="G33" i="53"/>
  <c r="H27" i="53"/>
  <c r="G27" i="53" s="1"/>
  <c r="I433" i="37"/>
  <c r="J67" i="66"/>
  <c r="D14" i="53"/>
  <c r="F14" i="53" s="1"/>
  <c r="Y230" i="66"/>
  <c r="Z230" i="66"/>
  <c r="Y86" i="66"/>
  <c r="Z86" i="66"/>
  <c r="J474" i="37"/>
  <c r="J475" i="37"/>
  <c r="J473" i="37"/>
  <c r="W19" i="66"/>
  <c r="S19" i="66"/>
  <c r="I475" i="58"/>
  <c r="I475" i="41" s="1"/>
  <c r="I474" i="58"/>
  <c r="I473" i="58"/>
  <c r="C46" i="63" s="1"/>
  <c r="D8" i="53"/>
  <c r="F8" i="53" s="1"/>
  <c r="N169" i="66"/>
  <c r="O169" i="66" s="1"/>
  <c r="W169" i="66"/>
  <c r="R169" i="66"/>
  <c r="P169" i="66"/>
  <c r="V169" i="66" s="1"/>
  <c r="S169" i="66"/>
  <c r="S217" i="66"/>
  <c r="W217" i="66"/>
  <c r="P217" i="66"/>
  <c r="H442" i="41" l="1"/>
  <c r="P269" i="66"/>
  <c r="S269" i="66"/>
  <c r="W269" i="66"/>
  <c r="P125" i="66"/>
  <c r="S125" i="66"/>
  <c r="E407" i="38"/>
  <c r="I465" i="37" s="1"/>
  <c r="I474" i="41"/>
  <c r="Z8" i="66"/>
  <c r="I442" i="41"/>
  <c r="H433" i="41"/>
  <c r="F276" i="66"/>
  <c r="C10" i="63"/>
  <c r="E405" i="38"/>
  <c r="H465" i="37" s="1"/>
  <c r="H435" i="41"/>
  <c r="C47" i="63"/>
  <c r="O269" i="66"/>
  <c r="U269" i="66" s="1"/>
  <c r="O248" i="66"/>
  <c r="U248" i="66" s="1"/>
  <c r="H434" i="41"/>
  <c r="H473" i="41"/>
  <c r="H443" i="41"/>
  <c r="H474" i="41"/>
  <c r="W265" i="66"/>
  <c r="J435" i="41"/>
  <c r="X160" i="66"/>
  <c r="I435" i="41"/>
  <c r="O29" i="66"/>
  <c r="U29" i="66" s="1"/>
  <c r="P265" i="66"/>
  <c r="I434" i="41"/>
  <c r="S265" i="66"/>
  <c r="Y152" i="66"/>
  <c r="Z152" i="66"/>
  <c r="X169" i="66"/>
  <c r="Y8" i="66"/>
  <c r="X185" i="66"/>
  <c r="O8" i="66"/>
  <c r="U8" i="66" s="1"/>
  <c r="Z112" i="66"/>
  <c r="C19" i="63"/>
  <c r="T160" i="66"/>
  <c r="Y112" i="66"/>
  <c r="X8" i="66"/>
  <c r="O112" i="66"/>
  <c r="U112" i="66" s="1"/>
  <c r="Z256" i="66"/>
  <c r="Z29" i="66"/>
  <c r="Y256" i="66"/>
  <c r="T173" i="66"/>
  <c r="J433" i="41"/>
  <c r="T185" i="66"/>
  <c r="T16" i="66"/>
  <c r="X25" i="66"/>
  <c r="Y29" i="66"/>
  <c r="E315" i="38"/>
  <c r="E321" i="38"/>
  <c r="M232" i="66" s="1"/>
  <c r="O233" i="66"/>
  <c r="Y89" i="66"/>
  <c r="Y233" i="66"/>
  <c r="Z233" i="66"/>
  <c r="Z89" i="66"/>
  <c r="O89" i="66"/>
  <c r="L145" i="66"/>
  <c r="J462" i="37"/>
  <c r="X29" i="66"/>
  <c r="Y160" i="66"/>
  <c r="Z16" i="66"/>
  <c r="Z160" i="66"/>
  <c r="O16" i="66"/>
  <c r="Y16" i="66"/>
  <c r="Z137" i="66"/>
  <c r="Y281" i="66"/>
  <c r="Z281" i="66"/>
  <c r="O137" i="66"/>
  <c r="Y137" i="66"/>
  <c r="T152" i="66"/>
  <c r="E411" i="38"/>
  <c r="F180" i="66"/>
  <c r="Z25" i="66"/>
  <c r="P64" i="66"/>
  <c r="W64" i="66"/>
  <c r="S64" i="66"/>
  <c r="N64" i="66"/>
  <c r="Y173" i="66"/>
  <c r="J29" i="39"/>
  <c r="M145" i="66"/>
  <c r="D20" i="8"/>
  <c r="U221" i="66"/>
  <c r="Q221" i="66"/>
  <c r="R221" i="66" s="1"/>
  <c r="T221" i="66" s="1"/>
  <c r="V221" i="66"/>
  <c r="X221" i="66" s="1"/>
  <c r="T29" i="66"/>
  <c r="L97" i="66"/>
  <c r="I462" i="37"/>
  <c r="Q152" i="66"/>
  <c r="U152" i="66"/>
  <c r="W259" i="66"/>
  <c r="S259" i="66"/>
  <c r="J461" i="37"/>
  <c r="L130" i="66"/>
  <c r="Y169" i="66"/>
  <c r="O160" i="66"/>
  <c r="L193" i="66"/>
  <c r="H462" i="58"/>
  <c r="Q281" i="66"/>
  <c r="R281" i="66" s="1"/>
  <c r="T281" i="66" s="1"/>
  <c r="U281" i="66"/>
  <c r="V281" i="66"/>
  <c r="X281" i="66" s="1"/>
  <c r="M97" i="66"/>
  <c r="C20" i="8"/>
  <c r="U200" i="66"/>
  <c r="Q200" i="66"/>
  <c r="R200" i="66" s="1"/>
  <c r="T200" i="66" s="1"/>
  <c r="V200" i="66"/>
  <c r="X200" i="66" s="1"/>
  <c r="M130" i="66"/>
  <c r="D19" i="8"/>
  <c r="Y25" i="66"/>
  <c r="I461" i="58"/>
  <c r="L226" i="66"/>
  <c r="H20" i="53"/>
  <c r="G20" i="53" s="1"/>
  <c r="H466" i="37"/>
  <c r="L35" i="66"/>
  <c r="N41" i="66"/>
  <c r="W41" i="66"/>
  <c r="P41" i="66"/>
  <c r="V41" i="66" s="1"/>
  <c r="S41" i="66"/>
  <c r="R41" i="66"/>
  <c r="S73" i="66"/>
  <c r="W73" i="66"/>
  <c r="P73" i="66"/>
  <c r="N73" i="66"/>
  <c r="L274" i="66"/>
  <c r="J461" i="58"/>
  <c r="X173" i="66"/>
  <c r="L275" i="66"/>
  <c r="P275" i="66" s="1"/>
  <c r="J466" i="58"/>
  <c r="Y200" i="66"/>
  <c r="H2" i="53"/>
  <c r="G2" i="53" s="1"/>
  <c r="G8" i="53"/>
  <c r="J473" i="41"/>
  <c r="C28" i="63"/>
  <c r="C20" i="63"/>
  <c r="S67" i="66"/>
  <c r="W67" i="66"/>
  <c r="W115" i="66"/>
  <c r="S115" i="66"/>
  <c r="L241" i="66"/>
  <c r="I462" i="58"/>
  <c r="E303" i="38"/>
  <c r="E309" i="38"/>
  <c r="I473" i="41"/>
  <c r="N3" i="41" s="1"/>
  <c r="O104" i="66"/>
  <c r="Z248" i="66"/>
  <c r="Z104" i="66"/>
  <c r="Y248" i="66"/>
  <c r="Y104" i="66"/>
  <c r="H14" i="53"/>
  <c r="G14" i="53" s="1"/>
  <c r="K29" i="39"/>
  <c r="Y56" i="66"/>
  <c r="I466" i="37"/>
  <c r="L83" i="66"/>
  <c r="P83" i="66" s="1"/>
  <c r="H32" i="53"/>
  <c r="G32" i="53" s="1"/>
  <c r="G26" i="53"/>
  <c r="X152" i="66"/>
  <c r="Q256" i="66"/>
  <c r="R256" i="66" s="1"/>
  <c r="T256" i="66" s="1"/>
  <c r="U256" i="66"/>
  <c r="V256" i="66"/>
  <c r="X256" i="66" s="1"/>
  <c r="L49" i="66"/>
  <c r="H462" i="37"/>
  <c r="W211" i="66"/>
  <c r="S211" i="66"/>
  <c r="Z56" i="66"/>
  <c r="F131" i="66"/>
  <c r="E408" i="38"/>
  <c r="J475" i="41"/>
  <c r="F228" i="66"/>
  <c r="E413" i="38"/>
  <c r="J465" i="58"/>
  <c r="L276" i="66"/>
  <c r="P276" i="66" s="1"/>
  <c r="J462" i="58"/>
  <c r="L289" i="66"/>
  <c r="E285" i="38"/>
  <c r="E279" i="38"/>
  <c r="L82" i="66"/>
  <c r="I461" i="37"/>
  <c r="L34" i="66"/>
  <c r="H461" i="37"/>
  <c r="O25" i="66"/>
  <c r="L178" i="66"/>
  <c r="H461" i="58"/>
  <c r="B20" i="8"/>
  <c r="M49" i="66"/>
  <c r="Z125" i="66"/>
  <c r="Y269" i="66"/>
  <c r="Y125" i="66"/>
  <c r="O125" i="66"/>
  <c r="Z269" i="66"/>
  <c r="L29" i="39"/>
  <c r="I433" i="41"/>
  <c r="Z200" i="66"/>
  <c r="T169" i="66"/>
  <c r="E409" i="38"/>
  <c r="J474" i="41"/>
  <c r="F132" i="66"/>
  <c r="E327" i="38"/>
  <c r="E333" i="38"/>
  <c r="U169" i="66"/>
  <c r="Q169" i="66"/>
  <c r="F227" i="66"/>
  <c r="E412" i="38"/>
  <c r="C38" i="63"/>
  <c r="E339" i="38"/>
  <c r="E345" i="38"/>
  <c r="M280" i="66" s="1"/>
  <c r="T25" i="66"/>
  <c r="N121" i="66"/>
  <c r="P121" i="66"/>
  <c r="S121" i="66"/>
  <c r="W121" i="66"/>
  <c r="U77" i="66"/>
  <c r="V77" i="66"/>
  <c r="X77" i="66" s="1"/>
  <c r="Q77" i="66"/>
  <c r="R77" i="66" s="1"/>
  <c r="T77" i="66" s="1"/>
  <c r="E297" i="38"/>
  <c r="M184" i="66" s="1"/>
  <c r="E291" i="38"/>
  <c r="X16" i="66"/>
  <c r="T8" i="66"/>
  <c r="M82" i="66"/>
  <c r="C19" i="8"/>
  <c r="L36" i="66"/>
  <c r="N36" i="66" s="1"/>
  <c r="M34" i="66"/>
  <c r="B19" i="8"/>
  <c r="F179" i="66"/>
  <c r="E410" i="38"/>
  <c r="C29" i="63"/>
  <c r="Z169" i="66"/>
  <c r="U173" i="66"/>
  <c r="Q173" i="66"/>
  <c r="Z173" i="66"/>
  <c r="O56" i="66"/>
  <c r="L84" i="66" l="1"/>
  <c r="P84" i="66" s="1"/>
  <c r="Q269" i="66"/>
  <c r="R269" i="66" s="1"/>
  <c r="T269" i="66" s="1"/>
  <c r="Q248" i="66"/>
  <c r="R248" i="66" s="1"/>
  <c r="T248" i="66" s="1"/>
  <c r="V248" i="66"/>
  <c r="X248" i="66" s="1"/>
  <c r="Q29" i="66"/>
  <c r="V269" i="66"/>
  <c r="X269" i="66" s="1"/>
  <c r="Q8" i="66"/>
  <c r="T41" i="66"/>
  <c r="Q112" i="66"/>
  <c r="R112" i="66" s="1"/>
  <c r="T112" i="66" s="1"/>
  <c r="V112" i="66"/>
  <c r="X112" i="66" s="1"/>
  <c r="X41" i="66"/>
  <c r="I461" i="41"/>
  <c r="E302" i="38"/>
  <c r="E308" i="38"/>
  <c r="Y265" i="66"/>
  <c r="Y121" i="66"/>
  <c r="Z265" i="66"/>
  <c r="O121" i="66"/>
  <c r="Z121" i="66"/>
  <c r="I460" i="37"/>
  <c r="L88" i="66"/>
  <c r="V125" i="66"/>
  <c r="X125" i="66" s="1"/>
  <c r="Q125" i="66"/>
  <c r="R125" i="66" s="1"/>
  <c r="T125" i="66" s="1"/>
  <c r="U125" i="66"/>
  <c r="U25" i="66"/>
  <c r="Q25" i="66"/>
  <c r="U104" i="66"/>
  <c r="Q104" i="66"/>
  <c r="R104" i="66" s="1"/>
  <c r="T104" i="66" s="1"/>
  <c r="V104" i="66"/>
  <c r="X104" i="66" s="1"/>
  <c r="J461" i="41"/>
  <c r="U137" i="66"/>
  <c r="V137" i="66"/>
  <c r="X137" i="66" s="1"/>
  <c r="Q137" i="66"/>
  <c r="R137" i="66" s="1"/>
  <c r="T137" i="66" s="1"/>
  <c r="V56" i="66"/>
  <c r="X56" i="66" s="1"/>
  <c r="U56" i="66"/>
  <c r="Q56" i="66"/>
  <c r="R56" i="66" s="1"/>
  <c r="T56" i="66" s="1"/>
  <c r="L227" i="66"/>
  <c r="P227" i="66" s="1"/>
  <c r="I466" i="58"/>
  <c r="I466" i="41" s="1"/>
  <c r="L132" i="66"/>
  <c r="P132" i="66" s="1"/>
  <c r="J465" i="37"/>
  <c r="J465" i="41" s="1"/>
  <c r="H466" i="58"/>
  <c r="H466" i="41" s="1"/>
  <c r="L179" i="66"/>
  <c r="N179" i="66" s="1"/>
  <c r="H461" i="41"/>
  <c r="N275" i="66"/>
  <c r="P274" i="66"/>
  <c r="N274" i="66"/>
  <c r="O265" i="66"/>
  <c r="E284" i="38"/>
  <c r="E278" i="38"/>
  <c r="P97" i="66"/>
  <c r="N97" i="66"/>
  <c r="R34" i="66"/>
  <c r="T34" i="66" s="1"/>
  <c r="P34" i="66"/>
  <c r="V34" i="66" s="1"/>
  <c r="X34" i="66" s="1"/>
  <c r="N34" i="66"/>
  <c r="E320" i="38"/>
  <c r="M211" i="66" s="1"/>
  <c r="E314" i="38"/>
  <c r="M88" i="66"/>
  <c r="C18" i="8"/>
  <c r="N83" i="66"/>
  <c r="E290" i="38"/>
  <c r="E296" i="38"/>
  <c r="M163" i="66" s="1"/>
  <c r="O217" i="66"/>
  <c r="O73" i="66"/>
  <c r="Z73" i="66"/>
  <c r="Y73" i="66"/>
  <c r="Y217" i="66"/>
  <c r="Z217" i="66"/>
  <c r="O185" i="66"/>
  <c r="Y185" i="66"/>
  <c r="Y41" i="66"/>
  <c r="O41" i="66"/>
  <c r="Z185" i="66"/>
  <c r="Z41" i="66"/>
  <c r="P226" i="66"/>
  <c r="N226" i="66"/>
  <c r="I462" i="41"/>
  <c r="H460" i="58"/>
  <c r="L184" i="66"/>
  <c r="M136" i="66"/>
  <c r="D18" i="8"/>
  <c r="P82" i="66"/>
  <c r="N82" i="66"/>
  <c r="E338" i="38"/>
  <c r="E344" i="38"/>
  <c r="M259" i="66" s="1"/>
  <c r="P193" i="66"/>
  <c r="V193" i="66" s="1"/>
  <c r="X193" i="66" s="1"/>
  <c r="R193" i="66"/>
  <c r="T193" i="66" s="1"/>
  <c r="N193" i="66"/>
  <c r="H465" i="58"/>
  <c r="H465" i="41" s="1"/>
  <c r="L180" i="66"/>
  <c r="V233" i="66"/>
  <c r="X233" i="66" s="1"/>
  <c r="Q233" i="66"/>
  <c r="R233" i="66" s="1"/>
  <c r="T233" i="66" s="1"/>
  <c r="U233" i="66"/>
  <c r="L136" i="66"/>
  <c r="J460" i="37"/>
  <c r="L40" i="66"/>
  <c r="H460" i="37"/>
  <c r="H462" i="41"/>
  <c r="P241" i="66"/>
  <c r="N241" i="66"/>
  <c r="N35" i="66"/>
  <c r="R35" i="66"/>
  <c r="T35" i="66" s="1"/>
  <c r="P35" i="66"/>
  <c r="V35" i="66" s="1"/>
  <c r="X35" i="66" s="1"/>
  <c r="U160" i="66"/>
  <c r="Q160" i="66"/>
  <c r="U16" i="66"/>
  <c r="Q16" i="66"/>
  <c r="J462" i="41"/>
  <c r="N276" i="66"/>
  <c r="P36" i="66"/>
  <c r="V36" i="66" s="1"/>
  <c r="X36" i="66" s="1"/>
  <c r="R36" i="66"/>
  <c r="T36" i="66" s="1"/>
  <c r="J460" i="58"/>
  <c r="L280" i="66"/>
  <c r="B18" i="8"/>
  <c r="M40" i="66"/>
  <c r="J466" i="37"/>
  <c r="J466" i="41" s="1"/>
  <c r="L131" i="66"/>
  <c r="P131" i="66" s="1"/>
  <c r="P49" i="66"/>
  <c r="V49" i="66" s="1"/>
  <c r="X49" i="66" s="1"/>
  <c r="R49" i="66"/>
  <c r="T49" i="66" s="1"/>
  <c r="N49" i="66"/>
  <c r="O208" i="66"/>
  <c r="Z208" i="66"/>
  <c r="Y64" i="66"/>
  <c r="Y208" i="66"/>
  <c r="Z64" i="66"/>
  <c r="O64" i="66"/>
  <c r="P145" i="66"/>
  <c r="N145" i="66"/>
  <c r="I465" i="58"/>
  <c r="I465" i="41" s="1"/>
  <c r="L228" i="66"/>
  <c r="P228" i="66" s="1"/>
  <c r="E326" i="38"/>
  <c r="E332" i="38"/>
  <c r="R178" i="66"/>
  <c r="T178" i="66" s="1"/>
  <c r="P178" i="66"/>
  <c r="V178" i="66" s="1"/>
  <c r="X178" i="66" s="1"/>
  <c r="N178" i="66"/>
  <c r="P289" i="66"/>
  <c r="N289" i="66"/>
  <c r="P130" i="66"/>
  <c r="N130" i="66"/>
  <c r="U89" i="66"/>
  <c r="V89" i="66"/>
  <c r="X89" i="66" s="1"/>
  <c r="Q89" i="66"/>
  <c r="R89" i="66" s="1"/>
  <c r="T89" i="66" s="1"/>
  <c r="L232" i="66"/>
  <c r="I460" i="58"/>
  <c r="N84" i="66" l="1"/>
  <c r="O241" i="66"/>
  <c r="U241" i="66" s="1"/>
  <c r="N132" i="66"/>
  <c r="Y132" i="66" s="1"/>
  <c r="O289" i="66"/>
  <c r="U289" i="66" s="1"/>
  <c r="O178" i="66"/>
  <c r="Q178" i="66" s="1"/>
  <c r="N131" i="66"/>
  <c r="O275" i="66" s="1"/>
  <c r="N228" i="66"/>
  <c r="Z228" i="66" s="1"/>
  <c r="N180" i="66"/>
  <c r="P180" i="66"/>
  <c r="V180" i="66" s="1"/>
  <c r="X180" i="66" s="1"/>
  <c r="R180" i="66"/>
  <c r="T180" i="66" s="1"/>
  <c r="L163" i="66"/>
  <c r="H459" i="58"/>
  <c r="V64" i="66"/>
  <c r="X64" i="66" s="1"/>
  <c r="Q64" i="66"/>
  <c r="R64" i="66" s="1"/>
  <c r="T64" i="66" s="1"/>
  <c r="U64" i="66"/>
  <c r="Z193" i="66"/>
  <c r="Y49" i="66"/>
  <c r="O49" i="66"/>
  <c r="Y193" i="66"/>
  <c r="Z49" i="66"/>
  <c r="P280" i="66"/>
  <c r="N280" i="66"/>
  <c r="H460" i="41"/>
  <c r="Z226" i="66"/>
  <c r="Y82" i="66"/>
  <c r="Z82" i="66"/>
  <c r="Y226" i="66"/>
  <c r="O82" i="66"/>
  <c r="O226" i="66"/>
  <c r="O179" i="66"/>
  <c r="M67" i="66"/>
  <c r="C17" i="8"/>
  <c r="Q185" i="66"/>
  <c r="U185" i="66"/>
  <c r="P40" i="66"/>
  <c r="V40" i="66" s="1"/>
  <c r="X40" i="66" s="1"/>
  <c r="R40" i="66"/>
  <c r="T40" i="66" s="1"/>
  <c r="N40" i="66"/>
  <c r="O193" i="66"/>
  <c r="O97" i="66"/>
  <c r="Y241" i="66"/>
  <c r="Y97" i="66"/>
  <c r="Z241" i="66"/>
  <c r="Z97" i="66"/>
  <c r="P88" i="66"/>
  <c r="N88" i="66"/>
  <c r="L67" i="66"/>
  <c r="I459" i="37"/>
  <c r="Y130" i="66"/>
  <c r="O130" i="66"/>
  <c r="Z130" i="66"/>
  <c r="Y274" i="66"/>
  <c r="Z274" i="66"/>
  <c r="M115" i="66"/>
  <c r="D17" i="8"/>
  <c r="J460" i="41"/>
  <c r="N227" i="66"/>
  <c r="O227" i="66" s="1"/>
  <c r="I460" i="41"/>
  <c r="L115" i="66"/>
  <c r="J459" i="37"/>
  <c r="P136" i="66"/>
  <c r="N136" i="66"/>
  <c r="I459" i="58"/>
  <c r="L211" i="66"/>
  <c r="H459" i="37"/>
  <c r="L19" i="66"/>
  <c r="P179" i="66"/>
  <c r="V179" i="66" s="1"/>
  <c r="X179" i="66" s="1"/>
  <c r="R179" i="66"/>
  <c r="T179" i="66" s="1"/>
  <c r="V289" i="66"/>
  <c r="X289" i="66" s="1"/>
  <c r="Y35" i="66"/>
  <c r="O35" i="66"/>
  <c r="Z179" i="66"/>
  <c r="Y179" i="66"/>
  <c r="Z35" i="66"/>
  <c r="P184" i="66"/>
  <c r="V184" i="66" s="1"/>
  <c r="X184" i="66" s="1"/>
  <c r="R184" i="66"/>
  <c r="T184" i="66" s="1"/>
  <c r="N184" i="66"/>
  <c r="U41" i="66"/>
  <c r="Q41" i="66"/>
  <c r="V73" i="66"/>
  <c r="X73" i="66" s="1"/>
  <c r="Q73" i="66"/>
  <c r="R73" i="66" s="1"/>
  <c r="T73" i="66" s="1"/>
  <c r="U73" i="66"/>
  <c r="M19" i="66"/>
  <c r="B17" i="8"/>
  <c r="Q121" i="66"/>
  <c r="R121" i="66" s="1"/>
  <c r="T121" i="66" s="1"/>
  <c r="U121" i="66"/>
  <c r="V121" i="66"/>
  <c r="X121" i="66" s="1"/>
  <c r="Q208" i="66"/>
  <c r="R208" i="66" s="1"/>
  <c r="T208" i="66" s="1"/>
  <c r="V208" i="66"/>
  <c r="X208" i="66" s="1"/>
  <c r="U208" i="66"/>
  <c r="V217" i="66"/>
  <c r="X217" i="66" s="1"/>
  <c r="U217" i="66"/>
  <c r="Q217" i="66"/>
  <c r="R217" i="66" s="1"/>
  <c r="T217" i="66" s="1"/>
  <c r="Y178" i="66"/>
  <c r="O34" i="66"/>
  <c r="Z34" i="66"/>
  <c r="Y34" i="66"/>
  <c r="Z178" i="66"/>
  <c r="V265" i="66"/>
  <c r="X265" i="66" s="1"/>
  <c r="Q265" i="66"/>
  <c r="R265" i="66" s="1"/>
  <c r="T265" i="66" s="1"/>
  <c r="U265" i="66"/>
  <c r="P232" i="66"/>
  <c r="N232" i="66"/>
  <c r="Y145" i="66"/>
  <c r="Y289" i="66"/>
  <c r="O145" i="66"/>
  <c r="Z145" i="66"/>
  <c r="Z289" i="66"/>
  <c r="L259" i="66"/>
  <c r="J459" i="58"/>
  <c r="O274" i="66"/>
  <c r="Q241" i="66" l="1"/>
  <c r="R241" i="66" s="1"/>
  <c r="T241" i="66" s="1"/>
  <c r="V241" i="66"/>
  <c r="X241" i="66" s="1"/>
  <c r="Q289" i="66"/>
  <c r="R289" i="66" s="1"/>
  <c r="T289" i="66" s="1"/>
  <c r="Y276" i="66"/>
  <c r="Z132" i="66"/>
  <c r="O276" i="66"/>
  <c r="Q276" i="66" s="1"/>
  <c r="R276" i="66" s="1"/>
  <c r="T276" i="66" s="1"/>
  <c r="Z276" i="66"/>
  <c r="O132" i="66"/>
  <c r="Q132" i="66" s="1"/>
  <c r="R132" i="66" s="1"/>
  <c r="T132" i="66" s="1"/>
  <c r="Z275" i="66"/>
  <c r="Z131" i="66"/>
  <c r="O131" i="66"/>
  <c r="U131" i="66" s="1"/>
  <c r="Y131" i="66"/>
  <c r="Y275" i="66"/>
  <c r="O184" i="66"/>
  <c r="U184" i="66" s="1"/>
  <c r="U178" i="66"/>
  <c r="Z84" i="66"/>
  <c r="Y228" i="66"/>
  <c r="Y84" i="66"/>
  <c r="Y227" i="66"/>
  <c r="O84" i="66"/>
  <c r="U84" i="66" s="1"/>
  <c r="O228" i="66"/>
  <c r="V228" i="66" s="1"/>
  <c r="X228" i="66" s="1"/>
  <c r="J459" i="41"/>
  <c r="Y83" i="66"/>
  <c r="V145" i="66"/>
  <c r="X145" i="66" s="1"/>
  <c r="U145" i="66"/>
  <c r="Q145" i="66"/>
  <c r="R145" i="66" s="1"/>
  <c r="T145" i="66" s="1"/>
  <c r="P115" i="66"/>
  <c r="N115" i="66"/>
  <c r="O83" i="66"/>
  <c r="Q274" i="66"/>
  <c r="R274" i="66" s="1"/>
  <c r="T274" i="66" s="1"/>
  <c r="U274" i="66"/>
  <c r="V274" i="66"/>
  <c r="X274" i="66" s="1"/>
  <c r="U34" i="66"/>
  <c r="Q34" i="66"/>
  <c r="N19" i="66"/>
  <c r="P19" i="66"/>
  <c r="V19" i="66" s="1"/>
  <c r="X19" i="66" s="1"/>
  <c r="R19" i="66"/>
  <c r="T19" i="66" s="1"/>
  <c r="U130" i="66"/>
  <c r="V130" i="66"/>
  <c r="X130" i="66" s="1"/>
  <c r="Q130" i="66"/>
  <c r="R130" i="66" s="1"/>
  <c r="T130" i="66" s="1"/>
  <c r="Z83" i="66"/>
  <c r="O280" i="66"/>
  <c r="Q227" i="66"/>
  <c r="R227" i="66" s="1"/>
  <c r="T227" i="66" s="1"/>
  <c r="U227" i="66"/>
  <c r="V227" i="66"/>
  <c r="X227" i="66" s="1"/>
  <c r="I459" i="41"/>
  <c r="V97" i="66"/>
  <c r="X97" i="66" s="1"/>
  <c r="U97" i="66"/>
  <c r="Q97" i="66"/>
  <c r="R97" i="66" s="1"/>
  <c r="T97" i="66" s="1"/>
  <c r="U226" i="66"/>
  <c r="Q226" i="66"/>
  <c r="R226" i="66" s="1"/>
  <c r="T226" i="66" s="1"/>
  <c r="V226" i="66"/>
  <c r="X226" i="66" s="1"/>
  <c r="P259" i="66"/>
  <c r="N259" i="66"/>
  <c r="P211" i="66"/>
  <c r="N211" i="66"/>
  <c r="P67" i="66"/>
  <c r="N67" i="66"/>
  <c r="U193" i="66"/>
  <c r="Q193" i="66"/>
  <c r="V275" i="66"/>
  <c r="X275" i="66" s="1"/>
  <c r="Q275" i="66"/>
  <c r="R275" i="66" s="1"/>
  <c r="T275" i="66" s="1"/>
  <c r="U275" i="66"/>
  <c r="V82" i="66"/>
  <c r="X82" i="66" s="1"/>
  <c r="Q82" i="66"/>
  <c r="R82" i="66" s="1"/>
  <c r="T82" i="66" s="1"/>
  <c r="U82" i="66"/>
  <c r="H459" i="41"/>
  <c r="U35" i="66"/>
  <c r="Q35" i="66"/>
  <c r="O232" i="66"/>
  <c r="Z88" i="66"/>
  <c r="O88" i="66"/>
  <c r="Y232" i="66"/>
  <c r="Z232" i="66"/>
  <c r="Y88" i="66"/>
  <c r="Y184" i="66"/>
  <c r="O40" i="66"/>
  <c r="Z184" i="66"/>
  <c r="Y40" i="66"/>
  <c r="Z40" i="66"/>
  <c r="Q179" i="66"/>
  <c r="U179" i="66"/>
  <c r="N163" i="66"/>
  <c r="P163" i="66"/>
  <c r="V163" i="66" s="1"/>
  <c r="X163" i="66" s="1"/>
  <c r="R163" i="66"/>
  <c r="T163" i="66" s="1"/>
  <c r="Z136" i="66"/>
  <c r="Y280" i="66"/>
  <c r="Y136" i="66"/>
  <c r="O136" i="66"/>
  <c r="Z280" i="66"/>
  <c r="Z227" i="66"/>
  <c r="U49" i="66"/>
  <c r="Q49" i="66"/>
  <c r="O180" i="66"/>
  <c r="Y180" i="66"/>
  <c r="Z36" i="66"/>
  <c r="O36" i="66"/>
  <c r="Z180" i="66"/>
  <c r="Y36" i="66"/>
  <c r="U276" i="66" l="1"/>
  <c r="U132" i="66"/>
  <c r="V132" i="66"/>
  <c r="X132" i="66" s="1"/>
  <c r="Q184" i="66"/>
  <c r="V276" i="66"/>
  <c r="X276" i="66" s="1"/>
  <c r="V131" i="66"/>
  <c r="X131" i="66" s="1"/>
  <c r="Q131" i="66"/>
  <c r="R131" i="66" s="1"/>
  <c r="T131" i="66" s="1"/>
  <c r="Q84" i="66"/>
  <c r="R84" i="66" s="1"/>
  <c r="T84" i="66" s="1"/>
  <c r="V84" i="66"/>
  <c r="X84" i="66" s="1"/>
  <c r="O163" i="66"/>
  <c r="Q163" i="66" s="1"/>
  <c r="O259" i="66"/>
  <c r="V259" i="66" s="1"/>
  <c r="X259" i="66" s="1"/>
  <c r="Q228" i="66"/>
  <c r="R228" i="66" s="1"/>
  <c r="T228" i="66" s="1"/>
  <c r="U228" i="66"/>
  <c r="O211" i="66"/>
  <c r="Q211" i="66" s="1"/>
  <c r="R211" i="66" s="1"/>
  <c r="T211" i="66" s="1"/>
  <c r="O19" i="66"/>
  <c r="Z163" i="66"/>
  <c r="Y163" i="66"/>
  <c r="Z19" i="66"/>
  <c r="Y19" i="66"/>
  <c r="U280" i="66"/>
  <c r="Q280" i="66"/>
  <c r="R280" i="66" s="1"/>
  <c r="T280" i="66" s="1"/>
  <c r="V280" i="66"/>
  <c r="X280" i="66" s="1"/>
  <c r="Q83" i="66"/>
  <c r="R83" i="66" s="1"/>
  <c r="T83" i="66" s="1"/>
  <c r="U83" i="66"/>
  <c r="V83" i="66"/>
  <c r="X83" i="66" s="1"/>
  <c r="Q36" i="66"/>
  <c r="U36" i="66"/>
  <c r="V88" i="66"/>
  <c r="X88" i="66" s="1"/>
  <c r="U88" i="66"/>
  <c r="Q88" i="66"/>
  <c r="R88" i="66" s="1"/>
  <c r="T88" i="66" s="1"/>
  <c r="Z259" i="66"/>
  <c r="Y259" i="66"/>
  <c r="Z115" i="66"/>
  <c r="O115" i="66"/>
  <c r="Y115" i="66"/>
  <c r="V136" i="66"/>
  <c r="X136" i="66" s="1"/>
  <c r="Q136" i="66"/>
  <c r="R136" i="66" s="1"/>
  <c r="T136" i="66" s="1"/>
  <c r="U136" i="66"/>
  <c r="Y211" i="66"/>
  <c r="Y67" i="66"/>
  <c r="Z211" i="66"/>
  <c r="Z67" i="66"/>
  <c r="O67" i="66"/>
  <c r="U180" i="66"/>
  <c r="Q180" i="66"/>
  <c r="U232" i="66"/>
  <c r="Q232" i="66"/>
  <c r="R232" i="66" s="1"/>
  <c r="T232" i="66" s="1"/>
  <c r="V232" i="66"/>
  <c r="X232" i="66" s="1"/>
  <c r="Q40" i="66"/>
  <c r="U40" i="66"/>
  <c r="U163" i="66" l="1"/>
  <c r="U259" i="66"/>
  <c r="Q259" i="66"/>
  <c r="R259" i="66" s="1"/>
  <c r="T259" i="66" s="1"/>
  <c r="V211" i="66"/>
  <c r="X211" i="66" s="1"/>
  <c r="U211" i="66"/>
  <c r="U19" i="66"/>
  <c r="Q19" i="66"/>
  <c r="U67" i="66"/>
  <c r="Q67" i="66"/>
  <c r="R67" i="66" s="1"/>
  <c r="T67" i="66" s="1"/>
  <c r="V67" i="66"/>
  <c r="X67" i="66" s="1"/>
  <c r="Q115" i="66"/>
  <c r="R115" i="66" s="1"/>
  <c r="T115" i="66" s="1"/>
  <c r="V115" i="66"/>
  <c r="X115" i="66" s="1"/>
  <c r="U115" i="66"/>
  <c r="J4" i="37" l="1"/>
  <c r="J4" i="58"/>
  <c r="I4" i="58"/>
  <c r="I4" i="37"/>
  <c r="H4" i="58" l="1"/>
  <c r="H4" i="37"/>
  <c r="F53" i="66"/>
  <c r="I4" i="41"/>
  <c r="D45" i="39" s="1"/>
  <c r="E19" i="53"/>
  <c r="F197" i="66"/>
  <c r="E25" i="53"/>
  <c r="N4" i="58"/>
  <c r="L45" i="39"/>
  <c r="O4" i="58"/>
  <c r="F245" i="66"/>
  <c r="E37" i="53"/>
  <c r="E31" i="53"/>
  <c r="F101" i="66"/>
  <c r="J4" i="41"/>
  <c r="E45" i="39" s="1"/>
  <c r="M45" i="39" l="1"/>
  <c r="M59" i="39" s="1"/>
  <c r="M60" i="39" s="1"/>
  <c r="E124" i="38"/>
  <c r="E59" i="39"/>
  <c r="E60" i="39" s="1"/>
  <c r="E56" i="39"/>
  <c r="G18" i="39"/>
  <c r="D59" i="39"/>
  <c r="D60" i="39" s="1"/>
  <c r="E107" i="38"/>
  <c r="D56" i="39"/>
  <c r="F18" i="39"/>
  <c r="E7" i="53"/>
  <c r="H4" i="41"/>
  <c r="K45" i="39" s="1"/>
  <c r="F5" i="66"/>
  <c r="C45" i="39"/>
  <c r="L59" i="39"/>
  <c r="L60" i="39" s="1"/>
  <c r="E158" i="38"/>
  <c r="L56" i="39"/>
  <c r="M4" i="58"/>
  <c r="F149" i="66"/>
  <c r="E13" i="53"/>
  <c r="E175" i="38" l="1"/>
  <c r="J444" i="58" s="1"/>
  <c r="M56" i="39"/>
  <c r="M58" i="39" s="1"/>
  <c r="I452" i="37"/>
  <c r="I444" i="37"/>
  <c r="J53" i="66"/>
  <c r="D19" i="53"/>
  <c r="F19" i="53" s="1"/>
  <c r="H25" i="53" s="1"/>
  <c r="L57" i="39"/>
  <c r="L58" i="39"/>
  <c r="I452" i="58"/>
  <c r="D25" i="53"/>
  <c r="F25" i="53" s="1"/>
  <c r="J197" i="66"/>
  <c r="I444" i="58"/>
  <c r="E58" i="39"/>
  <c r="E57" i="39"/>
  <c r="C59" i="39"/>
  <c r="C60" i="39" s="1"/>
  <c r="E90" i="38"/>
  <c r="C56" i="39"/>
  <c r="K59" i="39"/>
  <c r="K60" i="39" s="1"/>
  <c r="K56" i="39"/>
  <c r="E141" i="38"/>
  <c r="D57" i="39"/>
  <c r="D58" i="39"/>
  <c r="J101" i="66"/>
  <c r="J452" i="37"/>
  <c r="J444" i="37"/>
  <c r="D31" i="53"/>
  <c r="F31" i="53" s="1"/>
  <c r="H37" i="53" s="1"/>
  <c r="J245" i="66" l="1"/>
  <c r="S245" i="66" s="1"/>
  <c r="D37" i="53"/>
  <c r="F37" i="53" s="1"/>
  <c r="H31" i="53" s="1"/>
  <c r="G31" i="53" s="1"/>
  <c r="M57" i="39"/>
  <c r="J452" i="58"/>
  <c r="J452" i="41" s="1"/>
  <c r="S197" i="66"/>
  <c r="W197" i="66"/>
  <c r="I444" i="41"/>
  <c r="I467" i="58"/>
  <c r="F198" i="66"/>
  <c r="J467" i="37"/>
  <c r="F102" i="66"/>
  <c r="J444" i="41"/>
  <c r="H19" i="53"/>
  <c r="G19" i="53" s="1"/>
  <c r="G25" i="53"/>
  <c r="J467" i="58"/>
  <c r="F246" i="66"/>
  <c r="W101" i="66"/>
  <c r="S101" i="66"/>
  <c r="H452" i="37"/>
  <c r="J5" i="66"/>
  <c r="H444" i="37"/>
  <c r="D7" i="53"/>
  <c r="F7" i="53" s="1"/>
  <c r="F199" i="66"/>
  <c r="I457" i="58"/>
  <c r="S53" i="66"/>
  <c r="W53" i="66"/>
  <c r="K57" i="39"/>
  <c r="K58" i="39"/>
  <c r="J457" i="37"/>
  <c r="F103" i="66"/>
  <c r="C57" i="39"/>
  <c r="C58" i="39"/>
  <c r="I467" i="37"/>
  <c r="F54" i="66"/>
  <c r="H444" i="58"/>
  <c r="J149" i="66"/>
  <c r="H452" i="58"/>
  <c r="D13" i="53"/>
  <c r="F13" i="53" s="1"/>
  <c r="H7" i="53" s="1"/>
  <c r="F55" i="66"/>
  <c r="I452" i="41"/>
  <c r="I457" i="37"/>
  <c r="W245" i="66" l="1"/>
  <c r="G37" i="53"/>
  <c r="F247" i="66"/>
  <c r="J457" i="58"/>
  <c r="J458" i="58" s="1"/>
  <c r="E385" i="38" s="1"/>
  <c r="K266" i="66" s="1"/>
  <c r="N266" i="66" s="1"/>
  <c r="H452" i="41"/>
  <c r="H457" i="37"/>
  <c r="F7" i="66"/>
  <c r="E331" i="38"/>
  <c r="E337" i="38"/>
  <c r="E325" i="38"/>
  <c r="M197" i="66" s="1"/>
  <c r="E319" i="38"/>
  <c r="L102" i="66"/>
  <c r="P102" i="66" s="1"/>
  <c r="E313" i="38"/>
  <c r="E307" i="38"/>
  <c r="E384" i="38"/>
  <c r="K247" i="66" s="1"/>
  <c r="N247" i="66" s="1"/>
  <c r="L54" i="66"/>
  <c r="P54" i="66" s="1"/>
  <c r="G7" i="53"/>
  <c r="H13" i="53"/>
  <c r="G13" i="53" s="1"/>
  <c r="L246" i="66"/>
  <c r="P246" i="66" s="1"/>
  <c r="J467" i="41"/>
  <c r="O3" i="41" s="1"/>
  <c r="S149" i="66"/>
  <c r="W149" i="66"/>
  <c r="E366" i="38"/>
  <c r="K103" i="66" s="1"/>
  <c r="N103" i="66" s="1"/>
  <c r="J458" i="37"/>
  <c r="I458" i="58"/>
  <c r="E379" i="38" s="1"/>
  <c r="K218" i="66" s="1"/>
  <c r="N218" i="66" s="1"/>
  <c r="E378" i="38"/>
  <c r="K199" i="66" s="1"/>
  <c r="N199" i="66" s="1"/>
  <c r="E360" i="38"/>
  <c r="K55" i="66" s="1"/>
  <c r="N55" i="66" s="1"/>
  <c r="I458" i="37"/>
  <c r="I457" i="41"/>
  <c r="H467" i="37"/>
  <c r="F6" i="66"/>
  <c r="H444" i="41"/>
  <c r="L198" i="66"/>
  <c r="P198" i="66" s="1"/>
  <c r="H457" i="58"/>
  <c r="F151" i="66"/>
  <c r="F150" i="66"/>
  <c r="H467" i="58"/>
  <c r="W5" i="66"/>
  <c r="S5" i="66"/>
  <c r="E349" i="38"/>
  <c r="M245" i="66" s="1"/>
  <c r="E343" i="38"/>
  <c r="I467" i="41"/>
  <c r="J457" i="41" l="1"/>
  <c r="N246" i="66"/>
  <c r="N102" i="66"/>
  <c r="N198" i="66"/>
  <c r="N54" i="66"/>
  <c r="L197" i="66"/>
  <c r="I464" i="58"/>
  <c r="L6" i="66"/>
  <c r="P6" i="66" s="1"/>
  <c r="V6" i="66" s="1"/>
  <c r="X6" i="66" s="1"/>
  <c r="H467" i="41"/>
  <c r="M3" i="41" s="1"/>
  <c r="L53" i="66"/>
  <c r="I464" i="37"/>
  <c r="E367" i="38"/>
  <c r="K122" i="66" s="1"/>
  <c r="N122" i="66" s="1"/>
  <c r="J458" i="41"/>
  <c r="J464" i="37"/>
  <c r="L101" i="66"/>
  <c r="L245" i="66"/>
  <c r="J464" i="58"/>
  <c r="L150" i="66"/>
  <c r="P150" i="66" s="1"/>
  <c r="V150" i="66" s="1"/>
  <c r="X150" i="66" s="1"/>
  <c r="C22" i="8"/>
  <c r="M53" i="66"/>
  <c r="E354" i="38"/>
  <c r="K7" i="66" s="1"/>
  <c r="N7" i="66" s="1"/>
  <c r="H458" i="37"/>
  <c r="H457" i="41"/>
  <c r="Z247" i="66"/>
  <c r="Y103" i="66"/>
  <c r="Z103" i="66"/>
  <c r="Y247" i="66"/>
  <c r="E361" i="38"/>
  <c r="K74" i="66" s="1"/>
  <c r="N74" i="66" s="1"/>
  <c r="I458" i="41"/>
  <c r="E295" i="38"/>
  <c r="E301" i="38"/>
  <c r="M149" i="66" s="1"/>
  <c r="Z246" i="66"/>
  <c r="O102" i="66"/>
  <c r="Z102" i="66"/>
  <c r="Y102" i="66"/>
  <c r="Y246" i="66"/>
  <c r="M101" i="66"/>
  <c r="D22" i="8"/>
  <c r="E372" i="38"/>
  <c r="K151" i="66" s="1"/>
  <c r="N151" i="66" s="1"/>
  <c r="H458" i="58"/>
  <c r="E373" i="38" s="1"/>
  <c r="K170" i="66" s="1"/>
  <c r="N170" i="66" s="1"/>
  <c r="Z199" i="66"/>
  <c r="Z55" i="66"/>
  <c r="Y55" i="66"/>
  <c r="Y199" i="66"/>
  <c r="E283" i="38"/>
  <c r="E289" i="38"/>
  <c r="O246" i="66" l="1"/>
  <c r="V246" i="66" s="1"/>
  <c r="X246" i="66" s="1"/>
  <c r="I464" i="41"/>
  <c r="J464" i="41"/>
  <c r="N150" i="66"/>
  <c r="Z151" i="66"/>
  <c r="Y151" i="66"/>
  <c r="Z7" i="66"/>
  <c r="Y7" i="66"/>
  <c r="H464" i="37"/>
  <c r="L5" i="66"/>
  <c r="Y74" i="66"/>
  <c r="Z218" i="66"/>
  <c r="Z74" i="66"/>
  <c r="Y218" i="66"/>
  <c r="N6" i="66"/>
  <c r="Y266" i="66"/>
  <c r="Y122" i="66"/>
  <c r="Z122" i="66"/>
  <c r="Z266" i="66"/>
  <c r="Q102" i="66"/>
  <c r="U102" i="66"/>
  <c r="V102" i="66"/>
  <c r="X102" i="66" s="1"/>
  <c r="P53" i="66"/>
  <c r="N53" i="66"/>
  <c r="P197" i="66"/>
  <c r="N197" i="66"/>
  <c r="P245" i="66"/>
  <c r="N245" i="66"/>
  <c r="Y198" i="66"/>
  <c r="Z54" i="66"/>
  <c r="Y54" i="66"/>
  <c r="O54" i="66"/>
  <c r="Z198" i="66"/>
  <c r="B22" i="8"/>
  <c r="M5" i="66"/>
  <c r="L149" i="66"/>
  <c r="H464" i="58"/>
  <c r="E355" i="38"/>
  <c r="K26" i="66" s="1"/>
  <c r="N26" i="66" s="1"/>
  <c r="H458" i="41"/>
  <c r="N101" i="66"/>
  <c r="P101" i="66"/>
  <c r="O198" i="66"/>
  <c r="U246" i="66" l="1"/>
  <c r="Q246" i="66"/>
  <c r="O150" i="66"/>
  <c r="Q150" i="66" s="1"/>
  <c r="O197" i="66"/>
  <c r="U197" i="66" s="1"/>
  <c r="H464" i="41"/>
  <c r="U150" i="66"/>
  <c r="O101" i="66"/>
  <c r="Z245" i="66"/>
  <c r="Y245" i="66"/>
  <c r="Z101" i="66"/>
  <c r="Y101" i="66"/>
  <c r="Q54" i="66"/>
  <c r="V54" i="66"/>
  <c r="X54" i="66" s="1"/>
  <c r="U54" i="66"/>
  <c r="Y197" i="66"/>
  <c r="Z197" i="66"/>
  <c r="Y53" i="66"/>
  <c r="Z53" i="66"/>
  <c r="O53" i="66"/>
  <c r="N5" i="66"/>
  <c r="R5" i="66"/>
  <c r="T5" i="66" s="1"/>
  <c r="P5" i="66"/>
  <c r="V5" i="66" s="1"/>
  <c r="X5" i="66" s="1"/>
  <c r="R149" i="66"/>
  <c r="T149" i="66" s="1"/>
  <c r="P149" i="66"/>
  <c r="V149" i="66" s="1"/>
  <c r="X149" i="66" s="1"/>
  <c r="N149" i="66"/>
  <c r="O245" i="66"/>
  <c r="Z6" i="66"/>
  <c r="Y6" i="66"/>
  <c r="Z150" i="66"/>
  <c r="Y150" i="66"/>
  <c r="O6" i="66"/>
  <c r="Z26" i="66"/>
  <c r="Y170" i="66"/>
  <c r="Y26" i="66"/>
  <c r="Z170" i="66"/>
  <c r="U198" i="66"/>
  <c r="Q198" i="66"/>
  <c r="V198" i="66"/>
  <c r="X198" i="66" s="1"/>
  <c r="V197" i="66" l="1"/>
  <c r="X197" i="66" s="1"/>
  <c r="O149" i="66"/>
  <c r="U149" i="66" s="1"/>
  <c r="Q197" i="66"/>
  <c r="R197" i="66" s="1"/>
  <c r="T197" i="66" s="1"/>
  <c r="U101" i="66"/>
  <c r="Q101" i="66"/>
  <c r="R101" i="66" s="1"/>
  <c r="T101" i="66" s="1"/>
  <c r="V101" i="66"/>
  <c r="X101" i="66" s="1"/>
  <c r="U6" i="66"/>
  <c r="Q6" i="66"/>
  <c r="Y5" i="66"/>
  <c r="Z5" i="66"/>
  <c r="O5" i="66"/>
  <c r="Z149" i="66"/>
  <c r="Y149" i="66"/>
  <c r="Q53" i="66"/>
  <c r="R53" i="66" s="1"/>
  <c r="T53" i="66" s="1"/>
  <c r="U53" i="66"/>
  <c r="V53" i="66"/>
  <c r="X53" i="66" s="1"/>
  <c r="Q245" i="66"/>
  <c r="R245" i="66" s="1"/>
  <c r="T245" i="66" s="1"/>
  <c r="U245" i="66"/>
  <c r="V245" i="66"/>
  <c r="X245" i="66" s="1"/>
  <c r="Q149" i="66" l="1"/>
  <c r="U5" i="66"/>
  <c r="Q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<sst xmlns="http://schemas.openxmlformats.org/spreadsheetml/2006/main" count="4087" uniqueCount="345">
  <si>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</si>
  <si>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</si>
  <si>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</si>
  <si>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</si>
  <si>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</si>
  <si>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</si>
  <si>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</si>
  <si>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</si>
  <si>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</si>
  <si>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</si>
  <si>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</si>
  <si>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</si>
  <si>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</si>
  <si>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</si>
  <si>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</si>
  <si>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</si>
  <si>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</si>
  <si>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</si>
  <si>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</si>
  <si>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</si>
  <si>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</si>
  <si>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</si>
  <si>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</si>
  <si>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</si>
  <si>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</si>
  <si>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</si>
  <si>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</si>
  <si>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</si>
  <si>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</si>
  <si>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</si>
  <si>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</si>
  <si>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</si>
  <si>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</si>
  <si>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</si>
  <si>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</si>
  <si>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</si>
  <si>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</si>
  <si>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</si>
  <si>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</si>
  <si>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</si>
  <si>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</si>
  <si>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</si>
  <si>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</si>
  <si>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</si>
  <si>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</si>
  <si>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</si>
  <si>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</si>
  <si>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</si>
  <si>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</si>
  <si>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</si>
  <si>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</si>
  <si>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</si>
  <si>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</si>
  <si>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</si>
  <si>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</si>
  <si>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</si>
  <si>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</si>
  <si>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</si>
  <si>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</si>
  <si>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</si>
  <si>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</si>
  <si>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</si>
  <si>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</si>
  <si>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</si>
  <si>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</si>
  <si>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</si>
  <si>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</si>
  <si>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</si>
  <si>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</si>
  <si>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</si>
  <si>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</si>
  <si>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</si>
  <si>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</si>
  <si>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</si>
  <si>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</si>
  <si>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</si>
  <si>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</si>
  <si>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</si>
  <si>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</si>
  <si>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</si>
  <si>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</si>
  <si>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</si>
  <si>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</si>
  <si>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</si>
  <si>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</si>
  <si>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</si>
  <si>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</si>
  <si>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</si>
  <si>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</si>
  <si>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</si>
  <si>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</si>
  <si>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</si>
  <si>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</si>
  <si>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</si>
  <si>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</si>
  <si>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</si>
  <si>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</si>
  <si>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</si>
  <si>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</si>
  <si>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</si>
  <si>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</si>
  <si>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</si>
  <si>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</si>
  <si>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</si>
  <si>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</si>
  <si>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</si>
  <si>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</si>
  <si>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</si>
  <si>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</si>
  <si>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</si>
  <si>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</si>
  <si>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</si>
  <si>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</si>
  <si>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</si>
  <si>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</si>
  <si>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</si>
  <si>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</si>
  <si>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</si>
  <si>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</si>
  <si>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</si>
  <si>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</si>
  <si>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</si>
  <si>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</si>
  <si>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</si>
  <si>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</si>
  <si>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</si>
  <si>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</si>
  <si>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</si>
  <si>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</si>
  <si>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</si>
  <si>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</si>
  <si>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</si>
  <si>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</si>
  <si>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</si>
  <si>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</si>
  <si>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</si>
  <si>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</si>
  <si>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</si>
  <si>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</si>
  <si>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</si>
  <si>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</si>
  <si>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</si>
  <si>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</si>
  <si>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</si>
  <si>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</si>
  <si>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</si>
  <si>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</si>
  <si>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</si>
  <si>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</si>
  <si>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</si>
  <si>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</si>
  <si>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</si>
  <si>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</si>
  <si>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</si>
  <si>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</si>
  <si>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</si>
  <si>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</si>
  <si>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</si>
  <si>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</si>
  <si>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</si>
  <si>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</si>
  <si>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</si>
  <si>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</si>
  <si>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</si>
  <si>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</si>
  <si>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</si>
  <si>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</si>
  <si>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</si>
  <si>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</si>
  <si>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</si>
  <si>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</si>
  <si>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</si>
  <si>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</si>
  <si>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</si>
  <si>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</si>
  <si>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</si>
  <si>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</si>
  <si>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</si>
  <si>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</si>
  <si>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</si>
  <si>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</si>
  <si>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</si>
  <si>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</si>
  <si>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</si>
  <si>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</si>
  <si>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</si>
  <si>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</si>
  <si>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</si>
  <si>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</si>
  <si>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</si>
  <si>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</si>
  <si>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</si>
  <si>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</si>
  <si>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</si>
  <si>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</si>
  <si>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</si>
  <si>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</si>
  <si>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</si>
  <si>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</si>
  <si>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</si>
  <si>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</si>
  <si>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</si>
  <si>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</si>
  <si>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</si>
  <si>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</si>
  <si>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</si>
  <si>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</si>
  <si>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</si>
  <si>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</si>
  <si>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</si>
  <si>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</si>
  <si>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</si>
  <si>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</si>
  <si>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</si>
  <si>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</si>
  <si>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</si>
  <si>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</si>
  <si>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</si>
  <si>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</si>
  <si>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</si>
  <si>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</si>
  <si>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</si>
  <si>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</si>
  <si>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</si>
  <si>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</si>
  <si>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</si>
  <si>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</si>
  <si>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</si>
  <si>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</si>
  <si>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</si>
  <si>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</si>
  <si>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</si>
  <si>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</si>
  <si>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</si>
  <si>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</si>
  <si>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</si>
  <si>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</si>
  <si>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</si>
  <si>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</si>
  <si>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</si>
  <si>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</si>
  <si>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</si>
  <si>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</si>
  <si>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</si>
  <si>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</si>
  <si>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</si>
  <si>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</si>
  <si>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</si>
  <si>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</si>
  <si>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</si>
  <si>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</si>
  <si>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</si>
  <si>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</si>
  <si>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</si>
  <si>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</si>
  <si>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</si>
  <si>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</si>
  <si>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</si>
  <si>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</si>
  <si>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</si>
  <si>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</si>
  <si>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</si>
  <si>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</si>
  <si>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</si>
  <si>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</si>
  <si>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</si>
  <si>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</si>
  <si>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</si>
  <si>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</si>
  <si>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</si>
  <si>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</si>
  <si>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</si>
  <si>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</si>
  <si>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</si>
  <si>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</si>
  <si>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</si>
  <si>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</si>
  <si>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</si>
  <si>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</si>
  <si>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</si>
  <si>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</si>
  <si>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</si>
  <si>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</si>
  <si>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</si>
  <si>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</si>
  <si>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</si>
  <si>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</si>
  <si>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</si>
  <si>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</si>
  <si>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</si>
  <si>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</si>
  <si>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</si>
  <si>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</si>
  <si>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</si>
  <si>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</si>
  <si>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</si>
  <si>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</si>
  <si>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</si>
  <si>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</si>
  <si>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</si>
  <si>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</si>
  <si>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</si>
  <si>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</si>
  <si>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</si>
  <si>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</si>
  <si>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</si>
  <si>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</si>
  <si>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</si>
  <si>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</si>
  <si>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</si>
  <si>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</si>
  <si>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</si>
  <si>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</si>
  <si>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</si>
  <si>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</si>
  <si>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</si>
  <si>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</si>
  <si>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</si>
  <si>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</si>
  <si>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</si>
  <si>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</si>
  <si>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</si>
  <si>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</si>
  <si>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</si>
  <si>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</si>
  <si>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</si>
  <si>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</si>
  <si>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</si>
  <si>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</si>
  <si>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</si>
  <si>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</si>
  <si>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</si>
  <si>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</si>
  <si>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</si>
  <si>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</si>
  <si>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</si>
  <si>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</si>
  <si>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</si>
  <si>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</si>
  <si>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</si>
  <si>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</si>
  <si>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</si>
  <si>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</si>
  <si>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</si>
  <si>
    <t>Resten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</si>
</sst>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  <numFmt numFmtId="174" formatCode="0.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2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171" fontId="0" fillId="3" borderId="1" xfId="5" applyNumberFormat="1" applyFont="1" applyFill="1" applyBorder="1"/>
    <xf numFmtId="174" fontId="15" fillId="0" borderId="0" xfId="0" applyNumberFormat="1" applyFont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171" fontId="0" fillId="2" borderId="0" xfId="5" applyNumberFormat="1" applyFont="1" applyFill="1"/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8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1809636</c:v>
                </c:pt>
                <c:pt idx="2">
                  <c:v>1771636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651654.00000000012</c:v>
                </c:pt>
                <c:pt idx="2">
                  <c:v>651654.00000000012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1151900</c:v>
                </c:pt>
                <c:pt idx="2">
                  <c:v>1189900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4063752.1087439051</c:v>
                </c:pt>
                <c:pt idx="2">
                  <c:v>3987380.5090033729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-2251245.0501141008</c:v>
                </c:pt>
                <c:pt idx="2">
                  <c:v>-9546124.0664975215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-453784.36160331988</c:v>
                </c:pt>
                <c:pt idx="2">
                  <c:v>-489357.12407466117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-779936.66666666651</c:v>
                </c:pt>
                <c:pt idx="2">
                  <c:v>-774715.33333333302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6061368.5273917494</c:v>
                </c:pt>
                <c:pt idx="2">
                  <c:v>-1382145.6337438086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53755.646942900377</c:v>
                </c:pt>
                <c:pt idx="2">
                  <c:v>52473.207521593358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3856.0650882015389</c:v>
                </c:pt>
                <c:pt idx="2">
                  <c:v>3787.2602348800724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186393.46040088782</c:v>
                </c:pt>
                <c:pt idx="2">
                  <c:v>195227.43071388954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9761.8276615501709</c:v>
                </c:pt>
                <c:pt idx="2">
                  <c:v>9579.5999533254053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13450.549687697332</c:v>
                </c:pt>
                <c:pt idx="2">
                  <c:v>13149.466699731109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-6926.7800929407804</c:v>
                </c:pt>
                <c:pt idx="2">
                  <c:v>-6791.7045129817016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1031435.996033932</c:v>
                </c:pt>
                <c:pt idx="2">
                  <c:v>1019700.5554858719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124246.19403898879</c:v>
                </c:pt>
                <c:pt idx="2">
                  <c:v>127544.27536988279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18942.618758617409</c:v>
                </c:pt>
                <c:pt idx="2">
                  <c:v>18583.353305914588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105595.08289732647</c:v>
                </c:pt>
                <c:pt idx="2">
                  <c:v>103324.91789115572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29365.200916148289</c:v>
                </c:pt>
                <c:pt idx="2">
                  <c:v>29082.217797196685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156828.76542669308</c:v>
                </c:pt>
                <c:pt idx="2">
                  <c:v>124481.51137064227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5235.2502165624192</c:v>
                </c:pt>
                <c:pt idx="2">
                  <c:v>5122.3523519725704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77696.122023435004</c:v>
                </c:pt>
                <c:pt idx="2">
                  <c:v>76371.555816925582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10.447437411334308</c:v>
                </c:pt>
                <c:pt idx="2">
                  <c:v>9.3808565872840166</c:v>
                </c:pt>
                <c:pt idx="3">
                  <c:v>7.4504602234640007</c:v>
                </c:pt>
                <c:pt idx="4">
                  <c:v>6.6244886609735154</c:v>
                </c:pt>
                <c:pt idx="5">
                  <c:v>7.8491201479790584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3.9740389562932799</c:v>
                </c:pt>
                <c:pt idx="2">
                  <c:v>4.3180481332182152</c:v>
                </c:pt>
                <c:pt idx="3">
                  <c:v>1.4201719861750002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7.0854773665545726E-2</c:v>
                </c:pt>
                <c:pt idx="2">
                  <c:v>0.11378607880318431</c:v>
                </c:pt>
                <c:pt idx="3">
                  <c:v>0.45076703431999998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9.1981320306422837E-2</c:v>
                </c:pt>
                <c:pt idx="2">
                  <c:v>0.20182060488909467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1.5781310459279956</c:v>
                </c:pt>
                <c:pt idx="2">
                  <c:v>1.3109208360146711</c:v>
                </c:pt>
                <c:pt idx="3">
                  <c:v>5.0922829580050024</c:v>
                </c:pt>
                <c:pt idx="4">
                  <c:v>15.049715802173349</c:v>
                </c:pt>
                <c:pt idx="5">
                  <c:v>16.658699794154359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7.5981675535184188</c:v>
                </c:pt>
                <c:pt idx="1">
                  <c:v>5.2395065029915484</c:v>
                </c:pt>
                <c:pt idx="2">
                  <c:v>5.1599554735565736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43.6610311355047</c:v>
                </c:pt>
                <c:pt idx="2">
                  <c:v>41.314614118639199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11.562819999999999</c:v>
                </c:pt>
                <c:pt idx="2">
                  <c:v>11.485411999999991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1141100.3798689314</c:v>
                </c:pt>
                <c:pt idx="2">
                  <c:v>1159734.9907381348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299276.196325247</c:v>
                </c:pt>
                <c:pt idx="2">
                  <c:v>352822.51653438847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6413.3949522956182</c:v>
                </c:pt>
                <c:pt idx="2">
                  <c:v>9366.5626482969237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15372.922613886823</c:v>
                </c:pt>
                <c:pt idx="2">
                  <c:v>33730.463212662056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2267978.6513635372</c:v>
                </c:pt>
                <c:pt idx="2">
                  <c:v>2435607.4891669466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197552.35639147891</c:v>
                </c:pt>
                <c:pt idx="1">
                  <c:v>136227.16907778027</c:v>
                </c:pt>
                <c:pt idx="2">
                  <c:v>134158.84231247092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1462454.4365091918</c:v>
                </c:pt>
                <c:pt idx="2">
                  <c:v>1382778.1918552625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biomasse'!$B$5:$B$37</c:f>
              <c:numCache>
                <c:formatCode>#,##0.0,,</c:formatCode>
                <c:ptCount val="24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biomasse'!$C$5:$C$37</c:f>
              <c:numCache>
                <c:formatCode>#,##0.0,,</c:formatCode>
                <c:ptCount val="24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biomasse'!$D$5:$D$37</c:f>
              <c:numCache>
                <c:formatCode>#,##0.0,,</c:formatCode>
                <c:ptCount val="24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biomasse'!$E$5:$E$37</c:f>
              <c:numCache>
                <c:formatCode>#,##0.0,,</c:formatCode>
                <c:ptCount val="24"/>
                <c:pt idx="0">
                  <c:v>757087.00000000012</c:v>
                </c:pt>
                <c:pt idx="1">
                  <c:v>2258235.6960382708</c:v>
                </c:pt>
                <c:pt idx="2">
                  <c:v>2524028.6677636607</c:v>
                </c:pt>
                <c:pt idx="12">
                  <c:v>823764.99285714305</c:v>
                </c:pt>
                <c:pt idx="13">
                  <c:v>284967.83783340082</c:v>
                </c:pt>
                <c:pt idx="14">
                  <c:v>238881.28462763206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biomasse'!$F$5:$F$37</c:f>
              <c:numCache>
                <c:formatCode>#,##0.0,,</c:formatCode>
                <c:ptCount val="24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biomasse'!$G$5:$G$37</c:f>
              <c:numCache>
                <c:formatCode>#,##0.0,,</c:formatCode>
                <c:ptCount val="24"/>
                <c:pt idx="0">
                  <c:v>4441.5</c:v>
                </c:pt>
                <c:pt idx="1">
                  <c:v>5877.9032394539199</c:v>
                </c:pt>
                <c:pt idx="2">
                  <c:v>7470.90409588078</c:v>
                </c:pt>
                <c:pt idx="12">
                  <c:v>3362.8500000000004</c:v>
                </c:pt>
                <c:pt idx="13">
                  <c:v>2396.375936085059</c:v>
                </c:pt>
                <c:pt idx="14">
                  <c:v>1414.1354181488614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biomasse'!$H$5:$H$37</c:f>
              <c:numCache>
                <c:formatCode>#,##0.0,,</c:formatCode>
                <c:ptCount val="24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biomasse'!$I$5:$I$37</c:f>
              <c:numCache>
                <c:formatCode>#,##0.0,,</c:formatCode>
                <c:ptCount val="24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biomasse'!$J$5:$J$37</c:f>
              <c:numCache>
                <c:formatCode>#,##0.0,,</c:formatCode>
                <c:ptCount val="24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biomasse'!$K$5:$K$37</c:f>
              <c:numCache>
                <c:formatCode>#,##0.0,,</c:formatCode>
                <c:ptCount val="24"/>
                <c:pt idx="0">
                  <c:v>85676.999999999985</c:v>
                </c:pt>
                <c:pt idx="1">
                  <c:v>0</c:v>
                </c:pt>
                <c:pt idx="2">
                  <c:v>0</c:v>
                </c:pt>
                <c:pt idx="3">
                  <c:v>13739757.985270014</c:v>
                </c:pt>
                <c:pt idx="4">
                  <c:v>11877216.470250065</c:v>
                </c:pt>
                <c:pt idx="5">
                  <c:v>11877216.470250065</c:v>
                </c:pt>
                <c:pt idx="15">
                  <c:v>0</c:v>
                </c:pt>
                <c:pt idx="16">
                  <c:v>16962.010400484487</c:v>
                </c:pt>
                <c:pt idx="17">
                  <c:v>16962.010400484487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biomasse'!$L$5:$L$37</c:f>
              <c:numCache>
                <c:formatCode>#,##0.0,,</c:formatCode>
                <c:ptCount val="24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biomasse'!$M$5:$M$37</c:f>
              <c:numCache>
                <c:formatCode>#,##0.0,,</c:formatCode>
                <c:ptCount val="24"/>
                <c:pt idx="0">
                  <c:v>75934</c:v>
                </c:pt>
                <c:pt idx="1">
                  <c:v>0</c:v>
                </c:pt>
                <c:pt idx="2">
                  <c:v>0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0</c:v>
                </c:pt>
                <c:pt idx="11">
                  <c:v>10903.94907837885</c:v>
                </c:pt>
                <c:pt idx="21">
                  <c:v>0</c:v>
                </c:pt>
                <c:pt idx="22">
                  <c:v>1195000</c:v>
                </c:pt>
                <c:pt idx="23">
                  <c:v>1186999.9999999995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biomasse'!$N$5:$N$37</c:f>
              <c:numCache>
                <c:formatCode>#,##0.0,,</c:formatCode>
                <c:ptCount val="24"/>
                <c:pt idx="0">
                  <c:v>78</c:v>
                </c:pt>
                <c:pt idx="1">
                  <c:v>500000</c:v>
                </c:pt>
                <c:pt idx="2">
                  <c:v>500000</c:v>
                </c:pt>
                <c:pt idx="9">
                  <c:v>982731</c:v>
                </c:pt>
                <c:pt idx="10">
                  <c:v>482809.00000000006</c:v>
                </c:pt>
                <c:pt idx="11">
                  <c:v>482809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biomasse'!$O$5:$O$37</c:f>
              <c:numCache>
                <c:formatCode>#,##0.0,,</c:formatCode>
                <c:ptCount val="24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biomasse'!$P$5:$P$37</c:f>
              <c:numCache>
                <c:formatCode>#,##0.0,,</c:formatCode>
                <c:ptCount val="24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biomasse'!$Q$5:$Q$37</c:f>
              <c:numCache>
                <c:formatCode>#,##0.0,,</c:formatCode>
                <c:ptCount val="24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biomasse'!$R$5:$R$37</c:f>
              <c:numCache>
                <c:formatCode>#,##0.0,,</c:formatCode>
                <c:ptCount val="24"/>
                <c:pt idx="0">
                  <c:v>3785.9999999999991</c:v>
                </c:pt>
                <c:pt idx="1">
                  <c:v>0</c:v>
                </c:pt>
                <c:pt idx="2">
                  <c:v>0</c:v>
                </c:pt>
                <c:pt idx="3">
                  <c:v>6600836.8097011279</c:v>
                </c:pt>
                <c:pt idx="4">
                  <c:v>6832791.5116672218</c:v>
                </c:pt>
                <c:pt idx="5">
                  <c:v>6832791.5116672218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biomasse'!$S$5:$S$37</c:f>
              <c:numCache>
                <c:formatCode>#,##0.0,,</c:formatCode>
                <c:ptCount val="24"/>
                <c:pt idx="0">
                  <c:v>4353509.666666667</c:v>
                </c:pt>
                <c:pt idx="1">
                  <c:v>10568777.271841513</c:v>
                </c:pt>
                <c:pt idx="2">
                  <c:v>10912450.327425852</c:v>
                </c:pt>
                <c:pt idx="12">
                  <c:v>6423924.8458333323</c:v>
                </c:pt>
                <c:pt idx="13">
                  <c:v>2211099.4555563163</c:v>
                </c:pt>
                <c:pt idx="14">
                  <c:v>1807374.5854799061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biomasse'!$T$5:$T$37</c:f>
              <c:numCache>
                <c:formatCode>#,##0.0,,</c:formatCode>
                <c:ptCount val="24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biomasse'!$U$5:$U$37</c:f>
              <c:numCache>
                <c:formatCode>#,##0.0,,</c:formatCode>
                <c:ptCount val="24"/>
                <c:pt idx="0">
                  <c:v>330026</c:v>
                </c:pt>
                <c:pt idx="1">
                  <c:v>0</c:v>
                </c:pt>
                <c:pt idx="2">
                  <c:v>0</c:v>
                </c:pt>
                <c:pt idx="3">
                  <c:v>6351407.0475792512</c:v>
                </c:pt>
                <c:pt idx="4">
                  <c:v>6354278.658033995</c:v>
                </c:pt>
                <c:pt idx="5">
                  <c:v>6354278.658033995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biomasse'!$V$5:$V$37</c:f>
              <c:numCache>
                <c:formatCode>#,##0.0,,</c:formatCode>
                <c:ptCount val="24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biomasse'!$W$5:$W$37</c:f>
              <c:numCache>
                <c:formatCode>#,##0.0,,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52667.142777021276</c:v>
                </c:pt>
                <c:pt idx="5">
                  <c:v>52667.142777021269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biomasse'!$X$5:$X$37</c:f>
              <c:numCache>
                <c:formatCode>#,##0.0,,</c:formatCode>
                <c:ptCount val="24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biomasse'!$Y$5:$Y$37</c:f>
              <c:numCache>
                <c:formatCode>#,##0.0,,</c:formatCode>
                <c:ptCount val="24"/>
                <c:pt idx="18">
                  <c:v>678407.81727843033</c:v>
                </c:pt>
                <c:pt idx="19">
                  <c:v>467813.0806242454</c:v>
                </c:pt>
                <c:pt idx="20">
                  <c:v>460710.31013897981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biomasse'!$Z$5:$Z$37</c:f>
              <c:numCache>
                <c:formatCode>#,##0.0,,</c:formatCode>
                <c:ptCount val="24"/>
                <c:pt idx="0">
                  <c:v>28645.000000000004</c:v>
                </c:pt>
                <c:pt idx="1">
                  <c:v>0</c:v>
                </c:pt>
                <c:pt idx="2">
                  <c:v>0</c:v>
                </c:pt>
                <c:pt idx="3">
                  <c:v>944413.49448565592</c:v>
                </c:pt>
                <c:pt idx="4">
                  <c:v>975255.52958529233</c:v>
                </c:pt>
                <c:pt idx="5">
                  <c:v>975255.52958529233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biomasse'!$AA$5:$AA$37</c:f>
              <c:numCache>
                <c:formatCode>#,##0.0,,</c:formatCode>
                <c:ptCount val="24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biomasse'!$AB$5:$AB$37</c:f>
              <c:numCache>
                <c:formatCode>#,##0.0,,</c:formatCode>
                <c:ptCount val="24"/>
                <c:pt idx="0">
                  <c:v>2668834</c:v>
                </c:pt>
                <c:pt idx="1">
                  <c:v>3658982.5441344669</c:v>
                </c:pt>
                <c:pt idx="2">
                  <c:v>6097691.2716973517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biomasse'!$AC$5:$AC$37</c:f>
              <c:numCache>
                <c:formatCode>#,##0.0,,</c:formatCode>
                <c:ptCount val="24"/>
                <c:pt idx="0">
                  <c:v>2914869.3333333335</c:v>
                </c:pt>
                <c:pt idx="1">
                  <c:v>11218436.459050545</c:v>
                </c:pt>
                <c:pt idx="2">
                  <c:v>13218791.367373465</c:v>
                </c:pt>
                <c:pt idx="12">
                  <c:v>14742130.666666664</c:v>
                </c:pt>
                <c:pt idx="13">
                  <c:v>6040696.5548733696</c:v>
                </c:pt>
                <c:pt idx="14">
                  <c:v>3304697.8418433652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biomasse'!$AD$5:$AD$37</c:f>
              <c:numCache>
                <c:formatCode>#,##0.0,,</c:formatCode>
                <c:ptCount val="24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biomasse'!$AE$5:$AE$37</c:f>
              <c:numCache>
                <c:formatCode>#,##0.0,,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10920.686958176469</c:v>
                </c:pt>
                <c:pt idx="5">
                  <c:v>10920.686958176469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biomasse'!$AF$5:$AF$37</c:f>
              <c:numCache>
                <c:formatCode>#,##0.0,,</c:formatCode>
                <c:ptCount val="24"/>
                <c:pt idx="9">
                  <c:v>209782.38739500003</c:v>
                </c:pt>
                <c:pt idx="10">
                  <c:v>128936.60256776394</c:v>
                </c:pt>
                <c:pt idx="11">
                  <c:v>127087.43588378775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biomasse'!$AG$5:$AG$37</c:f>
              <c:numCache>
                <c:formatCode>#,##0.0,,</c:formatCode>
                <c:ptCount val="24"/>
                <c:pt idx="9">
                  <c:v>3010238.4923246857</c:v>
                </c:pt>
                <c:pt idx="10">
                  <c:v>2848752.9835421797</c:v>
                </c:pt>
                <c:pt idx="11">
                  <c:v>2689206.886531068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Fiberfraktion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biomasse'!$AH$5:$AH$37</c:f>
              <c:numCache>
                <c:formatCode>#,##0.0,,</c:formatCode>
                <c:ptCount val="24"/>
                <c:pt idx="3">
                  <c:v>0</c:v>
                </c:pt>
                <c:pt idx="4">
                  <c:v>5839.7118273120577</c:v>
                </c:pt>
                <c:pt idx="5">
                  <c:v>5839.7118273120577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Græsprotein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biomasse'!$AI$5:$AI$37</c:f>
              <c:numCache>
                <c:formatCode>#,##0.0,,</c:formatCode>
                <c:ptCount val="24"/>
                <c:pt idx="3">
                  <c:v>0</c:v>
                </c:pt>
                <c:pt idx="4">
                  <c:v>2835.5628866673446</c:v>
                </c:pt>
                <c:pt idx="5">
                  <c:v>2835.5628866673446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ser>
          <c:idx val="34"/>
          <c:order val="34"/>
          <c:tx>
            <c:strRef>
              <c:f>'Resultat-Forbrug af biomasse'!$AJ$3:$AJ$4</c:f>
              <c:strCache>
                <c:ptCount val="1"/>
                <c:pt idx="0">
                  <c:v>Brun saft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biomasse'!$AJ$5:$AJ$37</c:f>
              <c:numCache>
                <c:formatCode>#,##0.0,,</c:formatCode>
                <c:ptCount val="24"/>
                <c:pt idx="0">
                  <c:v>0</c:v>
                </c:pt>
                <c:pt idx="1">
                  <c:v>4144.2619618098342</c:v>
                </c:pt>
                <c:pt idx="2">
                  <c:v>6630.8191388957357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DA-4739-9D02-3D57EB132231}"/>
            </c:ext>
          </c:extLst>
        </c:ser>
        <c:ser>
          <c:idx val="35"/>
          <c:order val="35"/>
          <c:tx>
            <c:strRef>
              <c:f>'Resultat-Forbrug af biomasse'!$AK$3:$AK$4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biomasse'!$AK$5:$AK$37</c:f>
              <c:numCache>
                <c:formatCode>#,##0.0,,</c:formatCode>
                <c:ptCount val="24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DA-4739-9D02-3D57EB132231}"/>
            </c:ext>
          </c:extLst>
        </c:ser>
        <c:ser>
          <c:idx val="36"/>
          <c:order val="36"/>
          <c:tx>
            <c:strRef>
              <c:f>'Resultat-Forbrug af biomasse'!$AL$3:$AL$4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biomasse'!$AL$5:$AL$37</c:f>
              <c:numCache>
                <c:formatCode>#,##0.0,,</c:formatCode>
                <c:ptCount val="24"/>
                <c:pt idx="9">
                  <c:v>217090.50152909773</c:v>
                </c:pt>
                <c:pt idx="10">
                  <c:v>149700.18579975853</c:v>
                </c:pt>
                <c:pt idx="11">
                  <c:v>147427.29924447354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DA-4739-9D02-3D57EB132231}"/>
            </c:ext>
          </c:extLst>
        </c:ser>
        <c:ser>
          <c:idx val="37"/>
          <c:order val="37"/>
          <c:tx>
            <c:strRef>
              <c:f>'Resultat-Forbrug af biomasse'!$AM$3:$AM$4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biomasse'!$AM$5:$AM$37</c:f>
              <c:numCache>
                <c:formatCode>#,##0.0,,</c:formatCode>
                <c:ptCount val="24"/>
                <c:pt idx="12">
                  <c:v>8803491.7355084848</c:v>
                </c:pt>
                <c:pt idx="13">
                  <c:v>23179087.136456601</c:v>
                </c:pt>
                <c:pt idx="14">
                  <c:v>25321721.648106746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DA-4739-9D02-3D57EB132231}"/>
            </c:ext>
          </c:extLst>
        </c:ser>
        <c:ser>
          <c:idx val="38"/>
          <c:order val="38"/>
          <c:tx>
            <c:strRef>
              <c:f>'Resultat-Forbrug af biomasse'!$AN$3:$AN$4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biomasse'!$AN$5:$AN$37</c:f>
              <c:numCache>
                <c:formatCode>#,##0.0,,</c:formatCode>
                <c:ptCount val="24"/>
                <c:pt idx="12">
                  <c:v>1108490.5539925825</c:v>
                </c:pt>
                <c:pt idx="13">
                  <c:v>339241.60538953869</c:v>
                </c:pt>
                <c:pt idx="14">
                  <c:v>321390.3174930528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DA-4739-9D02-3D57EB132231}"/>
            </c:ext>
          </c:extLst>
        </c:ser>
        <c:ser>
          <c:idx val="39"/>
          <c:order val="39"/>
          <c:tx>
            <c:strRef>
              <c:f>'Resultat-Forbrug af biomasse'!$AO$3:$AO$4</c:f>
              <c:strCache>
                <c:ptCount val="1"/>
                <c:pt idx="0">
                  <c:v>Pyrolysegas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biomasse'!$AO$5:$AO$37</c:f>
              <c:numCache>
                <c:formatCode>#,##0.0,,</c:formatCode>
                <c:ptCount val="24"/>
                <c:pt idx="9">
                  <c:v>0</c:v>
                </c:pt>
                <c:pt idx="10">
                  <c:v>669200</c:v>
                </c:pt>
                <c:pt idx="11">
                  <c:v>664719.99999999977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DA-4739-9D02-3D57EB132231}"/>
            </c:ext>
          </c:extLst>
        </c:ser>
        <c:ser>
          <c:idx val="40"/>
          <c:order val="40"/>
          <c:tx>
            <c:strRef>
              <c:f>'Resultat-Forbrug af biomasse'!$AP$3:$AP$4</c:f>
              <c:strCache>
                <c:ptCount val="1"/>
                <c:pt idx="0">
                  <c:v>Pyrolyseolie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biomasse'!$AP$5:$AP$37</c:f>
              <c:numCache>
                <c:formatCode>#,##0.0,,</c:formatCode>
                <c:ptCount val="24"/>
                <c:pt idx="9">
                  <c:v>0</c:v>
                </c:pt>
                <c:pt idx="10">
                  <c:v>167300</c:v>
                </c:pt>
                <c:pt idx="11">
                  <c:v>166179.99999999994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DA-4739-9D02-3D57EB132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marker>
          <c:symbol val="none"/>
        </c:marker>
      </c:pivotFmt>
      <c:pivotFmt>
        <c:idx val="50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3"/>
        <c:marker>
          <c:symbol val="none"/>
        </c:marker>
      </c:pivotFmt>
      <c:pivotFmt>
        <c:idx val="50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8"/>
        <c:marker>
          <c:symbol val="none"/>
        </c:marker>
      </c:pivotFmt>
      <c:pivotFmt>
        <c:idx val="509"/>
        <c:marker>
          <c:symbol val="none"/>
        </c:marker>
      </c:pivotFmt>
      <c:pivotFmt>
        <c:idx val="5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278262.69869425741</c:v>
                </c:pt>
                <c:pt idx="2">
                  <c:v>302908.63644307404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Halm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0</c:v>
                </c:pt>
                <c:pt idx="1">
                  <c:v>341.41020267689601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Kartofler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230492.09773600774</c:v>
                </c:pt>
                <c:pt idx="2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1108490.5539925825</c:v>
                </c:pt>
                <c:pt idx="1">
                  <c:v>339241.60538953869</c:v>
                </c:pt>
                <c:pt idx="2">
                  <c:v>321390.3174930528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Majs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0</c:v>
                </c:pt>
                <c:pt idx="1">
                  <c:v>561962.44405162125</c:v>
                </c:pt>
                <c:pt idx="2">
                  <c:v>295363.07582411153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ser>
          <c:idx val="8"/>
          <c:order val="8"/>
          <c:tx>
            <c:strRef>
              <c:f>'Resultat-Import'!$J$4:$J$5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'Resultat-Import'!$J$6:$J$9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290-4F76-8402-08D8AC2D3A71}"/>
            </c:ext>
          </c:extLst>
        </c:ser>
        <c:ser>
          <c:idx val="9"/>
          <c:order val="9"/>
          <c:tx>
            <c:strRef>
              <c:f>'Resultat-Import'!$K$4:$K$5</c:f>
              <c:strCache>
                <c:ptCount val="1"/>
                <c:pt idx="0">
                  <c:v>Fiberfraktion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'Resultat-Import'!$K$6:$K$9</c:f>
              <c:numCache>
                <c:formatCode>0</c:formatCode>
                <c:ptCount val="3"/>
                <c:pt idx="0">
                  <c:v>0</c:v>
                </c:pt>
                <c:pt idx="1">
                  <c:v>1.7882371145836942</c:v>
                </c:pt>
                <c:pt idx="2">
                  <c:v>1.7882371145836942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290-4F76-8402-08D8AC2D3A71}"/>
            </c:ext>
          </c:extLst>
        </c:ser>
        <c:ser>
          <c:idx val="10"/>
          <c:order val="10"/>
          <c:tx>
            <c:strRef>
              <c:f>'Resultat-Import'!$L$4:$L$5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'Resultat-Import'!$L$6:$L$9</c:f>
              <c:numCache>
                <c:formatCode>0</c:formatCode>
                <c:ptCount val="3"/>
                <c:pt idx="0">
                  <c:v>420629.98984142789</c:v>
                </c:pt>
                <c:pt idx="1">
                  <c:v>448189.3811495062</c:v>
                </c:pt>
                <c:pt idx="2">
                  <c:v>469066.24706579954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290-4F76-8402-08D8AC2D3A71}"/>
            </c:ext>
          </c:extLst>
        </c:ser>
        <c:ser>
          <c:idx val="11"/>
          <c:order val="11"/>
          <c:tx>
            <c:strRef>
              <c:f>'Resultat-Import'!$M$4:$M$5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'Resultat-Import'!$M$6:$M$9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290-4F76-8402-08D8AC2D3A71}"/>
            </c:ext>
          </c:extLst>
        </c:ser>
        <c:ser>
          <c:idx val="12"/>
          <c:order val="12"/>
          <c:tx>
            <c:strRef>
              <c:f>'Resultat-Import'!$N$4:$N$5</c:f>
              <c:strCache>
                <c:ptCount val="1"/>
                <c:pt idx="0">
                  <c:v>Rapskage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'Resultat-Import'!$N$6:$N$9</c:f>
              <c:numCache>
                <c:formatCode>0</c:formatCode>
                <c:ptCount val="3"/>
                <c:pt idx="0">
                  <c:v>0</c:v>
                </c:pt>
                <c:pt idx="1">
                  <c:v>6471.3352811379264</c:v>
                </c:pt>
                <c:pt idx="2">
                  <c:v>10022.720523770717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290-4F76-8402-08D8AC2D3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137109.03167802229</c:v>
                </c:pt>
                <c:pt idx="2">
                  <c:v>133620.35366271777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3891686.2575127915</c:v>
                </c:pt>
                <c:pt idx="2">
                  <c:v>6396531.7307385029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467777.39417935623</c:v>
                </c:pt>
                <c:pt idx="2">
                  <c:v>392125.88231328258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1121036.0604266715</c:v>
                </c:pt>
                <c:pt idx="2">
                  <c:v>1110059.524082453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44494.197606562637</c:v>
                </c:pt>
                <c:pt idx="2">
                  <c:v>239732.89906206005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2">
                  <c:v>1.1641532182693481E-10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2040873.7508661344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20688.370813856833</c:v>
                </c:pt>
                <c:pt idx="2">
                  <c:v>316.79332798323594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1266262.2462674922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880.1</c:v>
                </c:pt>
                <c:pt idx="1">
                  <c:v>95406.837717421964</c:v>
                </c:pt>
                <c:pt idx="2">
                  <c:v>217790.44170925685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1434089.1049770473</c:v>
                </c:pt>
                <c:pt idx="2">
                  <c:v>1428486.5239850583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76.5</c:v>
                </c:pt>
                <c:pt idx="1">
                  <c:v>7079.3130418235296</c:v>
                </c:pt>
                <c:pt idx="2">
                  <c:v>7079.3130418235305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760237.19321567786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920737.996376556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768.64888515935843</c:v>
                </c:pt>
                <c:pt idx="2">
                  <c:v>453.59060582133304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3658982.5441344669</c:v>
                </c:pt>
                <c:pt idx="2">
                  <c:v>1524422.8179243379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Brun saft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1">
                  <c:v>4144.2619618098342</c:v>
                </c:pt>
                <c:pt idx="2">
                  <c:v>1657.7047847239328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679098.34691830049</c:v>
                </c:pt>
                <c:pt idx="2">
                  <c:v>668798.3131816989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ser>
          <c:idx val="28"/>
          <c:order val="28"/>
          <c:tx>
            <c:strRef>
              <c:f>'Resultat-Eksport'!$AD$4:$AD$5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'Resultat-Eksport'!$AD$6:$AD$9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569927.74114280404</c:v>
                </c:pt>
                <c:pt idx="2">
                  <c:v>563246.17498841672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7-43BC-AA5E-3E92E6810F28}"/>
            </c:ext>
          </c:extLst>
        </c:ser>
        <c:ser>
          <c:idx val="29"/>
          <c:order val="29"/>
          <c:tx>
            <c:strRef>
              <c:f>'Resultat-Eksport'!$AE$4:$AE$5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'Resultat-Eksport'!$AE$6:$AE$9</c:f>
              <c:numCache>
                <c:formatCode>#,##0</c:formatCode>
                <c:ptCount val="3"/>
                <c:pt idx="0">
                  <c:v>98826.033045954537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47-43BC-AA5E-3E92E6810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1809636</c:v>
                </c:pt>
                <c:pt idx="2">
                  <c:v>1771636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651654.00000000012</c:v>
                </c:pt>
                <c:pt idx="2">
                  <c:v>651654.00000000012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1151900</c:v>
                </c:pt>
                <c:pt idx="2">
                  <c:v>1189900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4063752.1087439051</c:v>
                </c:pt>
                <c:pt idx="2">
                  <c:v>3987380.5090033729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-2251245.0501141008</c:v>
                </c:pt>
                <c:pt idx="2">
                  <c:v>-9546124.0664975215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-453784.36160331988</c:v>
                </c:pt>
                <c:pt idx="2">
                  <c:v>-489357.12407466117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-779936.66666666651</c:v>
                </c:pt>
                <c:pt idx="2">
                  <c:v>-774715.33333333302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6061368.5273917494</c:v>
                </c:pt>
                <c:pt idx="2">
                  <c:v>-1382145.6337438086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53755.646942900377</c:v>
                </c:pt>
                <c:pt idx="2">
                  <c:v>52473.207521593358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3856.0650882015389</c:v>
                </c:pt>
                <c:pt idx="2">
                  <c:v>3787.2602348800724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186393.46040088782</c:v>
                </c:pt>
                <c:pt idx="2">
                  <c:v>195227.43071388954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9761.8276615501709</c:v>
                </c:pt>
                <c:pt idx="2">
                  <c:v>9579.5999533254053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13450.549687697332</c:v>
                </c:pt>
                <c:pt idx="2">
                  <c:v>13149.466699731109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-6926.7800929407804</c:v>
                </c:pt>
                <c:pt idx="2">
                  <c:v>-6791.7045129817016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1031435.996033932</c:v>
                </c:pt>
                <c:pt idx="2">
                  <c:v>1019700.5554858719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124246.19403898879</c:v>
                </c:pt>
                <c:pt idx="2">
                  <c:v>127544.27536988279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18942.618758617409</c:v>
                </c:pt>
                <c:pt idx="2">
                  <c:v>18583.353305914588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105595.08289732647</c:v>
                </c:pt>
                <c:pt idx="2">
                  <c:v>103324.91789115572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29365.200916148289</c:v>
                </c:pt>
                <c:pt idx="2">
                  <c:v>29082.217797196685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156828.76542669308</c:v>
                </c:pt>
                <c:pt idx="2">
                  <c:v>124481.51137064227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5235.2502165624192</c:v>
                </c:pt>
                <c:pt idx="2">
                  <c:v>5122.3523519725704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77696.122023435004</c:v>
                </c:pt>
                <c:pt idx="2">
                  <c:v>76371.555816925582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184407.26877936258</c:v>
                </c:pt>
                <c:pt idx="3">
                  <c:v>25116.855127591796</c:v>
                </c:pt>
                <c:pt idx="4">
                  <c:v>180922.23714625766</c:v>
                </c:pt>
                <c:pt idx="5">
                  <c:v>25113.208745392181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576631.345963069</c:v>
                </c:pt>
                <c:pt idx="3">
                  <c:v>544404.7144636024</c:v>
                </c:pt>
                <c:pt idx="4">
                  <c:v>565733.84450001363</c:v>
                </c:pt>
                <c:pt idx="5">
                  <c:v>544325.67958243925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18416.271242773404</c:v>
                </c:pt>
                <c:pt idx="3">
                  <c:v>14641.584638945284</c:v>
                </c:pt>
                <c:pt idx="4">
                  <c:v>18068.230255724804</c:v>
                </c:pt>
                <c:pt idx="5">
                  <c:v>14639.459021970932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10042259.647995874</c:v>
                </c:pt>
                <c:pt idx="3">
                  <c:v>1896413.0302612376</c:v>
                </c:pt>
                <c:pt idx="4">
                  <c:v>10105609.567581752</c:v>
                </c:pt>
                <c:pt idx="5">
                  <c:v>2028301.812130857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135775.41565002408</c:v>
                </c:pt>
                <c:pt idx="3">
                  <c:v>90005.04444105408</c:v>
                </c:pt>
                <c:pt idx="4">
                  <c:v>132870.52913094888</c:v>
                </c:pt>
                <c:pt idx="5">
                  <c:v>89763.009859427373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543978.91341244674</c:v>
                </c:pt>
                <c:pt idx="3">
                  <c:v>135119.43350585381</c:v>
                </c:pt>
                <c:pt idx="4">
                  <c:v>533698.49586961837</c:v>
                </c:pt>
                <c:pt idx="5">
                  <c:v>135099.81731208056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-191934.86206532503</c:v>
                </c:pt>
                <c:pt idx="3">
                  <c:v>-105126.03948983965</c:v>
                </c:pt>
                <c:pt idx="4">
                  <c:v>-188307.56976702847</c:v>
                </c:pt>
                <c:pt idx="5">
                  <c:v>-105110.7776381005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5176210.3236121144</c:v>
                </c:pt>
                <c:pt idx="3">
                  <c:v>2229437.4413574226</c:v>
                </c:pt>
                <c:pt idx="4">
                  <c:v>5133942.8537930651</c:v>
                </c:pt>
                <c:pt idx="5">
                  <c:v>2274885.0202699397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5450127.5876520872</c:v>
                </c:pt>
                <c:pt idx="3">
                  <c:v>342188.62633028702</c:v>
                </c:pt>
                <c:pt idx="4">
                  <c:v>5712838.4612741098</c:v>
                </c:pt>
                <c:pt idx="5">
                  <c:v>346077.120935774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351873.9099999037</c:v>
                </c:pt>
                <c:pt idx="3">
                  <c:v>218053.83114290028</c:v>
                </c:pt>
                <c:pt idx="4">
                  <c:v>345224.00018164597</c:v>
                </c:pt>
                <c:pt idx="5">
                  <c:v>218022.17480677072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97606.291632882203</c:v>
                </c:pt>
                <c:pt idx="3">
                  <c:v>31330.310934881738</c:v>
                </c:pt>
                <c:pt idx="4">
                  <c:v>95761.673380129621</c:v>
                </c:pt>
                <c:pt idx="5">
                  <c:v>31325.762503658123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352476.43400802126</c:v>
                </c:pt>
                <c:pt idx="3">
                  <c:v>115336.64661622414</c:v>
                </c:pt>
                <c:pt idx="4">
                  <c:v>345496.6234152735</c:v>
                </c:pt>
                <c:pt idx="5">
                  <c:v>115213.68672370631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280098.82292581868</c:v>
                </c:pt>
                <c:pt idx="3">
                  <c:v>2129245.811636521</c:v>
                </c:pt>
                <c:pt idx="4">
                  <c:v>274805.35881915229</c:v>
                </c:pt>
                <c:pt idx="5">
                  <c:v>2128936.6947511984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2689206.886531068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760237.19321567786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555915.08322699461</c:v>
                </c:pt>
                <c:pt idx="2">
                  <c:v>629456.60717693414</c:v>
                </c:pt>
                <c:pt idx="3">
                  <c:v>0</c:v>
                </c:pt>
                <c:pt idx="4">
                  <c:v>64228.278375831644</c:v>
                </c:pt>
                <c:pt idx="5">
                  <c:v>79410.764773382238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Adfærd!$B$18:$B$31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Adfærd!$C$17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Adfærd!$C$18:$C$31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Adfærd!$D$17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Adfærd!$D$18:$D$31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Adfærd!$A$17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biomasse'!$B$5:$B$37</c:f>
              <c:numCache>
                <c:formatCode>#,##0.0,,</c:formatCode>
                <c:ptCount val="24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biomasse'!$C$5:$C$37</c:f>
              <c:numCache>
                <c:formatCode>#,##0.0,,</c:formatCode>
                <c:ptCount val="24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biomasse'!$D$5:$D$37</c:f>
              <c:numCache>
                <c:formatCode>#,##0.0,,</c:formatCode>
                <c:ptCount val="24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biomasse'!$E$5:$E$37</c:f>
              <c:numCache>
                <c:formatCode>#,##0.0,,</c:formatCode>
                <c:ptCount val="24"/>
                <c:pt idx="0">
                  <c:v>757087.00000000012</c:v>
                </c:pt>
                <c:pt idx="1">
                  <c:v>2258235.6960382708</c:v>
                </c:pt>
                <c:pt idx="2">
                  <c:v>2524028.6677636607</c:v>
                </c:pt>
                <c:pt idx="12">
                  <c:v>823764.99285714305</c:v>
                </c:pt>
                <c:pt idx="13">
                  <c:v>284967.83783340082</c:v>
                </c:pt>
                <c:pt idx="14">
                  <c:v>238881.28462763206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biomasse'!$F$5:$F$37</c:f>
              <c:numCache>
                <c:formatCode>#,##0.0,,</c:formatCode>
                <c:ptCount val="24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biomasse'!$G$5:$G$37</c:f>
              <c:numCache>
                <c:formatCode>#,##0.0,,</c:formatCode>
                <c:ptCount val="24"/>
                <c:pt idx="0">
                  <c:v>4441.5</c:v>
                </c:pt>
                <c:pt idx="1">
                  <c:v>5877.9032394539199</c:v>
                </c:pt>
                <c:pt idx="2">
                  <c:v>7470.90409588078</c:v>
                </c:pt>
                <c:pt idx="12">
                  <c:v>3362.8500000000004</c:v>
                </c:pt>
                <c:pt idx="13">
                  <c:v>2396.375936085059</c:v>
                </c:pt>
                <c:pt idx="14">
                  <c:v>1414.1354181488614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biomasse'!$H$5:$H$37</c:f>
              <c:numCache>
                <c:formatCode>#,##0.0,,</c:formatCode>
                <c:ptCount val="24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biomasse'!$I$5:$I$37</c:f>
              <c:numCache>
                <c:formatCode>#,##0.0,,</c:formatCode>
                <c:ptCount val="24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biomasse'!$J$5:$J$37</c:f>
              <c:numCache>
                <c:formatCode>#,##0.0,,</c:formatCode>
                <c:ptCount val="24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biomasse'!$K$5:$K$37</c:f>
              <c:numCache>
                <c:formatCode>#,##0.0,,</c:formatCode>
                <c:ptCount val="24"/>
                <c:pt idx="0">
                  <c:v>85676.999999999985</c:v>
                </c:pt>
                <c:pt idx="1">
                  <c:v>0</c:v>
                </c:pt>
                <c:pt idx="2">
                  <c:v>0</c:v>
                </c:pt>
                <c:pt idx="3">
                  <c:v>13739757.985270014</c:v>
                </c:pt>
                <c:pt idx="4">
                  <c:v>11877216.470250065</c:v>
                </c:pt>
                <c:pt idx="5">
                  <c:v>11877216.470250065</c:v>
                </c:pt>
                <c:pt idx="15">
                  <c:v>0</c:v>
                </c:pt>
                <c:pt idx="16">
                  <c:v>16962.010400484487</c:v>
                </c:pt>
                <c:pt idx="17">
                  <c:v>16962.010400484487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biomasse'!$L$5:$L$37</c:f>
              <c:numCache>
                <c:formatCode>#,##0.0,,</c:formatCode>
                <c:ptCount val="24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biomasse'!$M$5:$M$37</c:f>
              <c:numCache>
                <c:formatCode>#,##0.0,,</c:formatCode>
                <c:ptCount val="24"/>
                <c:pt idx="0">
                  <c:v>75934</c:v>
                </c:pt>
                <c:pt idx="1">
                  <c:v>0</c:v>
                </c:pt>
                <c:pt idx="2">
                  <c:v>0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0</c:v>
                </c:pt>
                <c:pt idx="11">
                  <c:v>10903.94907837885</c:v>
                </c:pt>
                <c:pt idx="21">
                  <c:v>0</c:v>
                </c:pt>
                <c:pt idx="22">
                  <c:v>1195000</c:v>
                </c:pt>
                <c:pt idx="23">
                  <c:v>1186999.9999999995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biomasse'!$N$5:$N$37</c:f>
              <c:numCache>
                <c:formatCode>#,##0.0,,</c:formatCode>
                <c:ptCount val="24"/>
                <c:pt idx="0">
                  <c:v>78</c:v>
                </c:pt>
                <c:pt idx="1">
                  <c:v>500000</c:v>
                </c:pt>
                <c:pt idx="2">
                  <c:v>500000</c:v>
                </c:pt>
                <c:pt idx="9">
                  <c:v>982731</c:v>
                </c:pt>
                <c:pt idx="10">
                  <c:v>482809.00000000006</c:v>
                </c:pt>
                <c:pt idx="11">
                  <c:v>482809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biomasse'!$O$5:$O$37</c:f>
              <c:numCache>
                <c:formatCode>#,##0.0,,</c:formatCode>
                <c:ptCount val="24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biomasse'!$P$5:$P$37</c:f>
              <c:numCache>
                <c:formatCode>#,##0.0,,</c:formatCode>
                <c:ptCount val="24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biomasse'!$Q$5:$Q$37</c:f>
              <c:numCache>
                <c:formatCode>#,##0.0,,</c:formatCode>
                <c:ptCount val="24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biomasse'!$R$5:$R$37</c:f>
              <c:numCache>
                <c:formatCode>#,##0.0,,</c:formatCode>
                <c:ptCount val="24"/>
                <c:pt idx="0">
                  <c:v>3785.9999999999991</c:v>
                </c:pt>
                <c:pt idx="1">
                  <c:v>0</c:v>
                </c:pt>
                <c:pt idx="2">
                  <c:v>0</c:v>
                </c:pt>
                <c:pt idx="3">
                  <c:v>6600836.8097011279</c:v>
                </c:pt>
                <c:pt idx="4">
                  <c:v>6832791.5116672218</c:v>
                </c:pt>
                <c:pt idx="5">
                  <c:v>6832791.5116672218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biomasse'!$S$5:$S$37</c:f>
              <c:numCache>
                <c:formatCode>#,##0.0,,</c:formatCode>
                <c:ptCount val="24"/>
                <c:pt idx="0">
                  <c:v>4353509.666666667</c:v>
                </c:pt>
                <c:pt idx="1">
                  <c:v>10568777.271841513</c:v>
                </c:pt>
                <c:pt idx="2">
                  <c:v>10912450.327425852</c:v>
                </c:pt>
                <c:pt idx="12">
                  <c:v>6423924.8458333323</c:v>
                </c:pt>
                <c:pt idx="13">
                  <c:v>2211099.4555563163</c:v>
                </c:pt>
                <c:pt idx="14">
                  <c:v>1807374.5854799061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biomasse'!$T$5:$T$37</c:f>
              <c:numCache>
                <c:formatCode>#,##0.0,,</c:formatCode>
                <c:ptCount val="24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biomasse'!$U$5:$U$37</c:f>
              <c:numCache>
                <c:formatCode>#,##0.0,,</c:formatCode>
                <c:ptCount val="24"/>
                <c:pt idx="0">
                  <c:v>330026</c:v>
                </c:pt>
                <c:pt idx="1">
                  <c:v>0</c:v>
                </c:pt>
                <c:pt idx="2">
                  <c:v>0</c:v>
                </c:pt>
                <c:pt idx="3">
                  <c:v>6351407.0475792512</c:v>
                </c:pt>
                <c:pt idx="4">
                  <c:v>6354278.658033995</c:v>
                </c:pt>
                <c:pt idx="5">
                  <c:v>6354278.658033995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biomasse'!$V$5:$V$37</c:f>
              <c:numCache>
                <c:formatCode>#,##0.0,,</c:formatCode>
                <c:ptCount val="24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biomasse'!$W$5:$W$37</c:f>
              <c:numCache>
                <c:formatCode>#,##0.0,,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52667.142777021276</c:v>
                </c:pt>
                <c:pt idx="5">
                  <c:v>52667.142777021269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biomasse'!$X$5:$X$37</c:f>
              <c:numCache>
                <c:formatCode>#,##0.0,,</c:formatCode>
                <c:ptCount val="24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biomasse'!$Y$5:$Y$37</c:f>
              <c:numCache>
                <c:formatCode>#,##0.0,,</c:formatCode>
                <c:ptCount val="24"/>
                <c:pt idx="18">
                  <c:v>678407.81727843033</c:v>
                </c:pt>
                <c:pt idx="19">
                  <c:v>467813.0806242454</c:v>
                </c:pt>
                <c:pt idx="20">
                  <c:v>460710.31013897981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biomasse'!$Z$5:$Z$37</c:f>
              <c:numCache>
                <c:formatCode>#,##0.0,,</c:formatCode>
                <c:ptCount val="24"/>
                <c:pt idx="0">
                  <c:v>28645.000000000004</c:v>
                </c:pt>
                <c:pt idx="1">
                  <c:v>0</c:v>
                </c:pt>
                <c:pt idx="2">
                  <c:v>0</c:v>
                </c:pt>
                <c:pt idx="3">
                  <c:v>944413.49448565592</c:v>
                </c:pt>
                <c:pt idx="4">
                  <c:v>975255.52958529233</c:v>
                </c:pt>
                <c:pt idx="5">
                  <c:v>975255.52958529233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biomasse'!$AA$5:$AA$37</c:f>
              <c:numCache>
                <c:formatCode>#,##0.0,,</c:formatCode>
                <c:ptCount val="24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biomasse'!$AB$5:$AB$37</c:f>
              <c:numCache>
                <c:formatCode>#,##0.0,,</c:formatCode>
                <c:ptCount val="24"/>
                <c:pt idx="0">
                  <c:v>2668834</c:v>
                </c:pt>
                <c:pt idx="1">
                  <c:v>3658982.5441344669</c:v>
                </c:pt>
                <c:pt idx="2">
                  <c:v>6097691.2716973517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biomasse'!$AC$5:$AC$37</c:f>
              <c:numCache>
                <c:formatCode>#,##0.0,,</c:formatCode>
                <c:ptCount val="24"/>
                <c:pt idx="0">
                  <c:v>2914869.3333333335</c:v>
                </c:pt>
                <c:pt idx="1">
                  <c:v>11218436.459050545</c:v>
                </c:pt>
                <c:pt idx="2">
                  <c:v>13218791.367373465</c:v>
                </c:pt>
                <c:pt idx="12">
                  <c:v>14742130.666666664</c:v>
                </c:pt>
                <c:pt idx="13">
                  <c:v>6040696.5548733696</c:v>
                </c:pt>
                <c:pt idx="14">
                  <c:v>3304697.8418433652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biomasse'!$AD$5:$AD$37</c:f>
              <c:numCache>
                <c:formatCode>#,##0.0,,</c:formatCode>
                <c:ptCount val="24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biomasse'!$AE$5:$AE$37</c:f>
              <c:numCache>
                <c:formatCode>#,##0.0,,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10920.686958176469</c:v>
                </c:pt>
                <c:pt idx="5">
                  <c:v>10920.686958176469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biomasse'!$AF$5:$AF$37</c:f>
              <c:numCache>
                <c:formatCode>#,##0.0,,</c:formatCode>
                <c:ptCount val="24"/>
                <c:pt idx="9">
                  <c:v>209782.38739500003</c:v>
                </c:pt>
                <c:pt idx="10">
                  <c:v>128936.60256776394</c:v>
                </c:pt>
                <c:pt idx="11">
                  <c:v>127087.43588378775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biomasse'!$AG$5:$AG$37</c:f>
              <c:numCache>
                <c:formatCode>#,##0.0,,</c:formatCode>
                <c:ptCount val="24"/>
                <c:pt idx="9">
                  <c:v>3010238.4923246857</c:v>
                </c:pt>
                <c:pt idx="10">
                  <c:v>2848752.9835421797</c:v>
                </c:pt>
                <c:pt idx="11">
                  <c:v>2689206.886531068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Fiberfraktion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biomasse'!$AH$5:$AH$37</c:f>
              <c:numCache>
                <c:formatCode>#,##0.0,,</c:formatCode>
                <c:ptCount val="24"/>
                <c:pt idx="3">
                  <c:v>0</c:v>
                </c:pt>
                <c:pt idx="4">
                  <c:v>5839.7118273120577</c:v>
                </c:pt>
                <c:pt idx="5">
                  <c:v>5839.7118273120577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Græsprotein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biomasse'!$AI$5:$AI$37</c:f>
              <c:numCache>
                <c:formatCode>#,##0.0,,</c:formatCode>
                <c:ptCount val="24"/>
                <c:pt idx="3">
                  <c:v>0</c:v>
                </c:pt>
                <c:pt idx="4">
                  <c:v>2835.5628866673446</c:v>
                </c:pt>
                <c:pt idx="5">
                  <c:v>2835.5628866673446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ser>
          <c:idx val="34"/>
          <c:order val="34"/>
          <c:tx>
            <c:strRef>
              <c:f>'Resultat-Forbrug af biomasse'!$AJ$3:$AJ$4</c:f>
              <c:strCache>
                <c:ptCount val="1"/>
                <c:pt idx="0">
                  <c:v>Brun saft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biomasse'!$AJ$5:$AJ$37</c:f>
              <c:numCache>
                <c:formatCode>#,##0.0,,</c:formatCode>
                <c:ptCount val="24"/>
                <c:pt idx="0">
                  <c:v>0</c:v>
                </c:pt>
                <c:pt idx="1">
                  <c:v>4144.2619618098342</c:v>
                </c:pt>
                <c:pt idx="2">
                  <c:v>6630.8191388957357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3-439D-9BC9-7357BAAF6D4A}"/>
            </c:ext>
          </c:extLst>
        </c:ser>
        <c:ser>
          <c:idx val="35"/>
          <c:order val="35"/>
          <c:tx>
            <c:strRef>
              <c:f>'Resultat-Forbrug af biomasse'!$AK$3:$AK$4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biomasse'!$AK$5:$AK$37</c:f>
              <c:numCache>
                <c:formatCode>#,##0.0,,</c:formatCode>
                <c:ptCount val="24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F3-439D-9BC9-7357BAAF6D4A}"/>
            </c:ext>
          </c:extLst>
        </c:ser>
        <c:ser>
          <c:idx val="36"/>
          <c:order val="36"/>
          <c:tx>
            <c:strRef>
              <c:f>'Resultat-Forbrug af biomasse'!$AL$3:$AL$4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biomasse'!$AL$5:$AL$37</c:f>
              <c:numCache>
                <c:formatCode>#,##0.0,,</c:formatCode>
                <c:ptCount val="24"/>
                <c:pt idx="9">
                  <c:v>217090.50152909773</c:v>
                </c:pt>
                <c:pt idx="10">
                  <c:v>149700.18579975853</c:v>
                </c:pt>
                <c:pt idx="11">
                  <c:v>147427.29924447354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F3-439D-9BC9-7357BAAF6D4A}"/>
            </c:ext>
          </c:extLst>
        </c:ser>
        <c:ser>
          <c:idx val="37"/>
          <c:order val="37"/>
          <c:tx>
            <c:strRef>
              <c:f>'Resultat-Forbrug af biomasse'!$AM$3:$AM$4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biomasse'!$AM$5:$AM$37</c:f>
              <c:numCache>
                <c:formatCode>#,##0.0,,</c:formatCode>
                <c:ptCount val="24"/>
                <c:pt idx="12">
                  <c:v>8803491.7355084848</c:v>
                </c:pt>
                <c:pt idx="13">
                  <c:v>23179087.136456601</c:v>
                </c:pt>
                <c:pt idx="14">
                  <c:v>25321721.648106746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F3-439D-9BC9-7357BAAF6D4A}"/>
            </c:ext>
          </c:extLst>
        </c:ser>
        <c:ser>
          <c:idx val="38"/>
          <c:order val="38"/>
          <c:tx>
            <c:strRef>
              <c:f>'Resultat-Forbrug af biomasse'!$AN$3:$AN$4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biomasse'!$AN$5:$AN$37</c:f>
              <c:numCache>
                <c:formatCode>#,##0.0,,</c:formatCode>
                <c:ptCount val="24"/>
                <c:pt idx="12">
                  <c:v>1108490.5539925825</c:v>
                </c:pt>
                <c:pt idx="13">
                  <c:v>339241.60538953869</c:v>
                </c:pt>
                <c:pt idx="14">
                  <c:v>321390.3174930528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F3-439D-9BC9-7357BAAF6D4A}"/>
            </c:ext>
          </c:extLst>
        </c:ser>
        <c:ser>
          <c:idx val="39"/>
          <c:order val="39"/>
          <c:tx>
            <c:strRef>
              <c:f>'Resultat-Forbrug af biomasse'!$AO$3:$AO$4</c:f>
              <c:strCache>
                <c:ptCount val="1"/>
                <c:pt idx="0">
                  <c:v>Pyrolysegas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biomasse'!$AO$5:$AO$37</c:f>
              <c:numCache>
                <c:formatCode>#,##0.0,,</c:formatCode>
                <c:ptCount val="24"/>
                <c:pt idx="9">
                  <c:v>0</c:v>
                </c:pt>
                <c:pt idx="10">
                  <c:v>669200</c:v>
                </c:pt>
                <c:pt idx="11">
                  <c:v>664719.99999999977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F3-439D-9BC9-7357BAAF6D4A}"/>
            </c:ext>
          </c:extLst>
        </c:ser>
        <c:ser>
          <c:idx val="40"/>
          <c:order val="40"/>
          <c:tx>
            <c:strRef>
              <c:f>'Resultat-Forbrug af biomasse'!$AP$3:$AP$4</c:f>
              <c:strCache>
                <c:ptCount val="1"/>
                <c:pt idx="0">
                  <c:v>Pyrolyseolie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biomasse'!$A$5:$A$37</c:f>
              <c:multiLvlStrCache>
                <c:ptCount val="24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  <c:pt idx="21">
                    <c:v>2019</c:v>
                  </c:pt>
                  <c:pt idx="22">
                    <c:v>2030</c:v>
                  </c:pt>
                  <c:pt idx="23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Gødning</c:v>
                  </c:pt>
                  <c:pt idx="15">
                    <c:v>Proteinproces</c:v>
                  </c:pt>
                  <c:pt idx="18">
                    <c:v>Rapskageproduktion</c:v>
                  </c:pt>
                  <c:pt idx="21">
                    <c:v>Pyrolyseproces</c:v>
                  </c:pt>
                </c:lvl>
              </c:multiLvlStrCache>
            </c:multiLvlStrRef>
          </c:cat>
          <c:val>
            <c:numRef>
              <c:f>'Resultat-Forbrug af biomasse'!$AP$5:$AP$37</c:f>
              <c:numCache>
                <c:formatCode>#,##0.0,,</c:formatCode>
                <c:ptCount val="24"/>
                <c:pt idx="9">
                  <c:v>0</c:v>
                </c:pt>
                <c:pt idx="10">
                  <c:v>167300</c:v>
                </c:pt>
                <c:pt idx="11">
                  <c:v>166179.99999999994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F3-439D-9BC9-7357BAAF6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278262.69869425741</c:v>
                </c:pt>
                <c:pt idx="2">
                  <c:v>302908.63644307404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0</c:v>
                </c:pt>
                <c:pt idx="1">
                  <c:v>341.41020267689601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230492.09773600774</c:v>
                </c:pt>
                <c:pt idx="2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1108490.5539925825</c:v>
                </c:pt>
                <c:pt idx="1">
                  <c:v>339241.60538953869</c:v>
                </c:pt>
                <c:pt idx="2">
                  <c:v>321390.3174930528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0</c:v>
                </c:pt>
                <c:pt idx="1">
                  <c:v>561962.44405162125</c:v>
                </c:pt>
                <c:pt idx="2">
                  <c:v>295363.07582411153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ser>
          <c:idx val="8"/>
          <c:order val="8"/>
          <c:tx>
            <c:strRef>
              <c:f>'Resultat-Import'!$J$4:$J$5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'Resultat-Import'!$J$6:$J$9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68-4312-A17D-772B46062F7F}"/>
            </c:ext>
          </c:extLst>
        </c:ser>
        <c:ser>
          <c:idx val="9"/>
          <c:order val="9"/>
          <c:tx>
            <c:strRef>
              <c:f>'Resultat-Import'!$K$4:$K$5</c:f>
              <c:strCache>
                <c:ptCount val="1"/>
                <c:pt idx="0">
                  <c:v>Fiberfraktion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'Resultat-Import'!$K$6:$K$9</c:f>
              <c:numCache>
                <c:formatCode>0</c:formatCode>
                <c:ptCount val="3"/>
                <c:pt idx="0">
                  <c:v>0</c:v>
                </c:pt>
                <c:pt idx="1">
                  <c:v>1.7882371145836942</c:v>
                </c:pt>
                <c:pt idx="2">
                  <c:v>1.7882371145836942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68-4312-A17D-772B46062F7F}"/>
            </c:ext>
          </c:extLst>
        </c:ser>
        <c:ser>
          <c:idx val="10"/>
          <c:order val="10"/>
          <c:tx>
            <c:strRef>
              <c:f>'Resultat-Import'!$L$4:$L$5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'Resultat-Import'!$L$6:$L$9</c:f>
              <c:numCache>
                <c:formatCode>0</c:formatCode>
                <c:ptCount val="3"/>
                <c:pt idx="0">
                  <c:v>420629.98984142789</c:v>
                </c:pt>
                <c:pt idx="1">
                  <c:v>448189.3811495062</c:v>
                </c:pt>
                <c:pt idx="2">
                  <c:v>469066.24706579954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68-4312-A17D-772B46062F7F}"/>
            </c:ext>
          </c:extLst>
        </c:ser>
        <c:ser>
          <c:idx val="11"/>
          <c:order val="11"/>
          <c:tx>
            <c:strRef>
              <c:f>'Resultat-Import'!$M$4:$M$5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'Resultat-Import'!$M$6:$M$9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68-4312-A17D-772B46062F7F}"/>
            </c:ext>
          </c:extLst>
        </c:ser>
        <c:ser>
          <c:idx val="12"/>
          <c:order val="12"/>
          <c:tx>
            <c:strRef>
              <c:f>'Resultat-Import'!$N$4:$N$5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'Resultat-Import'!$N$6:$N$9</c:f>
              <c:numCache>
                <c:formatCode>0</c:formatCode>
                <c:ptCount val="3"/>
                <c:pt idx="0">
                  <c:v>0</c:v>
                </c:pt>
                <c:pt idx="1">
                  <c:v>6471.3352811379264</c:v>
                </c:pt>
                <c:pt idx="2">
                  <c:v>10022.720523770717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68-4312-A17D-772B4606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137109.03167802229</c:v>
                </c:pt>
                <c:pt idx="2">
                  <c:v>133620.35366271777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3891686.2575127915</c:v>
                </c:pt>
                <c:pt idx="2">
                  <c:v>6396531.7307385029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467777.39417935623</c:v>
                </c:pt>
                <c:pt idx="2">
                  <c:v>392125.88231328258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1121036.0604266715</c:v>
                </c:pt>
                <c:pt idx="2">
                  <c:v>1110059.524082453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44494.197606562637</c:v>
                </c:pt>
                <c:pt idx="2">
                  <c:v>239732.89906206005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2">
                  <c:v>1.1641532182693481E-10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2040873.7508661344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20688.370813856833</c:v>
                </c:pt>
                <c:pt idx="2">
                  <c:v>316.79332798323594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1266262.2462674922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880.1</c:v>
                </c:pt>
                <c:pt idx="1">
                  <c:v>95406.837717421964</c:v>
                </c:pt>
                <c:pt idx="2">
                  <c:v>217790.44170925685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1434089.1049770473</c:v>
                </c:pt>
                <c:pt idx="2">
                  <c:v>1428486.5239850583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76.5</c:v>
                </c:pt>
                <c:pt idx="1">
                  <c:v>7079.3130418235296</c:v>
                </c:pt>
                <c:pt idx="2">
                  <c:v>7079.3130418235305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760237.19321567786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920737.996376556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768.64888515935843</c:v>
                </c:pt>
                <c:pt idx="2">
                  <c:v>453.59060582133304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3658982.5441344669</c:v>
                </c:pt>
                <c:pt idx="2">
                  <c:v>1524422.8179243379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Brun saft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1">
                  <c:v>4144.2619618098342</c:v>
                </c:pt>
                <c:pt idx="2">
                  <c:v>1657.7047847239328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679098.34691830049</c:v>
                </c:pt>
                <c:pt idx="2">
                  <c:v>668798.3131816989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ser>
          <c:idx val="28"/>
          <c:order val="28"/>
          <c:tx>
            <c:strRef>
              <c:f>'Resultat-Eksport'!$AD$4:$AD$5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'Resultat-Eksport'!$AD$6:$AD$9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569927.74114280404</c:v>
                </c:pt>
                <c:pt idx="2">
                  <c:v>563246.17498841672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6-494F-87D5-5407DBF05D94}"/>
            </c:ext>
          </c:extLst>
        </c:ser>
        <c:ser>
          <c:idx val="29"/>
          <c:order val="29"/>
          <c:tx>
            <c:strRef>
              <c:f>'Resultat-Eksport'!$AE$4:$AE$5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'Resultat-Eksport'!$AE$6:$AE$9</c:f>
              <c:numCache>
                <c:formatCode>#,##0</c:formatCode>
                <c:ptCount val="3"/>
                <c:pt idx="0">
                  <c:v>98826.033045954537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C6-494F-87D5-5407DBF05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10.447437411334308</c:v>
                </c:pt>
                <c:pt idx="2">
                  <c:v>9.3808565872840166</c:v>
                </c:pt>
                <c:pt idx="3">
                  <c:v>7.4504602234640007</c:v>
                </c:pt>
                <c:pt idx="4">
                  <c:v>6.6244886609735154</c:v>
                </c:pt>
                <c:pt idx="5">
                  <c:v>7.8491201479790584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3.9740389562932799</c:v>
                </c:pt>
                <c:pt idx="2">
                  <c:v>4.3180481332182152</c:v>
                </c:pt>
                <c:pt idx="3">
                  <c:v>1.4201719861750002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7.0854773665545726E-2</c:v>
                </c:pt>
                <c:pt idx="2">
                  <c:v>0.11378607880318431</c:v>
                </c:pt>
                <c:pt idx="3">
                  <c:v>0.45076703431999998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9.1981320306422837E-2</c:v>
                </c:pt>
                <c:pt idx="2">
                  <c:v>0.20182060488909467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1.5781310459279956</c:v>
                </c:pt>
                <c:pt idx="2">
                  <c:v>1.3109208360146711</c:v>
                </c:pt>
                <c:pt idx="3">
                  <c:v>5.0922829580050024</c:v>
                </c:pt>
                <c:pt idx="4">
                  <c:v>15.049715802173349</c:v>
                </c:pt>
                <c:pt idx="5">
                  <c:v>16.658699794154359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7.5981675535184188</c:v>
                </c:pt>
                <c:pt idx="1">
                  <c:v>5.2395065029915484</c:v>
                </c:pt>
                <c:pt idx="2">
                  <c:v>5.1599554735565736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43.6610311355047</c:v>
                </c:pt>
                <c:pt idx="2">
                  <c:v>41.314614118639199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11.562819999999999</c:v>
                </c:pt>
                <c:pt idx="2">
                  <c:v>11.485411999999991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[BAU_areal.xlsx]Resultat-Tørstof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1141100.3798689314</c:v>
                </c:pt>
                <c:pt idx="2">
                  <c:v>1159734.9907381348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299276.196325247</c:v>
                </c:pt>
                <c:pt idx="2">
                  <c:v>352822.51653438847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6413.3949522956182</c:v>
                </c:pt>
                <c:pt idx="2">
                  <c:v>9366.5626482969237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15372.922613886823</c:v>
                </c:pt>
                <c:pt idx="2">
                  <c:v>33730.463212662056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2267978.6513635372</c:v>
                </c:pt>
                <c:pt idx="2">
                  <c:v>2435607.4891669466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197552.35639147891</c:v>
                </c:pt>
                <c:pt idx="1">
                  <c:v>136227.16907778027</c:v>
                </c:pt>
                <c:pt idx="2">
                  <c:v>134158.84231247092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1462454.4365091918</c:v>
                </c:pt>
                <c:pt idx="2">
                  <c:v>1382778.1918552625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186</xdr:row>
      <xdr:rowOff>176213</xdr:rowOff>
    </xdr:from>
    <xdr:to>
      <xdr:col>25</xdr:col>
      <xdr:colOff>514350</xdr:colOff>
      <xdr:row>251</xdr:row>
      <xdr:rowOff>111125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176</xdr:row>
      <xdr:rowOff>15875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142875</xdr:rowOff>
    </xdr:from>
    <xdr:to>
      <xdr:col>26</xdr:col>
      <xdr:colOff>519894</xdr:colOff>
      <xdr:row>187</xdr:row>
      <xdr:rowOff>79375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67235</xdr:colOff>
      <xdr:row>18</xdr:row>
      <xdr:rowOff>79114</xdr:rowOff>
    </xdr:from>
    <xdr:to>
      <xdr:col>3</xdr:col>
      <xdr:colOff>60511</xdr:colOff>
      <xdr:row>60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26221</xdr:colOff>
      <xdr:row>18</xdr:row>
      <xdr:rowOff>77209</xdr:rowOff>
    </xdr:from>
    <xdr:to>
      <xdr:col>7</xdr:col>
      <xdr:colOff>564440</xdr:colOff>
      <xdr:row>60</xdr:row>
      <xdr:rowOff>38886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6</xdr:row>
      <xdr:rowOff>157162</xdr:rowOff>
    </xdr:from>
    <xdr:to>
      <xdr:col>8</xdr:col>
      <xdr:colOff>476249</xdr:colOff>
      <xdr:row>30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784194</xdr:colOff>
      <xdr:row>37</xdr:row>
      <xdr:rowOff>103388</xdr:rowOff>
    </xdr:from>
    <xdr:to>
      <xdr:col>4</xdr:col>
      <xdr:colOff>203446</xdr:colOff>
      <xdr:row>53</xdr:row>
      <xdr:rowOff>27742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727455787041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20817436.8642025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727456018518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727456134256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-191934.86206532503" maxValue="15863611.568544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727456250002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-3871.2915336419205" maxValue="853064.00210361299"/>
    </cacheField>
    <cacheField name="Udbytte, hovedafgrøde" numFmtId="0">
      <sharedItems containsSemiMixedTypes="0" containsString="0" containsNumber="1" minValue="-164417.23354785025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-164417.23354785025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72745648148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95864256.4719902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1545833.414063649"/>
    </cacheField>
    <cacheField name="Gødning" numFmtId="3">
      <sharedItems containsSemiMixedTypes="0" containsString="0" containsNumber="1" minValue="0" maxValue="20817436.864202589"/>
    </cacheField>
    <cacheField name="Energi" numFmtId="3">
      <sharedItems containsSemiMixedTypes="0" containsString="0" containsNumber="1" minValue="0" maxValue="595864256.47199023"/>
    </cacheField>
    <cacheField name="Materialer og processer" numFmtId="3">
      <sharedItems containsSemiMixedTypes="0" containsString="0" containsNumber="1" minValue="0" maxValue="744921.86156949028"/>
    </cacheField>
    <cacheField name="Produktion minus forbrug [ton]" numFmtId="3">
      <sharedItems containsSemiMixedTypes="0" containsString="0" containsNumber="1" minValue="-4828427.5390456235" maxValue="5258702.2835579328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595864256.47199023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5.1572283340205578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74312.71535502933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727456597226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95864256.4719902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1545833.414063649"/>
    </cacheField>
    <cacheField name="Gødning" numFmtId="3">
      <sharedItems containsSemiMixedTypes="0" containsString="0" containsNumber="1" minValue="0" maxValue="20817436.864202589"/>
    </cacheField>
    <cacheField name="Energi" numFmtId="3">
      <sharedItems containsSemiMixedTypes="0" containsString="0" containsNumber="1" minValue="0" maxValue="595864256.47199023"/>
    </cacheField>
    <cacheField name="Materialer og processer" numFmtId="3">
      <sharedItems containsSemiMixedTypes="0" containsString="0" containsNumber="1" minValue="0" maxValue="744921.86156949028"/>
    </cacheField>
    <cacheField name="Produktion minus forbrug [ton]" numFmtId="3">
      <sharedItems containsSemiMixedTypes="0" containsString="0" containsNumber="1" minValue="-4828427.5390456235" maxValue="5258702.2835579328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595864256.47199023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5.1572283340205578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74312.71535502933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727456944442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8474359.4091131538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reltoft" refreshedDate="44447.727456944442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95864256.4719902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1545833.414063649"/>
    </cacheField>
    <cacheField name="Gødning" numFmtId="3">
      <sharedItems containsSemiMixedTypes="0" containsString="0" containsNumber="1" minValue="0" maxValue="20817436.864202589"/>
    </cacheField>
    <cacheField name="Energi" numFmtId="3">
      <sharedItems containsSemiMixedTypes="0" containsString="0" containsNumber="1" minValue="0" maxValue="595864256.47199023"/>
    </cacheField>
    <cacheField name="Materialer og processer" numFmtId="3">
      <sharedItems containsSemiMixedTypes="0" containsString="0" containsNumber="1" minValue="0" maxValue="744921.86156949028"/>
    </cacheField>
    <cacheField name="Produktion minus forbrug [ton]" numFmtId="3">
      <sharedItems containsSemiMixedTypes="0" containsString="0" containsNumber="1" minValue="-4828427.5390456235" maxValue="5258702.2835579328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595864256.47199023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5.1572283340205578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74312.71535502933"/>
    </cacheField>
    <cacheField name="Biomasser til energi eksl. biogas [Ton TS]" numFmtId="0">
      <sharedItems containsSemiMixedTypes="0" containsString="0" containsNumber="1" minValue="0" maxValue="1151704.37637150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9798641.5643226951"/>
  </r>
  <r>
    <x v="1"/>
    <s v="Vestdanmark"/>
    <x v="15"/>
    <x v="1"/>
    <n v="9867457.5006151944"/>
  </r>
  <r>
    <x v="1"/>
    <s v="Vestdanmark"/>
    <x v="16"/>
    <x v="1"/>
    <n v="5422.7719881045641"/>
  </r>
  <r>
    <x v="1"/>
    <s v="Vestdanmark"/>
    <x v="17"/>
    <x v="1"/>
    <n v="1986955.49875235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989694.3638441348"/>
  </r>
  <r>
    <x v="1"/>
    <s v="Vestdanmark"/>
    <x v="21"/>
    <x v="1"/>
    <n v="3691.1998628894726"/>
  </r>
  <r>
    <x v="1"/>
    <s v="Vestdanmark"/>
    <x v="22"/>
    <x v="1"/>
    <n v="0"/>
  </r>
  <r>
    <x v="1"/>
    <s v="Vestdanmark"/>
    <x v="0"/>
    <x v="1"/>
    <n v="0"/>
  </r>
  <r>
    <x v="1"/>
    <s v="Vestdanmark"/>
    <x v="23"/>
    <x v="1"/>
    <n v="0"/>
  </r>
  <r>
    <x v="1"/>
    <s v="Vestdanmark"/>
    <x v="24"/>
    <x v="1"/>
    <n v="0"/>
  </r>
  <r>
    <x v="1"/>
    <s v="Vestdanmark"/>
    <x v="25"/>
    <x v="1"/>
    <n v="0"/>
  </r>
  <r>
    <x v="1"/>
    <s v="Vestdanmark"/>
    <x v="26"/>
    <x v="1"/>
    <n v="267973.79239933251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11545833.414063649"/>
  </r>
  <r>
    <x v="1"/>
    <s v="Vestdanmark"/>
    <x v="15"/>
    <x v="2"/>
    <n v="10188325.20203986"/>
  </r>
  <r>
    <x v="1"/>
    <s v="Vestdanmark"/>
    <x v="16"/>
    <x v="2"/>
    <n v="6892.4253779859373"/>
  </r>
  <r>
    <x v="1"/>
    <s v="Vestdanmark"/>
    <x v="17"/>
    <x v="2"/>
    <n v="3297466.078227032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2222382.1821508608"/>
  </r>
  <r>
    <x v="1"/>
    <s v="Vestdanmark"/>
    <x v="21"/>
    <x v="2"/>
    <n v="5905.9197806231568"/>
  </r>
  <r>
    <x v="1"/>
    <s v="Vestdanmark"/>
    <x v="22"/>
    <x v="2"/>
    <n v="0"/>
  </r>
  <r>
    <x v="1"/>
    <s v="Vestdanmark"/>
    <x v="0"/>
    <x v="2"/>
    <n v="0"/>
  </r>
  <r>
    <x v="1"/>
    <s v="Vestdanmark"/>
    <x v="23"/>
    <x v="2"/>
    <n v="0"/>
  </r>
  <r>
    <x v="1"/>
    <s v="Vestdanmark"/>
    <x v="24"/>
    <x v="2"/>
    <n v="0"/>
  </r>
  <r>
    <x v="1"/>
    <s v="Vestdanmark"/>
    <x v="25"/>
    <x v="2"/>
    <n v="0"/>
  </r>
  <r>
    <x v="1"/>
    <s v="Vestdanmark"/>
    <x v="26"/>
    <x v="2"/>
    <n v="267031.5264916165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419794.8947278499"/>
  </r>
  <r>
    <x v="1"/>
    <s v="Østdanmark"/>
    <x v="15"/>
    <x v="1"/>
    <n v="701319.77122631879"/>
  </r>
  <r>
    <x v="1"/>
    <s v="Østdanmark"/>
    <x v="16"/>
    <x v="1"/>
    <n v="455.13125134935552"/>
  </r>
  <r>
    <x v="1"/>
    <s v="Østdanmark"/>
    <x v="17"/>
    <x v="1"/>
    <n v="1672027.0453821167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268541.33219413611"/>
  </r>
  <r>
    <x v="1"/>
    <s v="Østdanmark"/>
    <x v="21"/>
    <x v="1"/>
    <n v="453.06209892036168"/>
  </r>
  <r>
    <x v="1"/>
    <s v="Østdanmark"/>
    <x v="22"/>
    <x v="1"/>
    <n v="0"/>
  </r>
  <r>
    <x v="1"/>
    <s v="Østdanmark"/>
    <x v="0"/>
    <x v="1"/>
    <n v="0"/>
  </r>
  <r>
    <x v="1"/>
    <s v="Østdanmark"/>
    <x v="23"/>
    <x v="1"/>
    <n v="0"/>
  </r>
  <r>
    <x v="1"/>
    <s v="Østdanmark"/>
    <x v="24"/>
    <x v="1"/>
    <n v="0"/>
  </r>
  <r>
    <x v="1"/>
    <s v="Østdanmark"/>
    <x v="25"/>
    <x v="1"/>
    <n v="0"/>
  </r>
  <r>
    <x v="1"/>
    <s v="Østdanmark"/>
    <x v="26"/>
    <x v="1"/>
    <n v="232026.20760066749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672957.9533098158"/>
  </r>
  <r>
    <x v="1"/>
    <s v="Østdanmark"/>
    <x v="15"/>
    <x v="2"/>
    <n v="724125.12538599269"/>
  </r>
  <r>
    <x v="1"/>
    <s v="Østdanmark"/>
    <x v="16"/>
    <x v="2"/>
    <n v="578.47871789484259"/>
  </r>
  <r>
    <x v="1"/>
    <s v="Østdanmark"/>
    <x v="17"/>
    <x v="2"/>
    <n v="2800225.193470319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301646.48561279994"/>
  </r>
  <r>
    <x v="1"/>
    <s v="Østdanmark"/>
    <x v="21"/>
    <x v="2"/>
    <n v="724.89935827257864"/>
  </r>
  <r>
    <x v="1"/>
    <s v="Østdanmark"/>
    <x v="22"/>
    <x v="2"/>
    <n v="0"/>
  </r>
  <r>
    <x v="1"/>
    <s v="Østdanmark"/>
    <x v="0"/>
    <x v="2"/>
    <n v="0"/>
  </r>
  <r>
    <x v="1"/>
    <s v="Østdanmark"/>
    <x v="23"/>
    <x v="2"/>
    <n v="0"/>
  </r>
  <r>
    <x v="1"/>
    <s v="Østdanmark"/>
    <x v="24"/>
    <x v="2"/>
    <n v="0"/>
  </r>
  <r>
    <x v="1"/>
    <s v="Østdanmark"/>
    <x v="25"/>
    <x v="2"/>
    <n v="0"/>
  </r>
  <r>
    <x v="1"/>
    <s v="Østdanmark"/>
    <x v="26"/>
    <x v="2"/>
    <n v="232968.47350838353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6085811.9789329367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68637.91677766922"/>
  </r>
  <r>
    <x v="2"/>
    <s v="Vestdanmark"/>
    <x v="24"/>
    <x v="1"/>
    <n v="5659611.4645835822"/>
  </r>
  <r>
    <x v="2"/>
    <s v="Vestdanmark"/>
    <x v="28"/>
    <x v="1"/>
    <n v="214099.10609126225"/>
  </r>
  <r>
    <x v="2"/>
    <s v="Vestdanmark"/>
    <x v="7"/>
    <x v="1"/>
    <n v="9726.8074687720582"/>
  </r>
  <r>
    <x v="2"/>
    <s v="Vestdanmark"/>
    <x v="6"/>
    <x v="1"/>
    <n v="46909.42609053191"/>
  </r>
  <r>
    <x v="2"/>
    <s v="Vestdanmark"/>
    <x v="23"/>
    <x v="1"/>
    <n v="10578766.547699077"/>
  </r>
  <r>
    <x v="2"/>
    <s v="Vestdanmark"/>
    <x v="29"/>
    <x v="1"/>
    <n v="1515714.1736670113"/>
  </r>
  <r>
    <x v="2"/>
    <s v="Vestdanmark"/>
    <x v="30"/>
    <x v="1"/>
    <n v="5201.2984929347494"/>
  </r>
  <r>
    <x v="2"/>
    <s v="Vestdanmark"/>
    <x v="31"/>
    <x v="1"/>
    <n v="2525.5713646803624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6085811.9789329367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68637.91677766922"/>
  </r>
  <r>
    <x v="2"/>
    <s v="Vestdanmark"/>
    <x v="24"/>
    <x v="2"/>
    <n v="5659611.4645835822"/>
  </r>
  <r>
    <x v="2"/>
    <s v="Vestdanmark"/>
    <x v="28"/>
    <x v="2"/>
    <n v="214099.10609126225"/>
  </r>
  <r>
    <x v="2"/>
    <s v="Vestdanmark"/>
    <x v="7"/>
    <x v="2"/>
    <n v="9726.8074687720582"/>
  </r>
  <r>
    <x v="2"/>
    <s v="Vestdanmark"/>
    <x v="6"/>
    <x v="2"/>
    <n v="46909.42609053191"/>
  </r>
  <r>
    <x v="2"/>
    <s v="Vestdanmark"/>
    <x v="23"/>
    <x v="2"/>
    <n v="10578766.547699077"/>
  </r>
  <r>
    <x v="2"/>
    <s v="Vestdanmark"/>
    <x v="29"/>
    <x v="2"/>
    <n v="1515714.1736670113"/>
  </r>
  <r>
    <x v="2"/>
    <s v="Vestdanmark"/>
    <x v="30"/>
    <x v="2"/>
    <n v="5201.2984929347494"/>
  </r>
  <r>
    <x v="2"/>
    <s v="Vestdanmark"/>
    <x v="31"/>
    <x v="2"/>
    <n v="2525.5713646803624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46979.53273428511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6617.6128076231"/>
  </r>
  <r>
    <x v="2"/>
    <s v="Østdanmark"/>
    <x v="24"/>
    <x v="1"/>
    <n v="694667.19345041318"/>
  </r>
  <r>
    <x v="2"/>
    <s v="Østdanmark"/>
    <x v="28"/>
    <x v="1"/>
    <n v="26278.769501998377"/>
  </r>
  <r>
    <x v="2"/>
    <s v="Østdanmark"/>
    <x v="7"/>
    <x v="1"/>
    <n v="1193.879489404412"/>
  </r>
  <r>
    <x v="2"/>
    <s v="Østdanmark"/>
    <x v="6"/>
    <x v="1"/>
    <n v="5757.7166864893625"/>
  </r>
  <r>
    <x v="2"/>
    <s v="Østdanmark"/>
    <x v="23"/>
    <x v="1"/>
    <n v="1298449.9225509875"/>
  </r>
  <r>
    <x v="2"/>
    <s v="Østdanmark"/>
    <x v="29"/>
    <x v="1"/>
    <n v="186040.49371289229"/>
  </r>
  <r>
    <x v="2"/>
    <s v="Østdanmark"/>
    <x v="30"/>
    <x v="1"/>
    <n v="638.41333437730827"/>
  </r>
  <r>
    <x v="2"/>
    <s v="Østdanmark"/>
    <x v="31"/>
    <x v="1"/>
    <n v="309.99152198698209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46979.53273428511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6617.61280762308"/>
  </r>
  <r>
    <x v="2"/>
    <s v="Østdanmark"/>
    <x v="24"/>
    <x v="2"/>
    <n v="694667.19345041306"/>
  </r>
  <r>
    <x v="2"/>
    <s v="Østdanmark"/>
    <x v="28"/>
    <x v="2"/>
    <n v="26278.769501998373"/>
  </r>
  <r>
    <x v="2"/>
    <s v="Østdanmark"/>
    <x v="7"/>
    <x v="2"/>
    <n v="1193.8794894044117"/>
  </r>
  <r>
    <x v="2"/>
    <s v="Østdanmark"/>
    <x v="6"/>
    <x v="2"/>
    <n v="5757.7166864893616"/>
  </r>
  <r>
    <x v="2"/>
    <s v="Østdanmark"/>
    <x v="23"/>
    <x v="2"/>
    <n v="1298449.9225509875"/>
  </r>
  <r>
    <x v="2"/>
    <s v="Østdanmark"/>
    <x v="29"/>
    <x v="2"/>
    <n v="186040.49371289223"/>
  </r>
  <r>
    <x v="2"/>
    <s v="Østdanmark"/>
    <x v="30"/>
    <x v="2"/>
    <n v="638.41333437730816"/>
  </r>
  <r>
    <x v="2"/>
    <s v="Østdanmark"/>
    <x v="31"/>
    <x v="2"/>
    <n v="309.99152198698204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155146.779166311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0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61943.722362786721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0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0"/>
  </r>
  <r>
    <x v="3"/>
    <s v="Vestdanmark"/>
    <x v="34"/>
    <x v="1"/>
    <n v="112792.4588825668"/>
  </r>
  <r>
    <x v="3"/>
    <s v="Vestdanmark"/>
    <x v="35"/>
    <x v="1"/>
    <n v="97606.291632882203"/>
  </r>
  <r>
    <x v="3"/>
    <s v="Vestdanmark"/>
    <x v="36"/>
    <x v="1"/>
    <n v="2203715.0015238998"/>
  </r>
  <r>
    <x v="3"/>
    <s v="Vestdanmark"/>
    <x v="26"/>
    <x v="1"/>
    <n v="258760.31746905867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0"/>
  </r>
  <r>
    <x v="3"/>
    <s v="Østdanmark"/>
    <x v="34"/>
    <x v="1"/>
    <n v="36907.726917191729"/>
  </r>
  <r>
    <x v="3"/>
    <s v="Østdanmark"/>
    <x v="35"/>
    <x v="1"/>
    <n v="31330.310934881738"/>
  </r>
  <r>
    <x v="3"/>
    <s v="Østdanmark"/>
    <x v="36"/>
    <x v="1"/>
    <n v="645037.98201828008"/>
  </r>
  <r>
    <x v="3"/>
    <s v="Østdanmark"/>
    <x v="26"/>
    <x v="1"/>
    <n v="224048.68253094138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0"/>
  </r>
  <r>
    <x v="3"/>
    <s v="Vestdanmark"/>
    <x v="34"/>
    <x v="2"/>
    <n v="110558.91949288752"/>
  </r>
  <r>
    <x v="3"/>
    <s v="Vestdanmark"/>
    <x v="35"/>
    <x v="2"/>
    <n v="95761.673380129621"/>
  </r>
  <r>
    <x v="3"/>
    <s v="Vestdanmark"/>
    <x v="36"/>
    <x v="2"/>
    <n v="2094078.7176866641"/>
  </r>
  <r>
    <x v="3"/>
    <s v="Vestdanmark"/>
    <x v="26"/>
    <x v="2"/>
    <n v="257850.44854778168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10903.94907837885"/>
  </r>
  <r>
    <x v="3"/>
    <s v="Østdanmark"/>
    <x v="34"/>
    <x v="2"/>
    <n v="36868.379751586021"/>
  </r>
  <r>
    <x v="3"/>
    <s v="Østdanmark"/>
    <x v="35"/>
    <x v="2"/>
    <n v="31325.762503658123"/>
  </r>
  <r>
    <x v="3"/>
    <s v="Østdanmark"/>
    <x v="36"/>
    <x v="2"/>
    <n v="595128.1688444037"/>
  </r>
  <r>
    <x v="3"/>
    <s v="Østdanmark"/>
    <x v="26"/>
    <x v="2"/>
    <n v="224958.55145221829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5276191.611558374"/>
  </r>
  <r>
    <x v="5"/>
    <s v="Vestdanmark"/>
    <x v="15"/>
    <x v="1"/>
    <n v="2064375.9771023891"/>
  </r>
  <r>
    <x v="5"/>
    <s v="Vestdanmark"/>
    <x v="16"/>
    <x v="1"/>
    <n v="2210.8224259195526"/>
  </r>
  <r>
    <x v="5"/>
    <s v="Vestdanmark"/>
    <x v="20"/>
    <x v="1"/>
    <n v="251080.47924699794"/>
  </r>
  <r>
    <x v="5"/>
    <s v="Vestdanmark"/>
    <x v="37"/>
    <x v="1"/>
    <n v="19483465.104424868"/>
  </r>
  <r>
    <x v="5"/>
    <s v="Vestdanmark"/>
    <x v="38"/>
    <x v="1"/>
    <n v="55055.07188334316"/>
  </r>
  <r>
    <x v="5"/>
    <s v="Vestdanmark"/>
    <x v="14"/>
    <x v="2"/>
    <n v="2886458.3535159114"/>
  </r>
  <r>
    <x v="5"/>
    <s v="Vestdanmark"/>
    <x v="15"/>
    <x v="2"/>
    <n v="1687441.3615878511"/>
  </r>
  <r>
    <x v="5"/>
    <s v="Vestdanmark"/>
    <x v="16"/>
    <x v="2"/>
    <n v="1304.637660833052"/>
  </r>
  <r>
    <x v="5"/>
    <s v="Vestdanmark"/>
    <x v="20"/>
    <x v="2"/>
    <n v="210332.59938213494"/>
  </r>
  <r>
    <x v="5"/>
    <s v="Vestdanmark"/>
    <x v="37"/>
    <x v="2"/>
    <n v="20817436.864202589"/>
  </r>
  <r>
    <x v="5"/>
    <s v="Vestdanmark"/>
    <x v="38"/>
    <x v="2"/>
    <n v="63681.74406389035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764504.94331499608"/>
  </r>
  <r>
    <x v="5"/>
    <s v="Østdanmark"/>
    <x v="15"/>
    <x v="1"/>
    <n v="146723.47845392721"/>
  </r>
  <r>
    <x v="5"/>
    <s v="Østdanmark"/>
    <x v="16"/>
    <x v="1"/>
    <n v="185.55351016550645"/>
  </r>
  <r>
    <x v="5"/>
    <s v="Østdanmark"/>
    <x v="20"/>
    <x v="1"/>
    <n v="33887.358586402894"/>
  </r>
  <r>
    <x v="5"/>
    <s v="Østdanmark"/>
    <x v="37"/>
    <x v="1"/>
    <n v="3695622.0320317331"/>
  </r>
  <r>
    <x v="5"/>
    <s v="Østdanmark"/>
    <x v="38"/>
    <x v="1"/>
    <n v="284186.53350619553"/>
  </r>
  <r>
    <x v="5"/>
    <s v="Østdanmark"/>
    <x v="14"/>
    <x v="2"/>
    <n v="418239.48832745384"/>
  </r>
  <r>
    <x v="5"/>
    <s v="Østdanmark"/>
    <x v="15"/>
    <x v="2"/>
    <n v="119933.22389205502"/>
  </r>
  <r>
    <x v="5"/>
    <s v="Østdanmark"/>
    <x v="16"/>
    <x v="2"/>
    <n v="109.49775731580944"/>
  </r>
  <r>
    <x v="5"/>
    <s v="Østdanmark"/>
    <x v="20"/>
    <x v="2"/>
    <n v="28548.68524549713"/>
  </r>
  <r>
    <x v="5"/>
    <s v="Østdanmark"/>
    <x v="37"/>
    <x v="2"/>
    <n v="4504284.7839041585"/>
  </r>
  <r>
    <x v="5"/>
    <s v="Østdanmark"/>
    <x v="38"/>
    <x v="2"/>
    <n v="257708.57342916247"/>
  </r>
  <r>
    <x v="6"/>
    <s v="Vestdanmark"/>
    <x v="23"/>
    <x v="0"/>
    <n v="0"/>
  </r>
  <r>
    <x v="6"/>
    <s v="Vestdanmark"/>
    <x v="23"/>
    <x v="1"/>
    <n v="15107.676841271819"/>
  </r>
  <r>
    <x v="6"/>
    <s v="Vestdanmark"/>
    <x v="23"/>
    <x v="2"/>
    <n v="15107.676841271819"/>
  </r>
  <r>
    <x v="6"/>
    <s v="Østdanmark"/>
    <x v="23"/>
    <x v="0"/>
    <n v="0"/>
  </r>
  <r>
    <x v="6"/>
    <s v="Østdanmark"/>
    <x v="23"/>
    <x v="1"/>
    <n v="1854.3335592126687"/>
  </r>
  <r>
    <x v="6"/>
    <s v="Østdanmark"/>
    <x v="23"/>
    <x v="2"/>
    <n v="1854.3335592126684"/>
  </r>
  <r>
    <x v="7"/>
    <s v="Vestdanmark"/>
    <x v="39"/>
    <x v="0"/>
    <n v="484833.6848947219"/>
  </r>
  <r>
    <x v="7"/>
    <s v="Vestdanmark"/>
    <x v="39"/>
    <x v="1"/>
    <n v="352476.43400802126"/>
  </r>
  <r>
    <x v="7"/>
    <s v="Vestdanmark"/>
    <x v="39"/>
    <x v="2"/>
    <n v="345496.6234152735"/>
  </r>
  <r>
    <x v="7"/>
    <s v="Østdanmark"/>
    <x v="39"/>
    <x v="0"/>
    <n v="193574.13238370849"/>
  </r>
  <r>
    <x v="7"/>
    <s v="Østdanmark"/>
    <x v="39"/>
    <x v="1"/>
    <n v="115336.64661622414"/>
  </r>
  <r>
    <x v="7"/>
    <s v="Østdanmark"/>
    <x v="39"/>
    <x v="2"/>
    <n v="115213.68672370631"/>
  </r>
  <r>
    <x v="8"/>
    <s v="Vestdanmark"/>
    <x v="22"/>
    <x v="0"/>
    <n v="0"/>
  </r>
  <r>
    <x v="8"/>
    <s v="Vestdanmark"/>
    <x v="22"/>
    <x v="1"/>
    <n v="744921.86156949028"/>
  </r>
  <r>
    <x v="8"/>
    <s v="Vestdanmark"/>
    <x v="22"/>
    <x v="2"/>
    <n v="731000.31028981879"/>
  </r>
  <r>
    <x v="8"/>
    <s v="Østdanmark"/>
    <x v="22"/>
    <x v="0"/>
    <n v="0"/>
  </r>
  <r>
    <x v="8"/>
    <s v="Østdanmark"/>
    <x v="22"/>
    <x v="1"/>
    <n v="450078.1384305096"/>
  </r>
  <r>
    <x v="8"/>
    <s v="Østdanmark"/>
    <x v="22"/>
    <x v="2"/>
    <n v="455999.6897101808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417156.24247891462"/>
  </r>
  <r>
    <x v="3"/>
    <s v="Vestdanmark"/>
    <x v="41"/>
    <x v="1"/>
    <n v="104289.06061972865"/>
  </r>
  <r>
    <x v="3"/>
    <s v="Vestdanmark"/>
    <x v="40"/>
    <x v="2"/>
    <n v="409360.17376229854"/>
  </r>
  <r>
    <x v="3"/>
    <s v="Vestdanmark"/>
    <x v="41"/>
    <x v="2"/>
    <n v="102340.04344057463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252043.75752108541"/>
  </r>
  <r>
    <x v="3"/>
    <s v="Østdanmark"/>
    <x v="41"/>
    <x v="1"/>
    <n v="63010.939380271353"/>
  </r>
  <r>
    <x v="3"/>
    <s v="Østdanmark"/>
    <x v="40"/>
    <x v="2"/>
    <n v="255359.82623770126"/>
  </r>
  <r>
    <x v="3"/>
    <s v="Østdanmark"/>
    <x v="41"/>
    <x v="2"/>
    <n v="63839.956559425314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314868.5693956441"/>
  </r>
  <r>
    <x v="0"/>
    <x v="2"/>
    <x v="1"/>
    <s v="JB1-10"/>
    <n v="967267.0284345039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0"/>
  </r>
  <r>
    <x v="0"/>
    <x v="2"/>
    <x v="1"/>
    <s v="OC6"/>
    <n v="0"/>
  </r>
  <r>
    <x v="0"/>
    <x v="3"/>
    <x v="1"/>
    <s v="OC6"/>
    <n v="146238.5061125248"/>
  </r>
  <r>
    <x v="0"/>
    <x v="4"/>
    <x v="1"/>
    <s v="OC6"/>
    <n v="0"/>
  </r>
  <r>
    <x v="0"/>
    <x v="0"/>
    <x v="1"/>
    <s v="OC12"/>
    <n v="0"/>
  </r>
  <r>
    <x v="0"/>
    <x v="1"/>
    <x v="1"/>
    <s v="OC12"/>
    <n v="0"/>
  </r>
  <r>
    <x v="0"/>
    <x v="2"/>
    <x v="1"/>
    <s v="OC12"/>
    <n v="0"/>
  </r>
  <r>
    <x v="0"/>
    <x v="3"/>
    <x v="1"/>
    <s v="OC12"/>
    <n v="116449.1807933067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280565.7099371506"/>
  </r>
  <r>
    <x v="0"/>
    <x v="2"/>
    <x v="2"/>
    <s v="JB1-10"/>
    <n v="1001569.8878929974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0"/>
  </r>
  <r>
    <x v="0"/>
    <x v="2"/>
    <x v="2"/>
    <s v="OC6"/>
    <n v="0"/>
  </r>
  <r>
    <x v="0"/>
    <x v="3"/>
    <x v="2"/>
    <s v="OC6"/>
    <n v="146238.5061125248"/>
  </r>
  <r>
    <x v="0"/>
    <x v="4"/>
    <x v="2"/>
    <s v="OC6"/>
    <n v="0"/>
  </r>
  <r>
    <x v="0"/>
    <x v="0"/>
    <x v="2"/>
    <s v="OC12"/>
    <n v="0"/>
  </r>
  <r>
    <x v="0"/>
    <x v="1"/>
    <x v="2"/>
    <s v="OC12"/>
    <n v="0"/>
  </r>
  <r>
    <x v="0"/>
    <x v="2"/>
    <x v="2"/>
    <s v="OC12"/>
    <n v="0"/>
  </r>
  <r>
    <x v="0"/>
    <x v="3"/>
    <x v="2"/>
    <s v="OC12"/>
    <n v="116449.1807933067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494767.43060435593"/>
  </r>
  <r>
    <x v="1"/>
    <x v="2"/>
    <x v="1"/>
    <s v="JB1-10"/>
    <n v="184632.971565496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0"/>
  </r>
  <r>
    <x v="1"/>
    <x v="2"/>
    <x v="1"/>
    <s v="OC6"/>
    <n v="0"/>
  </r>
  <r>
    <x v="1"/>
    <x v="3"/>
    <x v="1"/>
    <s v="OC6"/>
    <n v="15761.493887475173"/>
  </r>
  <r>
    <x v="1"/>
    <x v="4"/>
    <x v="1"/>
    <s v="OC6"/>
    <n v="0"/>
  </r>
  <r>
    <x v="1"/>
    <x v="0"/>
    <x v="1"/>
    <s v="OC12"/>
    <n v="0"/>
  </r>
  <r>
    <x v="1"/>
    <x v="1"/>
    <x v="1"/>
    <s v="OC12"/>
    <n v="0"/>
  </r>
  <r>
    <x v="1"/>
    <x v="2"/>
    <x v="1"/>
    <s v="OC12"/>
    <n v="0"/>
  </r>
  <r>
    <x v="1"/>
    <x v="3"/>
    <x v="1"/>
    <s v="OC12"/>
    <n v="12550.819206693192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491070.29006284941"/>
  </r>
  <r>
    <x v="1"/>
    <x v="2"/>
    <x v="2"/>
    <s v="JB1-10"/>
    <n v="188330.11210700253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0"/>
  </r>
  <r>
    <x v="1"/>
    <x v="2"/>
    <x v="2"/>
    <s v="OC6"/>
    <n v="0"/>
  </r>
  <r>
    <x v="1"/>
    <x v="3"/>
    <x v="2"/>
    <s v="OC6"/>
    <n v="15761.493887475173"/>
  </r>
  <r>
    <x v="1"/>
    <x v="4"/>
    <x v="2"/>
    <s v="OC6"/>
    <n v="0"/>
  </r>
  <r>
    <x v="1"/>
    <x v="0"/>
    <x v="2"/>
    <s v="OC12"/>
    <n v="0"/>
  </r>
  <r>
    <x v="1"/>
    <x v="1"/>
    <x v="2"/>
    <s v="OC12"/>
    <n v="0"/>
  </r>
  <r>
    <x v="1"/>
    <x v="2"/>
    <x v="2"/>
    <s v="OC12"/>
    <n v="0"/>
  </r>
  <r>
    <x v="1"/>
    <x v="3"/>
    <x v="2"/>
    <s v="OC12"/>
    <n v="12550.819206693192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5176210.3236121144"/>
  </r>
  <r>
    <x v="1"/>
    <x v="0"/>
    <x v="1"/>
    <n v="184407.26877936258"/>
  </r>
  <r>
    <x v="2"/>
    <x v="0"/>
    <x v="1"/>
    <n v="352476.43400802126"/>
  </r>
  <r>
    <x v="3"/>
    <x v="0"/>
    <x v="1"/>
    <n v="10042259.647995874"/>
  </r>
  <r>
    <x v="4"/>
    <x v="0"/>
    <x v="1"/>
    <n v="135775.41565002408"/>
  </r>
  <r>
    <x v="5"/>
    <x v="0"/>
    <x v="1"/>
    <n v="-191934.86206532503"/>
  </r>
  <r>
    <x v="6"/>
    <x v="0"/>
    <x v="1"/>
    <n v="280098.82292581868"/>
  </r>
  <r>
    <x v="7"/>
    <x v="0"/>
    <x v="1"/>
    <n v="5450127.5876520872"/>
  </r>
  <r>
    <x v="8"/>
    <x v="0"/>
    <x v="1"/>
    <n v="18416.271242773404"/>
  </r>
  <r>
    <x v="9"/>
    <x v="0"/>
    <x v="1"/>
    <n v="351873.9099999037"/>
  </r>
  <r>
    <x v="10"/>
    <x v="0"/>
    <x v="1"/>
    <n v="576631.345963069"/>
  </r>
  <r>
    <x v="11"/>
    <x v="0"/>
    <x v="1"/>
    <n v="543978.91341244674"/>
  </r>
  <r>
    <x v="12"/>
    <x v="0"/>
    <x v="1"/>
    <n v="97606.291632882203"/>
  </r>
  <r>
    <x v="0"/>
    <x v="0"/>
    <x v="2"/>
    <n v="5133942.8537930651"/>
  </r>
  <r>
    <x v="1"/>
    <x v="0"/>
    <x v="2"/>
    <n v="180922.23714625766"/>
  </r>
  <r>
    <x v="2"/>
    <x v="0"/>
    <x v="2"/>
    <n v="345496.6234152735"/>
  </r>
  <r>
    <x v="3"/>
    <x v="0"/>
    <x v="2"/>
    <n v="10105609.567581752"/>
  </r>
  <r>
    <x v="4"/>
    <x v="0"/>
    <x v="2"/>
    <n v="132870.52913094888"/>
  </r>
  <r>
    <x v="5"/>
    <x v="0"/>
    <x v="2"/>
    <n v="-188307.56976702847"/>
  </r>
  <r>
    <x v="6"/>
    <x v="0"/>
    <x v="2"/>
    <n v="274805.35881915229"/>
  </r>
  <r>
    <x v="7"/>
    <x v="0"/>
    <x v="2"/>
    <n v="5712838.4612741098"/>
  </r>
  <r>
    <x v="8"/>
    <x v="0"/>
    <x v="2"/>
    <n v="18068.230255724804"/>
  </r>
  <r>
    <x v="9"/>
    <x v="0"/>
    <x v="2"/>
    <n v="345224.00018164597"/>
  </r>
  <r>
    <x v="10"/>
    <x v="0"/>
    <x v="2"/>
    <n v="565733.84450001363"/>
  </r>
  <r>
    <x v="11"/>
    <x v="0"/>
    <x v="2"/>
    <n v="533698.49586961837"/>
  </r>
  <r>
    <x v="12"/>
    <x v="0"/>
    <x v="2"/>
    <n v="95761.67338012962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229437.4413574226"/>
  </r>
  <r>
    <x v="1"/>
    <x v="1"/>
    <x v="1"/>
    <n v="25116.855127591796"/>
  </r>
  <r>
    <x v="2"/>
    <x v="1"/>
    <x v="1"/>
    <n v="115336.64661622414"/>
  </r>
  <r>
    <x v="3"/>
    <x v="1"/>
    <x v="1"/>
    <n v="1896413.0302612376"/>
  </r>
  <r>
    <x v="4"/>
    <x v="1"/>
    <x v="1"/>
    <n v="90005.04444105408"/>
  </r>
  <r>
    <x v="5"/>
    <x v="1"/>
    <x v="1"/>
    <n v="-105126.03948983965"/>
  </r>
  <r>
    <x v="6"/>
    <x v="1"/>
    <x v="1"/>
    <n v="2129245.811636521"/>
  </r>
  <r>
    <x v="7"/>
    <x v="1"/>
    <x v="1"/>
    <n v="342188.62633028702"/>
  </r>
  <r>
    <x v="8"/>
    <x v="1"/>
    <x v="1"/>
    <n v="14641.584638945284"/>
  </r>
  <r>
    <x v="9"/>
    <x v="1"/>
    <x v="1"/>
    <n v="218053.83114290028"/>
  </r>
  <r>
    <x v="10"/>
    <x v="1"/>
    <x v="1"/>
    <n v="544404.7144636024"/>
  </r>
  <r>
    <x v="11"/>
    <x v="1"/>
    <x v="1"/>
    <n v="135119.43350585381"/>
  </r>
  <r>
    <x v="12"/>
    <x v="1"/>
    <x v="1"/>
    <n v="31330.310934881738"/>
  </r>
  <r>
    <x v="0"/>
    <x v="1"/>
    <x v="2"/>
    <n v="2274885.0202699397"/>
  </r>
  <r>
    <x v="1"/>
    <x v="1"/>
    <x v="2"/>
    <n v="25113.208745392181"/>
  </r>
  <r>
    <x v="2"/>
    <x v="1"/>
    <x v="2"/>
    <n v="115213.68672370631"/>
  </r>
  <r>
    <x v="3"/>
    <x v="1"/>
    <x v="2"/>
    <n v="2028301.812130857"/>
  </r>
  <r>
    <x v="4"/>
    <x v="1"/>
    <x v="2"/>
    <n v="89763.009859427373"/>
  </r>
  <r>
    <x v="5"/>
    <x v="1"/>
    <x v="2"/>
    <n v="-105110.7776381005"/>
  </r>
  <r>
    <x v="6"/>
    <x v="1"/>
    <x v="2"/>
    <n v="2128936.6947511984"/>
  </r>
  <r>
    <x v="7"/>
    <x v="1"/>
    <x v="2"/>
    <n v="346077.120935774"/>
  </r>
  <r>
    <x v="8"/>
    <x v="1"/>
    <x v="2"/>
    <n v="14639.459021970932"/>
  </r>
  <r>
    <x v="9"/>
    <x v="1"/>
    <x v="2"/>
    <n v="218022.17480677072"/>
  </r>
  <r>
    <x v="10"/>
    <x v="1"/>
    <x v="2"/>
    <n v="544325.67958243925"/>
  </r>
  <r>
    <x v="11"/>
    <x v="1"/>
    <x v="2"/>
    <n v="135099.81731208056"/>
  </r>
  <r>
    <x v="12"/>
    <x v="1"/>
    <x v="2"/>
    <n v="31325.762503658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623601.64762370673"/>
    <n v="4371447.5498421844"/>
    <n v="1517832.1610184542"/>
    <n v="1517832.1610184542"/>
  </r>
  <r>
    <x v="0"/>
    <x v="1"/>
    <x v="1"/>
    <s v="Konventionel"/>
    <x v="0"/>
    <s v="Halm"/>
    <n v="40924.577321691744"/>
    <n v="157968.86846173016"/>
    <n v="49888.7090156083"/>
    <n v="49888.7090156083"/>
  </r>
  <r>
    <x v="0"/>
    <x v="2"/>
    <x v="1"/>
    <s v="Konventionel"/>
    <x v="0"/>
    <s v="Halm"/>
    <n v="68820.453158838543"/>
    <n v="302809.99389888963"/>
    <n v="172047.55423353214"/>
    <n v="172047.55423353214"/>
  </r>
  <r>
    <x v="0"/>
    <x v="3"/>
    <x v="1"/>
    <s v="Konventionel"/>
    <x v="0"/>
    <s v="Græs"/>
    <n v="139749.16893583816"/>
    <n v="6934353.7625962906"/>
    <n v="0"/>
    <n v="6934353.7625962906"/>
  </r>
  <r>
    <x v="0"/>
    <x v="4"/>
    <x v="1"/>
    <s v="Konventionel"/>
    <x v="0"/>
    <s v="Grøntsager"/>
    <n v="5077.8752938785101"/>
    <n v="105365.91234797909"/>
    <n v="0"/>
    <n v="105365.91234797909"/>
  </r>
  <r>
    <x v="0"/>
    <x v="5"/>
    <x v="1"/>
    <s v="Konventionel"/>
    <x v="0"/>
    <s v="Kartofler"/>
    <n v="-3871.2915336419205"/>
    <n v="-164417.23354785025"/>
    <n v="0"/>
    <n v="-164417.23354785025"/>
  </r>
  <r>
    <x v="0"/>
    <x v="6"/>
    <x v="1"/>
    <s v="Konventionel"/>
    <x v="0"/>
    <s v="Roer"/>
    <n v="2952.9863644105094"/>
    <n v="239941.16071419121"/>
    <n v="0"/>
    <n v="239941.16071419121"/>
  </r>
  <r>
    <x v="0"/>
    <x v="7"/>
    <x v="1"/>
    <s v="Konventionel"/>
    <x v="0"/>
    <s v="Majs"/>
    <n v="101123.85284779611"/>
    <n v="4501022.6902554054"/>
    <n v="0"/>
    <n v="4501022.6902554054"/>
  </r>
  <r>
    <x v="0"/>
    <x v="8"/>
    <x v="1"/>
    <s v="Konventionel"/>
    <x v="0"/>
    <s v="Frugt"/>
    <n v="1858.178728641436"/>
    <n v="15775.937406165795"/>
    <n v="0"/>
    <n v="15775.937406165795"/>
  </r>
  <r>
    <x v="0"/>
    <x v="9"/>
    <x v="1"/>
    <s v="Konventionel"/>
    <x v="0"/>
    <s v="Øvrige"/>
    <n v="10116.339515882988"/>
    <n v="301425.8807248823"/>
    <n v="0"/>
    <n v="301425.8807248823"/>
  </r>
  <r>
    <x v="0"/>
    <x v="10"/>
    <x v="1"/>
    <s v="Konventionel"/>
    <x v="0"/>
    <s v="Halm"/>
    <n v="34569.580912712976"/>
    <n v="493959.92817580584"/>
    <n v="87295.105720782813"/>
    <n v="87295.105720782813"/>
  </r>
  <r>
    <x v="0"/>
    <x v="11"/>
    <x v="1"/>
    <s v="Konventionel"/>
    <x v="0"/>
    <s v="Juletræer"/>
    <n v="9319.7772503881351"/>
    <n v="465988.86251940671"/>
    <n v="0"/>
    <n v="465988.86251940671"/>
  </r>
  <r>
    <x v="0"/>
    <x v="12"/>
    <x v="1"/>
    <s v="Konventionel"/>
    <x v="0"/>
    <s v="Pil &amp; poppel"/>
    <n v="3428.1130965615221"/>
    <n v="83612.514550281034"/>
    <n v="0"/>
    <n v="83612.514550281034"/>
  </r>
  <r>
    <x v="0"/>
    <x v="13"/>
    <x v="1"/>
    <s v="Konventionel"/>
    <x v="0"/>
    <s v="Græs"/>
    <n v="99690.053010526652"/>
    <n v="1374725.8310151626"/>
    <n v="0"/>
    <n v="1374725.8310151626"/>
  </r>
  <r>
    <x v="0"/>
    <x v="0"/>
    <x v="2"/>
    <s v="Konventionel"/>
    <x v="0"/>
    <s v="Halm"/>
    <n v="582945.73538311059"/>
    <n v="4086449.6050356049"/>
    <n v="1458658.1865174593"/>
    <n v="1458658.1865174593"/>
  </r>
  <r>
    <x v="0"/>
    <x v="1"/>
    <x v="2"/>
    <s v="Konventionel"/>
    <x v="0"/>
    <s v="Halm"/>
    <n v="38013.824730586261"/>
    <n v="146733.36346006297"/>
    <n v="47639.647415040585"/>
    <n v="47639.647415040585"/>
  </r>
  <r>
    <x v="0"/>
    <x v="2"/>
    <x v="2"/>
    <s v="Konventionel"/>
    <x v="0"/>
    <s v="Halm"/>
    <n v="63925.611832109302"/>
    <n v="281272.69206128095"/>
    <n v="164291.3794329942"/>
    <n v="164291.3794329942"/>
  </r>
  <r>
    <x v="0"/>
    <x v="3"/>
    <x v="2"/>
    <s v="Konventionel"/>
    <x v="0"/>
    <s v="Græs"/>
    <n v="136676.5701338283"/>
    <n v="6781891.4100405611"/>
    <n v="0"/>
    <n v="6781891.4100405611"/>
  </r>
  <r>
    <x v="0"/>
    <x v="4"/>
    <x v="2"/>
    <s v="Konventionel"/>
    <x v="0"/>
    <s v="Grøntsager"/>
    <n v="4716.7124026216434"/>
    <n v="97871.782354399096"/>
    <n v="0"/>
    <n v="97871.782354399096"/>
  </r>
  <r>
    <x v="0"/>
    <x v="5"/>
    <x v="2"/>
    <s v="Konventionel"/>
    <x v="0"/>
    <s v="Kartofler"/>
    <n v="-3595.9466773249751"/>
    <n v="-152723.08983538399"/>
    <n v="0"/>
    <n v="-152723.08983538399"/>
  </r>
  <r>
    <x v="0"/>
    <x v="6"/>
    <x v="2"/>
    <s v="Konventionel"/>
    <x v="0"/>
    <s v="Roer"/>
    <n v="2742.955784396403"/>
    <n v="222875.392391851"/>
    <n v="0"/>
    <n v="222875.392391851"/>
  </r>
  <r>
    <x v="0"/>
    <x v="7"/>
    <x v="2"/>
    <s v="Konventionel"/>
    <x v="0"/>
    <s v="Majs"/>
    <n v="99213.772063429395"/>
    <n v="4416004.9945432423"/>
    <n v="0"/>
    <n v="4416004.9945432423"/>
  </r>
  <r>
    <x v="0"/>
    <x v="8"/>
    <x v="2"/>
    <s v="Konventionel"/>
    <x v="0"/>
    <s v="Frugt"/>
    <n v="1726.0161284851893"/>
    <n v="14653.876930839258"/>
    <n v="0"/>
    <n v="14653.876930839258"/>
  </r>
  <r>
    <x v="0"/>
    <x v="9"/>
    <x v="2"/>
    <s v="Konventionel"/>
    <x v="0"/>
    <s v="Øvrige"/>
    <n v="9396.8168381801825"/>
    <n v="279987.02366719057"/>
    <n v="0"/>
    <n v="279987.02366719057"/>
  </r>
  <r>
    <x v="0"/>
    <x v="10"/>
    <x v="2"/>
    <s v="Konventionel"/>
    <x v="0"/>
    <s v="Halm"/>
    <n v="32110.826203430366"/>
    <n v="458827.12449311727"/>
    <n v="83359.704824105254"/>
    <n v="83359.704824105254"/>
  </r>
  <r>
    <x v="0"/>
    <x v="11"/>
    <x v="2"/>
    <s v="Konventionel"/>
    <x v="0"/>
    <s v="Juletræer"/>
    <n v="8656.9099086718306"/>
    <n v="432845.49543359154"/>
    <n v="0"/>
    <n v="432845.49543359154"/>
  </r>
  <r>
    <x v="0"/>
    <x v="12"/>
    <x v="2"/>
    <s v="Konventionel"/>
    <x v="0"/>
    <s v="Pil &amp; poppel"/>
    <n v="3184.28922026384"/>
    <n v="77665.590738142448"/>
    <n v="0"/>
    <n v="77665.590738142448"/>
  </r>
  <r>
    <x v="0"/>
    <x v="13"/>
    <x v="2"/>
    <s v="Konventionel"/>
    <x v="0"/>
    <s v="Græs"/>
    <n v="76752.616746360844"/>
    <n v="1058418.5849323161"/>
    <n v="0"/>
    <n v="1058418.5849323161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97325.112634913778"/>
    <n v="457106.85651239962"/>
    <n v="158714.35718395282"/>
    <n v="158714.35718395282"/>
  </r>
  <r>
    <x v="0"/>
    <x v="1"/>
    <x v="1"/>
    <s v="Økologisk"/>
    <x v="0"/>
    <s v="Halm"/>
    <n v="6387.072761188886"/>
    <n v="14052.837489167789"/>
    <n v="4438.0764841052705"/>
    <n v="4438.0764841052705"/>
  </r>
  <r>
    <x v="0"/>
    <x v="2"/>
    <x v="1"/>
    <s v="Økologisk"/>
    <x v="0"/>
    <s v="Halm"/>
    <n v="10740.764365830293"/>
    <n v="25992.649765309314"/>
    <n v="14768.243817155791"/>
    <n v="14768.243817155791"/>
  </r>
  <r>
    <x v="0"/>
    <x v="3"/>
    <x v="1"/>
    <s v="Økologisk"/>
    <x v="0"/>
    <s v="Græs"/>
    <n v="21810.563937963179"/>
    <n v="844147.34242935188"/>
    <n v="0"/>
    <n v="844147.34242935188"/>
  </r>
  <r>
    <x v="0"/>
    <x v="4"/>
    <x v="1"/>
    <s v="Økologisk"/>
    <x v="0"/>
    <s v="Grøntsager"/>
    <n v="792.50076840878489"/>
    <n v="9373.3028383549026"/>
    <n v="0"/>
    <n v="9373.3028383549026"/>
  </r>
  <r>
    <x v="0"/>
    <x v="5"/>
    <x v="1"/>
    <s v="Økologisk"/>
    <x v="0"/>
    <s v="Kartofler"/>
    <n v="-604.19000814064668"/>
    <n v="-14626.481065326101"/>
    <n v="0"/>
    <n v="-14626.481065326101"/>
  </r>
  <r>
    <x v="0"/>
    <x v="6"/>
    <x v="1"/>
    <s v="Økologisk"/>
    <x v="0"/>
    <s v="Roer"/>
    <n v="460.87070427216048"/>
    <n v="21345.054701684414"/>
    <n v="0"/>
    <n v="21345.054701684414"/>
  </r>
  <r>
    <x v="0"/>
    <x v="7"/>
    <x v="1"/>
    <s v="Økologisk"/>
    <x v="0"/>
    <s v="Majs"/>
    <n v="15782.335415551994"/>
    <n v="583051.55195736198"/>
    <n v="0"/>
    <n v="583051.55195736198"/>
  </r>
  <r>
    <x v="0"/>
    <x v="8"/>
    <x v="1"/>
    <s v="Økologisk"/>
    <x v="0"/>
    <s v="Frugt"/>
    <n v="290.00477267814318"/>
    <n v="1403.4200964213383"/>
    <n v="0"/>
    <n v="1403.4200964213383"/>
  </r>
  <r>
    <x v="0"/>
    <x v="9"/>
    <x v="1"/>
    <s v="Økologisk"/>
    <x v="0"/>
    <s v="Øvrige"/>
    <n v="1578.8506758892527"/>
    <n v="26814.706961595024"/>
    <n v="0"/>
    <n v="26814.706961595024"/>
  </r>
  <r>
    <x v="0"/>
    <x v="10"/>
    <x v="1"/>
    <s v="Økologisk"/>
    <x v="0"/>
    <s v="Halm"/>
    <n v="5395.2525123887299"/>
    <n v="43942.446789743641"/>
    <n v="7765.7322372418921"/>
    <n v="7765.7322372418921"/>
  </r>
  <r>
    <x v="0"/>
    <x v="11"/>
    <x v="1"/>
    <s v="Økologisk"/>
    <x v="0"/>
    <s v="Juletræer"/>
    <n v="1454.5317095981484"/>
    <n v="41454.153723547235"/>
    <n v="0"/>
    <n v="41454.153723547235"/>
  </r>
  <r>
    <x v="0"/>
    <x v="12"/>
    <x v="1"/>
    <s v="Økologisk"/>
    <x v="0"/>
    <s v="Pil &amp; poppel"/>
    <n v="535.02343125526659"/>
    <n v="7438.1306296463881"/>
    <n v="0"/>
    <n v="7438.1306296463881"/>
  </r>
  <r>
    <x v="0"/>
    <x v="13"/>
    <x v="1"/>
    <s v="Økologisk"/>
    <x v="0"/>
    <s v="Græs"/>
    <n v="15558.563186613987"/>
    <n v="214552.5863434069"/>
    <n v="0"/>
    <n v="214552.5863434069"/>
  </r>
  <r>
    <x v="0"/>
    <x v="0"/>
    <x v="2"/>
    <s v="Økologisk"/>
    <x v="0"/>
    <s v="Halm"/>
    <n v="123655.15599035678"/>
    <n v="580771.17113990872"/>
    <n v="207306.26953839045"/>
    <n v="207306.26953839045"/>
  </r>
  <r>
    <x v="0"/>
    <x v="1"/>
    <x v="2"/>
    <s v="Økologisk"/>
    <x v="0"/>
    <s v="Halm"/>
    <n v="8063.5385792152683"/>
    <n v="17741.397581989437"/>
    <n v="5760.06646018218"/>
    <n v="5760.06646018218"/>
  </r>
  <r>
    <x v="0"/>
    <x v="2"/>
    <x v="2"/>
    <s v="Økologisk"/>
    <x v="0"/>
    <s v="Halm"/>
    <n v="13559.978267417126"/>
    <n v="32815.147407149452"/>
    <n v="19167.327600515993"/>
    <n v="19167.327600515993"/>
  </r>
  <r>
    <x v="0"/>
    <x v="3"/>
    <x v="2"/>
    <s v="Økologisk"/>
    <x v="0"/>
    <s v="Græs"/>
    <n v="28991.999725357517"/>
    <n v="1122094.7605703471"/>
    <n v="0"/>
    <n v="1122094.7605703471"/>
  </r>
  <r>
    <x v="0"/>
    <x v="4"/>
    <x v="2"/>
    <s v="Økologisk"/>
    <x v="0"/>
    <s v="Grøntsager"/>
    <n v="1000.5147520712576"/>
    <n v="11833.588230122798"/>
    <n v="0"/>
    <n v="11833.588230122798"/>
  </r>
  <r>
    <x v="0"/>
    <x v="5"/>
    <x v="2"/>
    <s v="Økologisk"/>
    <x v="0"/>
    <s v="Kartofler"/>
    <n v="-762.77656791741902"/>
    <n v="-18465.609952823699"/>
    <n v="0"/>
    <n v="-18465.609952823699"/>
  </r>
  <r>
    <x v="0"/>
    <x v="6"/>
    <x v="2"/>
    <s v="Økologisk"/>
    <x v="0"/>
    <s v="Roer"/>
    <n v="581.8391057810552"/>
    <n v="26947.661080105616"/>
    <n v="0"/>
    <n v="26947.661080105616"/>
  </r>
  <r>
    <x v="0"/>
    <x v="7"/>
    <x v="2"/>
    <s v="Økologisk"/>
    <x v="0"/>
    <s v="Majs"/>
    <n v="21045.345589212295"/>
    <n v="777484.5157059466"/>
    <n v="0"/>
    <n v="777484.5157059466"/>
  </r>
  <r>
    <x v="0"/>
    <x v="8"/>
    <x v="2"/>
    <s v="Økologisk"/>
    <x v="0"/>
    <s v="Frugt"/>
    <n v="366.12463331504017"/>
    <n v="1771.7869380014738"/>
    <n v="0"/>
    <n v="1771.7869380014738"/>
  </r>
  <r>
    <x v="0"/>
    <x v="9"/>
    <x v="2"/>
    <s v="Økologisk"/>
    <x v="0"/>
    <s v="Øvrige"/>
    <n v="1993.2641777957963"/>
    <n v="33852.976497942131"/>
    <n v="0"/>
    <n v="33852.976497942131"/>
  </r>
  <r>
    <x v="0"/>
    <x v="10"/>
    <x v="2"/>
    <s v="Økologisk"/>
    <x v="0"/>
    <s v="Halm"/>
    <n v="6811.3873764852287"/>
    <n v="55476.37050689508"/>
    <n v="10078.946128732725"/>
    <n v="10078.946128732725"/>
  </r>
  <r>
    <x v="0"/>
    <x v="11"/>
    <x v="2"/>
    <s v="Økologisk"/>
    <x v="0"/>
    <s v="Juletræer"/>
    <n v="1836.3142230516003"/>
    <n v="52334.955356970604"/>
    <n v="0"/>
    <n v="52334.955356970604"/>
  </r>
  <r>
    <x v="0"/>
    <x v="12"/>
    <x v="2"/>
    <s v="Økologisk"/>
    <x v="0"/>
    <s v="Pil &amp; poppel"/>
    <n v="675.4552891468752"/>
    <n v="9390.4759710663129"/>
    <n v="0"/>
    <n v="9390.4759710663129"/>
  </r>
  <r>
    <x v="0"/>
    <x v="13"/>
    <x v="2"/>
    <s v="Økologisk"/>
    <x v="0"/>
    <s v="Græs"/>
    <n v="16280.858097712908"/>
    <n v="224513.03316746105"/>
    <n v="0"/>
    <n v="224513.03316746105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Korn"/>
    <n v="0"/>
    <n v="0"/>
    <n v="0"/>
    <n v="0"/>
  </r>
  <r>
    <x v="0"/>
    <x v="1"/>
    <x v="1"/>
    <s v="Konventionel"/>
    <x v="1"/>
    <s v="Bælgsæd"/>
    <n v="0"/>
    <n v="0"/>
    <n v="0"/>
    <n v="0"/>
  </r>
  <r>
    <x v="0"/>
    <x v="2"/>
    <x v="1"/>
    <s v="Konventionel"/>
    <x v="1"/>
    <s v="Raps"/>
    <n v="0"/>
    <n v="0"/>
    <n v="0"/>
    <n v="0"/>
  </r>
  <r>
    <x v="0"/>
    <x v="3"/>
    <x v="1"/>
    <s v="Konventionel"/>
    <x v="1"/>
    <s v="Græs"/>
    <n v="0"/>
    <n v="0"/>
    <n v="0"/>
    <n v="0"/>
  </r>
  <r>
    <x v="0"/>
    <x v="4"/>
    <x v="1"/>
    <s v="Konventionel"/>
    <x v="1"/>
    <s v="Grøntsager"/>
    <n v="0"/>
    <n v="0"/>
    <n v="0"/>
    <n v="0"/>
  </r>
  <r>
    <x v="0"/>
    <x v="5"/>
    <x v="1"/>
    <s v="Konventionel"/>
    <x v="1"/>
    <s v="Kartofler"/>
    <n v="0"/>
    <n v="0"/>
    <n v="0"/>
    <n v="0"/>
  </r>
  <r>
    <x v="0"/>
    <x v="6"/>
    <x v="1"/>
    <s v="Konventionel"/>
    <x v="1"/>
    <s v="Roer"/>
    <n v="0"/>
    <n v="0"/>
    <n v="0"/>
    <n v="0"/>
  </r>
  <r>
    <x v="0"/>
    <x v="7"/>
    <x v="1"/>
    <s v="Konventionel"/>
    <x v="1"/>
    <s v="Majs"/>
    <n v="0"/>
    <n v="0"/>
    <n v="0"/>
    <n v="0"/>
  </r>
  <r>
    <x v="0"/>
    <x v="8"/>
    <x v="1"/>
    <s v="Konventionel"/>
    <x v="1"/>
    <s v="Frugt"/>
    <n v="0"/>
    <n v="0"/>
    <n v="0"/>
    <n v="0"/>
  </r>
  <r>
    <x v="0"/>
    <x v="9"/>
    <x v="1"/>
    <s v="Konventionel"/>
    <x v="1"/>
    <s v="Øvrige"/>
    <n v="0"/>
    <n v="0"/>
    <n v="0"/>
    <n v="0"/>
  </r>
  <r>
    <x v="0"/>
    <x v="10"/>
    <x v="1"/>
    <s v="Konventionel"/>
    <x v="1"/>
    <s v="Frø"/>
    <n v="0"/>
    <n v="0"/>
    <n v="0"/>
    <n v="0"/>
  </r>
  <r>
    <x v="0"/>
    <x v="11"/>
    <x v="1"/>
    <s v="Konventionel"/>
    <x v="1"/>
    <s v="Juletræer"/>
    <n v="0"/>
    <n v="0"/>
    <n v="0"/>
    <n v="0"/>
  </r>
  <r>
    <x v="0"/>
    <x v="12"/>
    <x v="1"/>
    <s v="Konventionel"/>
    <x v="1"/>
    <s v="Pil &amp; poppel"/>
    <n v="0"/>
    <n v="0"/>
    <n v="0"/>
    <n v="0"/>
  </r>
  <r>
    <x v="0"/>
    <x v="13"/>
    <x v="1"/>
    <s v="Konventionel"/>
    <x v="1"/>
    <s v="Græs"/>
    <n v="0"/>
    <n v="0"/>
    <n v="0"/>
    <n v="0"/>
  </r>
  <r>
    <x v="0"/>
    <x v="0"/>
    <x v="2"/>
    <s v="Konventionel"/>
    <x v="1"/>
    <s v="Korn"/>
    <n v="0"/>
    <n v="0"/>
    <n v="0"/>
    <n v="0"/>
  </r>
  <r>
    <x v="0"/>
    <x v="1"/>
    <x v="2"/>
    <s v="Konventionel"/>
    <x v="1"/>
    <s v="Bælgsæd"/>
    <n v="0"/>
    <n v="0"/>
    <n v="0"/>
    <n v="0"/>
  </r>
  <r>
    <x v="0"/>
    <x v="2"/>
    <x v="2"/>
    <s v="Konventionel"/>
    <x v="1"/>
    <s v="Raps"/>
    <n v="0"/>
    <n v="0"/>
    <n v="0"/>
    <n v="0"/>
  </r>
  <r>
    <x v="0"/>
    <x v="3"/>
    <x v="2"/>
    <s v="Konventionel"/>
    <x v="1"/>
    <s v="Græs"/>
    <n v="0"/>
    <n v="0"/>
    <n v="0"/>
    <n v="0"/>
  </r>
  <r>
    <x v="0"/>
    <x v="4"/>
    <x v="2"/>
    <s v="Konventionel"/>
    <x v="1"/>
    <s v="Grøntsager"/>
    <n v="0"/>
    <n v="0"/>
    <n v="0"/>
    <n v="0"/>
  </r>
  <r>
    <x v="0"/>
    <x v="5"/>
    <x v="2"/>
    <s v="Konventionel"/>
    <x v="1"/>
    <s v="Kartofler"/>
    <n v="0"/>
    <n v="0"/>
    <n v="0"/>
    <n v="0"/>
  </r>
  <r>
    <x v="0"/>
    <x v="6"/>
    <x v="2"/>
    <s v="Konventionel"/>
    <x v="1"/>
    <s v="Roer"/>
    <n v="0"/>
    <n v="0"/>
    <n v="0"/>
    <n v="0"/>
  </r>
  <r>
    <x v="0"/>
    <x v="7"/>
    <x v="2"/>
    <s v="Konventionel"/>
    <x v="1"/>
    <s v="Majs"/>
    <n v="0"/>
    <n v="0"/>
    <n v="0"/>
    <n v="0"/>
  </r>
  <r>
    <x v="0"/>
    <x v="8"/>
    <x v="2"/>
    <s v="Konventionel"/>
    <x v="1"/>
    <s v="Frugt"/>
    <n v="0"/>
    <n v="0"/>
    <n v="0"/>
    <n v="0"/>
  </r>
  <r>
    <x v="0"/>
    <x v="9"/>
    <x v="2"/>
    <s v="Konventionel"/>
    <x v="1"/>
    <s v="Øvrige"/>
    <n v="0"/>
    <n v="0"/>
    <n v="0"/>
    <n v="0"/>
  </r>
  <r>
    <x v="0"/>
    <x v="10"/>
    <x v="2"/>
    <s v="Konventionel"/>
    <x v="1"/>
    <s v="Frø"/>
    <n v="0"/>
    <n v="0"/>
    <n v="0"/>
    <n v="0"/>
  </r>
  <r>
    <x v="0"/>
    <x v="11"/>
    <x v="2"/>
    <s v="Konventionel"/>
    <x v="1"/>
    <s v="Juletræer"/>
    <n v="0"/>
    <n v="0"/>
    <n v="0"/>
    <n v="0"/>
  </r>
  <r>
    <x v="0"/>
    <x v="12"/>
    <x v="2"/>
    <s v="Konventionel"/>
    <x v="1"/>
    <s v="Pil &amp; poppel"/>
    <n v="0"/>
    <n v="0"/>
    <n v="0"/>
    <n v="0"/>
  </r>
  <r>
    <x v="0"/>
    <x v="13"/>
    <x v="2"/>
    <s v="Konventionel"/>
    <x v="1"/>
    <s v="Græs"/>
    <n v="0"/>
    <n v="0"/>
    <n v="0"/>
    <n v="0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Korn"/>
    <n v="0"/>
    <n v="0"/>
    <n v="0"/>
    <n v="0"/>
  </r>
  <r>
    <x v="0"/>
    <x v="1"/>
    <x v="1"/>
    <s v="Økologisk"/>
    <x v="1"/>
    <s v="Bælgsæd"/>
    <n v="0"/>
    <n v="0"/>
    <n v="0"/>
    <n v="0"/>
  </r>
  <r>
    <x v="0"/>
    <x v="2"/>
    <x v="1"/>
    <s v="Økologisk"/>
    <x v="1"/>
    <s v="Raps"/>
    <n v="0"/>
    <n v="0"/>
    <n v="0"/>
    <n v="0"/>
  </r>
  <r>
    <x v="0"/>
    <x v="3"/>
    <x v="1"/>
    <s v="Økologisk"/>
    <x v="1"/>
    <s v="Græs"/>
    <n v="0"/>
    <n v="0"/>
    <n v="0"/>
    <n v="0"/>
  </r>
  <r>
    <x v="0"/>
    <x v="4"/>
    <x v="1"/>
    <s v="Økologisk"/>
    <x v="1"/>
    <s v="Grøntsager"/>
    <n v="0"/>
    <n v="0"/>
    <n v="0"/>
    <n v="0"/>
  </r>
  <r>
    <x v="0"/>
    <x v="5"/>
    <x v="1"/>
    <s v="Økologisk"/>
    <x v="1"/>
    <s v="Kartofler"/>
    <n v="0"/>
    <n v="0"/>
    <n v="0"/>
    <n v="0"/>
  </r>
  <r>
    <x v="0"/>
    <x v="6"/>
    <x v="1"/>
    <s v="Økologisk"/>
    <x v="1"/>
    <s v="Roer"/>
    <n v="0"/>
    <n v="0"/>
    <n v="0"/>
    <n v="0"/>
  </r>
  <r>
    <x v="0"/>
    <x v="7"/>
    <x v="1"/>
    <s v="Økologisk"/>
    <x v="1"/>
    <s v="Majs"/>
    <n v="0"/>
    <n v="0"/>
    <n v="0"/>
    <n v="0"/>
  </r>
  <r>
    <x v="0"/>
    <x v="8"/>
    <x v="1"/>
    <s v="Økologisk"/>
    <x v="1"/>
    <s v="Frugt"/>
    <n v="0"/>
    <n v="0"/>
    <n v="0"/>
    <n v="0"/>
  </r>
  <r>
    <x v="0"/>
    <x v="9"/>
    <x v="1"/>
    <s v="Økologisk"/>
    <x v="1"/>
    <s v="Øvrige"/>
    <n v="0"/>
    <n v="0"/>
    <n v="0"/>
    <n v="0"/>
  </r>
  <r>
    <x v="0"/>
    <x v="10"/>
    <x v="1"/>
    <s v="Økologisk"/>
    <x v="1"/>
    <s v="Frø"/>
    <n v="0"/>
    <n v="0"/>
    <n v="0"/>
    <n v="0"/>
  </r>
  <r>
    <x v="0"/>
    <x v="11"/>
    <x v="1"/>
    <s v="Økologisk"/>
    <x v="1"/>
    <s v="Juletræer"/>
    <n v="0"/>
    <n v="0"/>
    <n v="0"/>
    <n v="0"/>
  </r>
  <r>
    <x v="0"/>
    <x v="12"/>
    <x v="1"/>
    <s v="Økologisk"/>
    <x v="1"/>
    <s v="Pil &amp; poppel"/>
    <n v="0"/>
    <n v="0"/>
    <n v="0"/>
    <n v="0"/>
  </r>
  <r>
    <x v="0"/>
    <x v="13"/>
    <x v="1"/>
    <s v="Økologisk"/>
    <x v="1"/>
    <s v="Græs"/>
    <n v="0"/>
    <n v="0"/>
    <n v="0"/>
    <n v="0"/>
  </r>
  <r>
    <x v="0"/>
    <x v="0"/>
    <x v="2"/>
    <s v="Økologisk"/>
    <x v="1"/>
    <s v="Korn"/>
    <n v="0"/>
    <n v="0"/>
    <n v="0"/>
    <n v="0"/>
  </r>
  <r>
    <x v="0"/>
    <x v="1"/>
    <x v="2"/>
    <s v="Økologisk"/>
    <x v="1"/>
    <s v="Bælgsæd"/>
    <n v="0"/>
    <n v="0"/>
    <n v="0"/>
    <n v="0"/>
  </r>
  <r>
    <x v="0"/>
    <x v="2"/>
    <x v="2"/>
    <s v="Økologisk"/>
    <x v="1"/>
    <s v="Raps"/>
    <n v="0"/>
    <n v="0"/>
    <n v="0"/>
    <n v="0"/>
  </r>
  <r>
    <x v="0"/>
    <x v="3"/>
    <x v="2"/>
    <s v="Økologisk"/>
    <x v="1"/>
    <s v="Græs"/>
    <n v="0"/>
    <n v="0"/>
    <n v="0"/>
    <n v="0"/>
  </r>
  <r>
    <x v="0"/>
    <x v="4"/>
    <x v="2"/>
    <s v="Økologisk"/>
    <x v="1"/>
    <s v="Grøntsager"/>
    <n v="0"/>
    <n v="0"/>
    <n v="0"/>
    <n v="0"/>
  </r>
  <r>
    <x v="0"/>
    <x v="5"/>
    <x v="2"/>
    <s v="Økologisk"/>
    <x v="1"/>
    <s v="Kartofler"/>
    <n v="0"/>
    <n v="0"/>
    <n v="0"/>
    <n v="0"/>
  </r>
  <r>
    <x v="0"/>
    <x v="6"/>
    <x v="2"/>
    <s v="Økologisk"/>
    <x v="1"/>
    <s v="Roer"/>
    <n v="0"/>
    <n v="0"/>
    <n v="0"/>
    <n v="0"/>
  </r>
  <r>
    <x v="0"/>
    <x v="7"/>
    <x v="2"/>
    <s v="Økologisk"/>
    <x v="1"/>
    <s v="Majs"/>
    <n v="0"/>
    <n v="0"/>
    <n v="0"/>
    <n v="0"/>
  </r>
  <r>
    <x v="0"/>
    <x v="8"/>
    <x v="2"/>
    <s v="Økologisk"/>
    <x v="1"/>
    <s v="Frugt"/>
    <n v="0"/>
    <n v="0"/>
    <n v="0"/>
    <n v="0"/>
  </r>
  <r>
    <x v="0"/>
    <x v="9"/>
    <x v="2"/>
    <s v="Økologisk"/>
    <x v="1"/>
    <s v="Øvrige"/>
    <n v="0"/>
    <n v="0"/>
    <n v="0"/>
    <n v="0"/>
  </r>
  <r>
    <x v="0"/>
    <x v="10"/>
    <x v="2"/>
    <s v="Økologisk"/>
    <x v="1"/>
    <s v="Frø"/>
    <n v="0"/>
    <n v="0"/>
    <n v="0"/>
    <n v="0"/>
  </r>
  <r>
    <x v="0"/>
    <x v="11"/>
    <x v="2"/>
    <s v="Økologisk"/>
    <x v="1"/>
    <s v="Juletræer"/>
    <n v="0"/>
    <n v="0"/>
    <n v="0"/>
    <n v="0"/>
  </r>
  <r>
    <x v="0"/>
    <x v="12"/>
    <x v="2"/>
    <s v="Økologisk"/>
    <x v="1"/>
    <s v="Pil &amp; poppel"/>
    <n v="0"/>
    <n v="0"/>
    <n v="0"/>
    <n v="0"/>
  </r>
  <r>
    <x v="0"/>
    <x v="13"/>
    <x v="2"/>
    <s v="Økologisk"/>
    <x v="1"/>
    <s v="Græs"/>
    <n v="0"/>
    <n v="0"/>
    <n v="0"/>
    <n v="0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Korn"/>
    <n v="0"/>
    <n v="0"/>
    <n v="0"/>
    <n v="0"/>
  </r>
  <r>
    <x v="0"/>
    <x v="1"/>
    <x v="1"/>
    <s v="Konventionel"/>
    <x v="2"/>
    <s v="Bælgsæd"/>
    <n v="0"/>
    <n v="0"/>
    <n v="0"/>
    <n v="0"/>
  </r>
  <r>
    <x v="0"/>
    <x v="2"/>
    <x v="1"/>
    <s v="Konventionel"/>
    <x v="2"/>
    <s v="Raps"/>
    <n v="0"/>
    <n v="0"/>
    <n v="0"/>
    <n v="0"/>
  </r>
  <r>
    <x v="0"/>
    <x v="3"/>
    <x v="1"/>
    <s v="Konventionel"/>
    <x v="2"/>
    <s v="Græs"/>
    <n v="0"/>
    <n v="0"/>
    <n v="0"/>
    <n v="0"/>
  </r>
  <r>
    <x v="0"/>
    <x v="4"/>
    <x v="1"/>
    <s v="Konventionel"/>
    <x v="2"/>
    <s v="Grøntsager"/>
    <n v="0"/>
    <n v="0"/>
    <n v="0"/>
    <n v="0"/>
  </r>
  <r>
    <x v="0"/>
    <x v="5"/>
    <x v="1"/>
    <s v="Konventionel"/>
    <x v="2"/>
    <s v="Kartofler"/>
    <n v="0"/>
    <n v="0"/>
    <n v="0"/>
    <n v="0"/>
  </r>
  <r>
    <x v="0"/>
    <x v="6"/>
    <x v="1"/>
    <s v="Konventionel"/>
    <x v="2"/>
    <s v="Roer"/>
    <n v="0"/>
    <n v="0"/>
    <n v="0"/>
    <n v="0"/>
  </r>
  <r>
    <x v="0"/>
    <x v="7"/>
    <x v="1"/>
    <s v="Konventionel"/>
    <x v="2"/>
    <s v="Majs"/>
    <n v="0"/>
    <n v="0"/>
    <n v="0"/>
    <n v="0"/>
  </r>
  <r>
    <x v="0"/>
    <x v="8"/>
    <x v="1"/>
    <s v="Konventionel"/>
    <x v="2"/>
    <s v="Frugt"/>
    <n v="0"/>
    <n v="0"/>
    <n v="0"/>
    <n v="0"/>
  </r>
  <r>
    <x v="0"/>
    <x v="9"/>
    <x v="1"/>
    <s v="Konventionel"/>
    <x v="2"/>
    <s v="Øvrige"/>
    <n v="0"/>
    <n v="0"/>
    <n v="0"/>
    <n v="0"/>
  </r>
  <r>
    <x v="0"/>
    <x v="10"/>
    <x v="1"/>
    <s v="Konventionel"/>
    <x v="2"/>
    <s v="Frø"/>
    <n v="0"/>
    <n v="0"/>
    <n v="0"/>
    <n v="0"/>
  </r>
  <r>
    <x v="0"/>
    <x v="11"/>
    <x v="1"/>
    <s v="Konventionel"/>
    <x v="2"/>
    <s v="Juletræer"/>
    <n v="0"/>
    <n v="0"/>
    <n v="0"/>
    <n v="0"/>
  </r>
  <r>
    <x v="0"/>
    <x v="12"/>
    <x v="1"/>
    <s v="Konventionel"/>
    <x v="2"/>
    <s v="Pil &amp; poppel"/>
    <n v="0"/>
    <n v="0"/>
    <n v="0"/>
    <n v="0"/>
  </r>
  <r>
    <x v="0"/>
    <x v="13"/>
    <x v="1"/>
    <s v="Konventionel"/>
    <x v="2"/>
    <s v="Græs"/>
    <n v="0"/>
    <n v="0"/>
    <n v="0"/>
    <n v="0"/>
  </r>
  <r>
    <x v="0"/>
    <x v="0"/>
    <x v="2"/>
    <s v="Konventionel"/>
    <x v="2"/>
    <s v="Korn"/>
    <n v="0"/>
    <n v="0"/>
    <n v="0"/>
    <n v="0"/>
  </r>
  <r>
    <x v="0"/>
    <x v="1"/>
    <x v="2"/>
    <s v="Konventionel"/>
    <x v="2"/>
    <s v="Bælgsæd"/>
    <n v="0"/>
    <n v="0"/>
    <n v="0"/>
    <n v="0"/>
  </r>
  <r>
    <x v="0"/>
    <x v="2"/>
    <x v="2"/>
    <s v="Konventionel"/>
    <x v="2"/>
    <s v="Raps"/>
    <n v="0"/>
    <n v="0"/>
    <n v="0"/>
    <n v="0"/>
  </r>
  <r>
    <x v="0"/>
    <x v="3"/>
    <x v="2"/>
    <s v="Konventionel"/>
    <x v="2"/>
    <s v="Græs"/>
    <n v="0"/>
    <n v="0"/>
    <n v="0"/>
    <n v="0"/>
  </r>
  <r>
    <x v="0"/>
    <x v="4"/>
    <x v="2"/>
    <s v="Konventionel"/>
    <x v="2"/>
    <s v="Grøntsager"/>
    <n v="0"/>
    <n v="0"/>
    <n v="0"/>
    <n v="0"/>
  </r>
  <r>
    <x v="0"/>
    <x v="5"/>
    <x v="2"/>
    <s v="Konventionel"/>
    <x v="2"/>
    <s v="Kartofler"/>
    <n v="0"/>
    <n v="0"/>
    <n v="0"/>
    <n v="0"/>
  </r>
  <r>
    <x v="0"/>
    <x v="6"/>
    <x v="2"/>
    <s v="Konventionel"/>
    <x v="2"/>
    <s v="Roer"/>
    <n v="0"/>
    <n v="0"/>
    <n v="0"/>
    <n v="0"/>
  </r>
  <r>
    <x v="0"/>
    <x v="7"/>
    <x v="2"/>
    <s v="Konventionel"/>
    <x v="2"/>
    <s v="Majs"/>
    <n v="0"/>
    <n v="0"/>
    <n v="0"/>
    <n v="0"/>
  </r>
  <r>
    <x v="0"/>
    <x v="8"/>
    <x v="2"/>
    <s v="Konventionel"/>
    <x v="2"/>
    <s v="Frugt"/>
    <n v="0"/>
    <n v="0"/>
    <n v="0"/>
    <n v="0"/>
  </r>
  <r>
    <x v="0"/>
    <x v="9"/>
    <x v="2"/>
    <s v="Konventionel"/>
    <x v="2"/>
    <s v="Øvrige"/>
    <n v="0"/>
    <n v="0"/>
    <n v="0"/>
    <n v="0"/>
  </r>
  <r>
    <x v="0"/>
    <x v="10"/>
    <x v="2"/>
    <s v="Konventionel"/>
    <x v="2"/>
    <s v="Frø"/>
    <n v="0"/>
    <n v="0"/>
    <n v="0"/>
    <n v="0"/>
  </r>
  <r>
    <x v="0"/>
    <x v="11"/>
    <x v="2"/>
    <s v="Konventionel"/>
    <x v="2"/>
    <s v="Juletræer"/>
    <n v="0"/>
    <n v="0"/>
    <n v="0"/>
    <n v="0"/>
  </r>
  <r>
    <x v="0"/>
    <x v="12"/>
    <x v="2"/>
    <s v="Konventionel"/>
    <x v="2"/>
    <s v="Pil &amp; poppel"/>
    <n v="0"/>
    <n v="0"/>
    <n v="0"/>
    <n v="0"/>
  </r>
  <r>
    <x v="0"/>
    <x v="13"/>
    <x v="2"/>
    <s v="Konventionel"/>
    <x v="2"/>
    <s v="Græs"/>
    <n v="0"/>
    <n v="0"/>
    <n v="0"/>
    <n v="0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Korn"/>
    <n v="0"/>
    <n v="0"/>
    <n v="0"/>
    <n v="0"/>
  </r>
  <r>
    <x v="0"/>
    <x v="1"/>
    <x v="1"/>
    <s v="Økologisk"/>
    <x v="2"/>
    <s v="Bælgsæd"/>
    <n v="0"/>
    <n v="0"/>
    <n v="0"/>
    <n v="0"/>
  </r>
  <r>
    <x v="0"/>
    <x v="2"/>
    <x v="1"/>
    <s v="Økologisk"/>
    <x v="2"/>
    <s v="Raps"/>
    <n v="0"/>
    <n v="0"/>
    <n v="0"/>
    <n v="0"/>
  </r>
  <r>
    <x v="0"/>
    <x v="3"/>
    <x v="1"/>
    <s v="Økologisk"/>
    <x v="2"/>
    <s v="Græs"/>
    <n v="0"/>
    <n v="0"/>
    <n v="0"/>
    <n v="0"/>
  </r>
  <r>
    <x v="0"/>
    <x v="4"/>
    <x v="1"/>
    <s v="Økologisk"/>
    <x v="2"/>
    <s v="Grøntsager"/>
    <n v="0"/>
    <n v="0"/>
    <n v="0"/>
    <n v="0"/>
  </r>
  <r>
    <x v="0"/>
    <x v="5"/>
    <x v="1"/>
    <s v="Økologisk"/>
    <x v="2"/>
    <s v="Kartofler"/>
    <n v="0"/>
    <n v="0"/>
    <n v="0"/>
    <n v="0"/>
  </r>
  <r>
    <x v="0"/>
    <x v="6"/>
    <x v="1"/>
    <s v="Økologisk"/>
    <x v="2"/>
    <s v="Roer"/>
    <n v="0"/>
    <n v="0"/>
    <n v="0"/>
    <n v="0"/>
  </r>
  <r>
    <x v="0"/>
    <x v="7"/>
    <x v="1"/>
    <s v="Økologisk"/>
    <x v="2"/>
    <s v="Majs"/>
    <n v="0"/>
    <n v="0"/>
    <n v="0"/>
    <n v="0"/>
  </r>
  <r>
    <x v="0"/>
    <x v="8"/>
    <x v="1"/>
    <s v="Økologisk"/>
    <x v="2"/>
    <s v="Frugt"/>
    <n v="0"/>
    <n v="0"/>
    <n v="0"/>
    <n v="0"/>
  </r>
  <r>
    <x v="0"/>
    <x v="9"/>
    <x v="1"/>
    <s v="Økologisk"/>
    <x v="2"/>
    <s v="Øvrige"/>
    <n v="0"/>
    <n v="0"/>
    <n v="0"/>
    <n v="0"/>
  </r>
  <r>
    <x v="0"/>
    <x v="10"/>
    <x v="1"/>
    <s v="Økologisk"/>
    <x v="2"/>
    <s v="Frø"/>
    <n v="0"/>
    <n v="0"/>
    <n v="0"/>
    <n v="0"/>
  </r>
  <r>
    <x v="0"/>
    <x v="11"/>
    <x v="1"/>
    <s v="Økologisk"/>
    <x v="2"/>
    <s v="Juletræer"/>
    <n v="0"/>
    <n v="0"/>
    <n v="0"/>
    <n v="0"/>
  </r>
  <r>
    <x v="0"/>
    <x v="12"/>
    <x v="1"/>
    <s v="Økologisk"/>
    <x v="2"/>
    <s v="Pil &amp; poppel"/>
    <n v="0"/>
    <n v="0"/>
    <n v="0"/>
    <n v="0"/>
  </r>
  <r>
    <x v="0"/>
    <x v="13"/>
    <x v="1"/>
    <s v="Økologisk"/>
    <x v="2"/>
    <s v="Græs"/>
    <n v="0"/>
    <n v="0"/>
    <n v="0"/>
    <n v="0"/>
  </r>
  <r>
    <x v="0"/>
    <x v="0"/>
    <x v="2"/>
    <s v="Økologisk"/>
    <x v="2"/>
    <s v="Korn"/>
    <n v="0"/>
    <n v="0"/>
    <n v="0"/>
    <n v="0"/>
  </r>
  <r>
    <x v="0"/>
    <x v="1"/>
    <x v="2"/>
    <s v="Økologisk"/>
    <x v="2"/>
    <s v="Bælgsæd"/>
    <n v="0"/>
    <n v="0"/>
    <n v="0"/>
    <n v="0"/>
  </r>
  <r>
    <x v="0"/>
    <x v="2"/>
    <x v="2"/>
    <s v="Økologisk"/>
    <x v="2"/>
    <s v="Raps"/>
    <n v="0"/>
    <n v="0"/>
    <n v="0"/>
    <n v="0"/>
  </r>
  <r>
    <x v="0"/>
    <x v="3"/>
    <x v="2"/>
    <s v="Økologisk"/>
    <x v="2"/>
    <s v="Græs"/>
    <n v="0"/>
    <n v="0"/>
    <n v="0"/>
    <n v="0"/>
  </r>
  <r>
    <x v="0"/>
    <x v="4"/>
    <x v="2"/>
    <s v="Økologisk"/>
    <x v="2"/>
    <s v="Grøntsager"/>
    <n v="0"/>
    <n v="0"/>
    <n v="0"/>
    <n v="0"/>
  </r>
  <r>
    <x v="0"/>
    <x v="5"/>
    <x v="2"/>
    <s v="Økologisk"/>
    <x v="2"/>
    <s v="Kartofler"/>
    <n v="0"/>
    <n v="0"/>
    <n v="0"/>
    <n v="0"/>
  </r>
  <r>
    <x v="0"/>
    <x v="6"/>
    <x v="2"/>
    <s v="Økologisk"/>
    <x v="2"/>
    <s v="Roer"/>
    <n v="0"/>
    <n v="0"/>
    <n v="0"/>
    <n v="0"/>
  </r>
  <r>
    <x v="0"/>
    <x v="7"/>
    <x v="2"/>
    <s v="Økologisk"/>
    <x v="2"/>
    <s v="Majs"/>
    <n v="0"/>
    <n v="0"/>
    <n v="0"/>
    <n v="0"/>
  </r>
  <r>
    <x v="0"/>
    <x v="8"/>
    <x v="2"/>
    <s v="Økologisk"/>
    <x v="2"/>
    <s v="Frugt"/>
    <n v="0"/>
    <n v="0"/>
    <n v="0"/>
    <n v="0"/>
  </r>
  <r>
    <x v="0"/>
    <x v="9"/>
    <x v="2"/>
    <s v="Økologisk"/>
    <x v="2"/>
    <s v="Øvrige"/>
    <n v="0"/>
    <n v="0"/>
    <n v="0"/>
    <n v="0"/>
  </r>
  <r>
    <x v="0"/>
    <x v="10"/>
    <x v="2"/>
    <s v="Økologisk"/>
    <x v="2"/>
    <s v="Frø"/>
    <n v="0"/>
    <n v="0"/>
    <n v="0"/>
    <n v="0"/>
  </r>
  <r>
    <x v="0"/>
    <x v="11"/>
    <x v="2"/>
    <s v="Økologisk"/>
    <x v="2"/>
    <s v="Juletræer"/>
    <n v="0"/>
    <n v="0"/>
    <n v="0"/>
    <n v="0"/>
  </r>
  <r>
    <x v="0"/>
    <x v="12"/>
    <x v="2"/>
    <s v="Økologisk"/>
    <x v="2"/>
    <s v="Pil &amp; poppel"/>
    <n v="0"/>
    <n v="0"/>
    <n v="0"/>
    <n v="0"/>
  </r>
  <r>
    <x v="0"/>
    <x v="13"/>
    <x v="2"/>
    <s v="Økologisk"/>
    <x v="2"/>
    <s v="Græs"/>
    <n v="0"/>
    <n v="0"/>
    <n v="0"/>
    <n v="0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68590.48894564441"/>
    <n v="1882819.3275089671"/>
    <n v="653743.11280102609"/>
    <n v="653743.11280102609"/>
  </r>
  <r>
    <x v="1"/>
    <x v="1"/>
    <x v="1"/>
    <s v="Konventionel"/>
    <x v="0"/>
    <s v="Halm"/>
    <n v="5574.0572839170763"/>
    <n v="21515.861115919917"/>
    <n v="6795.0004636034573"/>
    <n v="6795.0004636034573"/>
  </r>
  <r>
    <x v="1"/>
    <x v="2"/>
    <x v="1"/>
    <s v="Konventionel"/>
    <x v="0"/>
    <s v="Halm"/>
    <n v="22519.293547348854"/>
    <n v="99084.891608334961"/>
    <n v="56297.062865107684"/>
    <n v="56297.062865107684"/>
  </r>
  <r>
    <x v="1"/>
    <x v="3"/>
    <x v="1"/>
    <s v="Konventionel"/>
    <x v="0"/>
    <s v="Græs"/>
    <n v="21481.174310929808"/>
    <n v="1065895.8693083371"/>
    <n v="0"/>
    <n v="1065895.8693083371"/>
  </r>
  <r>
    <x v="1"/>
    <x v="4"/>
    <x v="1"/>
    <s v="Konventionel"/>
    <x v="0"/>
    <s v="Grøntsager"/>
    <n v="3366.1056333623883"/>
    <n v="69846.691892269562"/>
    <n v="0"/>
    <n v="69846.691892269562"/>
  </r>
  <r>
    <x v="1"/>
    <x v="5"/>
    <x v="1"/>
    <s v="Konventionel"/>
    <x v="0"/>
    <s v="Kartofler"/>
    <n v="-2120.3732467518535"/>
    <n v="-90054.159003582681"/>
    <n v="0"/>
    <n v="-90054.159003582681"/>
  </r>
  <r>
    <x v="1"/>
    <x v="6"/>
    <x v="1"/>
    <s v="Konventionel"/>
    <x v="0"/>
    <s v="Roer"/>
    <n v="22447.91242805776"/>
    <n v="1823976.6456469619"/>
    <n v="0"/>
    <n v="1823976.6456469619"/>
  </r>
  <r>
    <x v="1"/>
    <x v="7"/>
    <x v="1"/>
    <s v="Konventionel"/>
    <x v="0"/>
    <s v="Majs"/>
    <n v="6349.1049959292022"/>
    <n v="282598.6633688088"/>
    <n v="0"/>
    <n v="282598.6633688088"/>
  </r>
  <r>
    <x v="1"/>
    <x v="8"/>
    <x v="1"/>
    <s v="Konventionel"/>
    <x v="0"/>
    <s v="Frugt"/>
    <n v="1477.3175726528953"/>
    <n v="12542.426191823082"/>
    <n v="0"/>
    <n v="12542.426191823082"/>
  </r>
  <r>
    <x v="1"/>
    <x v="9"/>
    <x v="1"/>
    <s v="Konventionel"/>
    <x v="0"/>
    <s v="Øvrige"/>
    <n v="6269.0257103210697"/>
    <n v="186791.53591609412"/>
    <n v="0"/>
    <n v="186791.53591609412"/>
  </r>
  <r>
    <x v="1"/>
    <x v="10"/>
    <x v="1"/>
    <s v="Konventionel"/>
    <x v="0"/>
    <s v="Halm"/>
    <n v="32637.564637558302"/>
    <n v="466353.61663504504"/>
    <n v="82416.378222762243"/>
    <n v="82416.378222762243"/>
  </r>
  <r>
    <x v="1"/>
    <x v="11"/>
    <x v="1"/>
    <s v="Konventionel"/>
    <x v="0"/>
    <s v="Juletræer"/>
    <n v="2314.9482294700565"/>
    <n v="115747.41147350283"/>
    <n v="0"/>
    <n v="115747.41147350283"/>
  </r>
  <r>
    <x v="1"/>
    <x v="12"/>
    <x v="1"/>
    <s v="Konventionel"/>
    <x v="0"/>
    <s v="Pil &amp; poppel"/>
    <n v="1100.3783407649707"/>
    <n v="26838.496116218797"/>
    <n v="0"/>
    <n v="26838.496116218797"/>
  </r>
  <r>
    <x v="1"/>
    <x v="13"/>
    <x v="1"/>
    <s v="Konventionel"/>
    <x v="0"/>
    <s v="Græs"/>
    <n v="35966.829083562858"/>
    <n v="495982.57306233182"/>
    <n v="0"/>
    <n v="495982.57306233182"/>
  </r>
  <r>
    <x v="1"/>
    <x v="0"/>
    <x v="2"/>
    <s v="Konventionel"/>
    <x v="0"/>
    <s v="Halm"/>
    <n v="258307.22289273364"/>
    <n v="1810733.632478063"/>
    <n v="646341.37011304451"/>
    <n v="646341.37011304451"/>
  </r>
  <r>
    <x v="1"/>
    <x v="1"/>
    <x v="2"/>
    <s v="Konventionel"/>
    <x v="0"/>
    <s v="Halm"/>
    <n v="5276.5714747282582"/>
    <n v="20367.565892451079"/>
    <n v="6612.6996269874726"/>
    <n v="6612.6996269874726"/>
  </r>
  <r>
    <x v="1"/>
    <x v="2"/>
    <x v="2"/>
    <s v="Konventionel"/>
    <x v="0"/>
    <s v="Halm"/>
    <n v="21317.445428094172"/>
    <n v="93796.759883614359"/>
    <n v="54786.687448019155"/>
    <n v="54786.687448019155"/>
  </r>
  <r>
    <x v="1"/>
    <x v="3"/>
    <x v="2"/>
    <s v="Konventionel"/>
    <x v="0"/>
    <s v="Græs"/>
    <n v="24386.060205130583"/>
    <n v="1210036.3073785796"/>
    <n v="0"/>
    <n v="1210036.3073785796"/>
  </r>
  <r>
    <x v="1"/>
    <x v="4"/>
    <x v="2"/>
    <s v="Konventionel"/>
    <x v="0"/>
    <s v="Grøntsager"/>
    <n v="3186.4575588718167"/>
    <n v="66118.994346590203"/>
    <n v="0"/>
    <n v="66118.994346590203"/>
  </r>
  <r>
    <x v="1"/>
    <x v="5"/>
    <x v="2"/>
    <s v="Konventionel"/>
    <x v="0"/>
    <s v="Kartofler"/>
    <n v="-2007.2095458849287"/>
    <n v="-85247.994840308587"/>
    <n v="0"/>
    <n v="-85247.994840308587"/>
  </r>
  <r>
    <x v="1"/>
    <x v="6"/>
    <x v="2"/>
    <s v="Konventionel"/>
    <x v="0"/>
    <s v="Roer"/>
    <n v="21249.873898290862"/>
    <n v="1726631.5448103799"/>
    <n v="0"/>
    <n v="1726631.5448103799"/>
  </r>
  <r>
    <x v="1"/>
    <x v="7"/>
    <x v="2"/>
    <s v="Konventionel"/>
    <x v="0"/>
    <s v="Majs"/>
    <n v="6010.2551167238944"/>
    <n v="267516.45524538058"/>
    <n v="0"/>
    <n v="267516.45524538058"/>
  </r>
  <r>
    <x v="1"/>
    <x v="8"/>
    <x v="2"/>
    <s v="Konventionel"/>
    <x v="0"/>
    <s v="Frugt"/>
    <n v="1398.4735652908703"/>
    <n v="11873.040569319492"/>
    <n v="0"/>
    <n v="11873.040569319492"/>
  </r>
  <r>
    <x v="1"/>
    <x v="9"/>
    <x v="2"/>
    <s v="Konventionel"/>
    <x v="0"/>
    <s v="Øvrige"/>
    <n v="5934.4496391993525"/>
    <n v="176822.52620176051"/>
    <n v="0"/>
    <n v="176822.52620176051"/>
  </r>
  <r>
    <x v="1"/>
    <x v="10"/>
    <x v="2"/>
    <s v="Konventionel"/>
    <x v="0"/>
    <s v="Halm"/>
    <n v="30895.707345533239"/>
    <n v="441464.46032639028"/>
    <n v="80205.256269004283"/>
    <n v="80205.256269004283"/>
  </r>
  <r>
    <x v="1"/>
    <x v="11"/>
    <x v="2"/>
    <s v="Konventionel"/>
    <x v="0"/>
    <s v="Juletræer"/>
    <n v="2191.4001186063351"/>
    <n v="109570.00593031675"/>
    <n v="0"/>
    <n v="109570.00593031675"/>
  </r>
  <r>
    <x v="1"/>
    <x v="12"/>
    <x v="2"/>
    <s v="Konventionel"/>
    <x v="0"/>
    <s v="Pil &amp; poppel"/>
    <n v="1041.6514701135304"/>
    <n v="25406.133417403184"/>
    <n v="0"/>
    <n v="25406.133417403184"/>
  </r>
  <r>
    <x v="1"/>
    <x v="13"/>
    <x v="2"/>
    <s v="Konventionel"/>
    <x v="0"/>
    <s v="Græs"/>
    <n v="25944.630134419032"/>
    <n v="357776.44955363846"/>
    <n v="0"/>
    <n v="357776.44955363846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1918.746829667056"/>
    <n v="196879.7782348973"/>
    <n v="68359.612199829862"/>
    <n v="68359.612199829862"/>
  </r>
  <r>
    <x v="1"/>
    <x v="1"/>
    <x v="1"/>
    <s v="Økologisk"/>
    <x v="0"/>
    <s v="Halm"/>
    <n v="869.93957610266511"/>
    <n v="1914.0410553410836"/>
    <n v="604.48009904541732"/>
    <n v="604.48009904541732"/>
  </r>
  <r>
    <x v="1"/>
    <x v="2"/>
    <x v="1"/>
    <s v="Økologisk"/>
    <x v="0"/>
    <s v="Halm"/>
    <n v="3514.5718253087812"/>
    <n v="8505.2638172472525"/>
    <n v="4832.4357430453701"/>
    <n v="4832.4357430453701"/>
  </r>
  <r>
    <x v="1"/>
    <x v="3"/>
    <x v="1"/>
    <s v="Økologisk"/>
    <x v="0"/>
    <s v="Græs"/>
    <n v="3352.5532161566757"/>
    <n v="129755.87865684152"/>
    <n v="0"/>
    <n v="129755.87865684152"/>
  </r>
  <r>
    <x v="1"/>
    <x v="4"/>
    <x v="1"/>
    <s v="Økologisk"/>
    <x v="0"/>
    <s v="Grøntsager"/>
    <n v="525.34596590048841"/>
    <n v="6213.5294116880268"/>
    <n v="0"/>
    <n v="6213.5294116880268"/>
  </r>
  <r>
    <x v="1"/>
    <x v="5"/>
    <x v="1"/>
    <s v="Økologisk"/>
    <x v="0"/>
    <s v="Kartofler"/>
    <n v="-330.92530440635869"/>
    <n v="-8011.17634141698"/>
    <n v="0"/>
    <n v="-8011.17634141698"/>
  </r>
  <r>
    <x v="1"/>
    <x v="6"/>
    <x v="1"/>
    <s v="Økologisk"/>
    <x v="0"/>
    <s v="Roer"/>
    <n v="3503.4314194078588"/>
    <n v="162260.11893934532"/>
    <n v="0"/>
    <n v="162260.11893934532"/>
  </r>
  <r>
    <x v="1"/>
    <x v="7"/>
    <x v="1"/>
    <s v="Økologisk"/>
    <x v="0"/>
    <s v="Majs"/>
    <n v="990.90077971149412"/>
    <n v="36607.144775115645"/>
    <n v="0"/>
    <n v="36607.144775115645"/>
  </r>
  <r>
    <x v="1"/>
    <x v="8"/>
    <x v="1"/>
    <s v="Økologisk"/>
    <x v="0"/>
    <s v="Frugt"/>
    <n v="230.56401422906458"/>
    <n v="1115.7684340587123"/>
    <n v="0"/>
    <n v="1115.7684340587123"/>
  </r>
  <r>
    <x v="1"/>
    <x v="9"/>
    <x v="1"/>
    <s v="Økologisk"/>
    <x v="0"/>
    <s v="Øvrige"/>
    <n v="978.40285652409761"/>
    <n v="16616.888657506872"/>
    <n v="0"/>
    <n v="16616.888657506872"/>
  </r>
  <r>
    <x v="1"/>
    <x v="10"/>
    <x v="1"/>
    <s v="Økologisk"/>
    <x v="0"/>
    <s v="Halm"/>
    <n v="5093.7239607749952"/>
    <n v="41486.602081001991"/>
    <n v="7331.7228950769395"/>
    <n v="7331.7228950769395"/>
  </r>
  <r>
    <x v="1"/>
    <x v="11"/>
    <x v="1"/>
    <s v="Økologisk"/>
    <x v="0"/>
    <s v="Juletræer"/>
    <n v="361.29249824099151"/>
    <n v="10296.836199868258"/>
    <n v="0"/>
    <n v="10296.836199868258"/>
  </r>
  <r>
    <x v="1"/>
    <x v="12"/>
    <x v="1"/>
    <s v="Økologisk"/>
    <x v="0"/>
    <s v="Pil &amp; poppel"/>
    <n v="171.73534798066015"/>
    <n v="2387.5402036335681"/>
    <n v="0"/>
    <n v="2387.5402036335681"/>
  </r>
  <r>
    <x v="1"/>
    <x v="13"/>
    <x v="1"/>
    <s v="Økologisk"/>
    <x v="0"/>
    <s v="Græs"/>
    <n v="5613.320145989579"/>
    <n v="77407.684813196291"/>
    <n v="0"/>
    <n v="77407.684813196291"/>
  </r>
  <r>
    <x v="1"/>
    <x v="0"/>
    <x v="2"/>
    <s v="Økologisk"/>
    <x v="0"/>
    <s v="Halm"/>
    <n v="54792.441219670778"/>
    <n v="257343.65867642776"/>
    <n v="91858.818964550897"/>
    <n v="91858.818964550897"/>
  </r>
  <r>
    <x v="1"/>
    <x v="1"/>
    <x v="2"/>
    <s v="Økologisk"/>
    <x v="0"/>
    <s v="Halm"/>
    <n v="1119.27273706357"/>
    <n v="2462.623876087267"/>
    <n v="799.53550035393982"/>
    <n v="799.53550035393982"/>
  </r>
  <r>
    <x v="1"/>
    <x v="2"/>
    <x v="2"/>
    <s v="Økologisk"/>
    <x v="0"/>
    <s v="Halm"/>
    <n v="4521.8823635351273"/>
    <n v="10942.95531975501"/>
    <n v="6391.780202268902"/>
    <n v="6391.780202268902"/>
  </r>
  <r>
    <x v="1"/>
    <x v="3"/>
    <x v="2"/>
    <s v="Økologisk"/>
    <x v="0"/>
    <s v="Græs"/>
    <n v="5172.8006495731543"/>
    <n v="200206.00722081953"/>
    <n v="0"/>
    <n v="200206.00722081953"/>
  </r>
  <r>
    <x v="1"/>
    <x v="4"/>
    <x v="2"/>
    <s v="Økologisk"/>
    <x v="0"/>
    <s v="Grøntsager"/>
    <n v="675.91523976068834"/>
    <n v="7994.3874982695415"/>
    <n v="0"/>
    <n v="7994.3874982695415"/>
  </r>
  <r>
    <x v="1"/>
    <x v="5"/>
    <x v="2"/>
    <s v="Økologisk"/>
    <x v="0"/>
    <s v="Kartofler"/>
    <n v="-425.77172185437882"/>
    <n v="-10307.257557964584"/>
    <n v="0"/>
    <n v="-10307.257557964584"/>
  </r>
  <r>
    <x v="1"/>
    <x v="6"/>
    <x v="2"/>
    <s v="Økologisk"/>
    <x v="0"/>
    <s v="Roer"/>
    <n v="4507.5490087283642"/>
    <n v="208765.45041798227"/>
    <n v="0"/>
    <n v="208765.45041798227"/>
  </r>
  <r>
    <x v="1"/>
    <x v="7"/>
    <x v="2"/>
    <s v="Økologisk"/>
    <x v="0"/>
    <s v="Majs"/>
    <n v="1274.9026005171897"/>
    <n v="47099.109241686703"/>
    <n v="0"/>
    <n v="47099.109241686703"/>
  </r>
  <r>
    <x v="1"/>
    <x v="8"/>
    <x v="2"/>
    <s v="Økologisk"/>
    <x v="0"/>
    <s v="Frugt"/>
    <n v="296.64590778897252"/>
    <n v="1435.5585415631747"/>
    <n v="0"/>
    <n v="1435.5585415631747"/>
  </r>
  <r>
    <x v="1"/>
    <x v="9"/>
    <x v="2"/>
    <s v="Økologisk"/>
    <x v="0"/>
    <s v="Øvrige"/>
    <n v="1258.8226507392565"/>
    <n v="21379.450895303766"/>
    <n v="0"/>
    <n v="21379.450895303766"/>
  </r>
  <r>
    <x v="1"/>
    <x v="10"/>
    <x v="2"/>
    <s v="Økologisk"/>
    <x v="0"/>
    <s v="Halm"/>
    <n v="6553.6348914767477"/>
    <n v="53377.066566736263"/>
    <n v="9697.5446216159708"/>
    <n v="9697.5446216159708"/>
  </r>
  <r>
    <x v="1"/>
    <x v="11"/>
    <x v="2"/>
    <s v="Økologisk"/>
    <x v="0"/>
    <s v="Juletræer"/>
    <n v="464.84244940134386"/>
    <n v="13248.009807938301"/>
    <n v="0"/>
    <n v="13248.009807938301"/>
  </r>
  <r>
    <x v="1"/>
    <x v="12"/>
    <x v="2"/>
    <s v="Økologisk"/>
    <x v="0"/>
    <s v="Pil &amp; poppel"/>
    <n v="220.95637244832463"/>
    <n v="3071.8324950132937"/>
    <n v="0"/>
    <n v="3071.8324950132937"/>
  </r>
  <r>
    <x v="1"/>
    <x v="13"/>
    <x v="2"/>
    <s v="Økologisk"/>
    <x v="0"/>
    <s v="Græs"/>
    <n v="5503.4063921494917"/>
    <n v="75891.974147741494"/>
    <n v="0"/>
    <n v="75891.974147741494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Korn"/>
    <n v="0"/>
    <n v="0"/>
    <n v="0"/>
    <n v="0"/>
  </r>
  <r>
    <x v="1"/>
    <x v="1"/>
    <x v="1"/>
    <s v="Konventionel"/>
    <x v="1"/>
    <s v="Bælgsæd"/>
    <n v="0"/>
    <n v="0"/>
    <n v="0"/>
    <n v="0"/>
  </r>
  <r>
    <x v="1"/>
    <x v="2"/>
    <x v="1"/>
    <s v="Konventionel"/>
    <x v="1"/>
    <s v="Raps"/>
    <n v="0"/>
    <n v="0"/>
    <n v="0"/>
    <n v="0"/>
  </r>
  <r>
    <x v="1"/>
    <x v="3"/>
    <x v="1"/>
    <s v="Konventionel"/>
    <x v="1"/>
    <s v="Græs"/>
    <n v="0"/>
    <n v="0"/>
    <n v="0"/>
    <n v="0"/>
  </r>
  <r>
    <x v="1"/>
    <x v="4"/>
    <x v="1"/>
    <s v="Konventionel"/>
    <x v="1"/>
    <s v="Grøntsager"/>
    <n v="0"/>
    <n v="0"/>
    <n v="0"/>
    <n v="0"/>
  </r>
  <r>
    <x v="1"/>
    <x v="5"/>
    <x v="1"/>
    <s v="Konventionel"/>
    <x v="1"/>
    <s v="Kartofler"/>
    <n v="0"/>
    <n v="0"/>
    <n v="0"/>
    <n v="0"/>
  </r>
  <r>
    <x v="1"/>
    <x v="6"/>
    <x v="1"/>
    <s v="Konventionel"/>
    <x v="1"/>
    <s v="Roer"/>
    <n v="0"/>
    <n v="0"/>
    <n v="0"/>
    <n v="0"/>
  </r>
  <r>
    <x v="1"/>
    <x v="7"/>
    <x v="1"/>
    <s v="Konventionel"/>
    <x v="1"/>
    <s v="Majs"/>
    <n v="0"/>
    <n v="0"/>
    <n v="0"/>
    <n v="0"/>
  </r>
  <r>
    <x v="1"/>
    <x v="8"/>
    <x v="1"/>
    <s v="Konventionel"/>
    <x v="1"/>
    <s v="Frugt"/>
    <n v="0"/>
    <n v="0"/>
    <n v="0"/>
    <n v="0"/>
  </r>
  <r>
    <x v="1"/>
    <x v="9"/>
    <x v="1"/>
    <s v="Konventionel"/>
    <x v="1"/>
    <s v="Øvrige"/>
    <n v="0"/>
    <n v="0"/>
    <n v="0"/>
    <n v="0"/>
  </r>
  <r>
    <x v="1"/>
    <x v="10"/>
    <x v="1"/>
    <s v="Konventionel"/>
    <x v="1"/>
    <s v="Frø"/>
    <n v="0"/>
    <n v="0"/>
    <n v="0"/>
    <n v="0"/>
  </r>
  <r>
    <x v="1"/>
    <x v="11"/>
    <x v="1"/>
    <s v="Konventionel"/>
    <x v="1"/>
    <s v="Juletræer"/>
    <n v="0"/>
    <n v="0"/>
    <n v="0"/>
    <n v="0"/>
  </r>
  <r>
    <x v="1"/>
    <x v="12"/>
    <x v="1"/>
    <s v="Konventionel"/>
    <x v="1"/>
    <s v="Pil &amp; poppel"/>
    <n v="0"/>
    <n v="0"/>
    <n v="0"/>
    <n v="0"/>
  </r>
  <r>
    <x v="1"/>
    <x v="13"/>
    <x v="1"/>
    <s v="Konventionel"/>
    <x v="1"/>
    <s v="Græs"/>
    <n v="0"/>
    <n v="0"/>
    <n v="0"/>
    <n v="0"/>
  </r>
  <r>
    <x v="1"/>
    <x v="0"/>
    <x v="2"/>
    <s v="Konventionel"/>
    <x v="1"/>
    <s v="Korn"/>
    <n v="0"/>
    <n v="0"/>
    <n v="0"/>
    <n v="0"/>
  </r>
  <r>
    <x v="1"/>
    <x v="1"/>
    <x v="2"/>
    <s v="Konventionel"/>
    <x v="1"/>
    <s v="Bælgsæd"/>
    <n v="0"/>
    <n v="0"/>
    <n v="0"/>
    <n v="0"/>
  </r>
  <r>
    <x v="1"/>
    <x v="2"/>
    <x v="2"/>
    <s v="Konventionel"/>
    <x v="1"/>
    <s v="Raps"/>
    <n v="0"/>
    <n v="0"/>
    <n v="0"/>
    <n v="0"/>
  </r>
  <r>
    <x v="1"/>
    <x v="3"/>
    <x v="2"/>
    <s v="Konventionel"/>
    <x v="1"/>
    <s v="Græs"/>
    <n v="0"/>
    <n v="0"/>
    <n v="0"/>
    <n v="0"/>
  </r>
  <r>
    <x v="1"/>
    <x v="4"/>
    <x v="2"/>
    <s v="Konventionel"/>
    <x v="1"/>
    <s v="Grøntsager"/>
    <n v="0"/>
    <n v="0"/>
    <n v="0"/>
    <n v="0"/>
  </r>
  <r>
    <x v="1"/>
    <x v="5"/>
    <x v="2"/>
    <s v="Konventionel"/>
    <x v="1"/>
    <s v="Kartofler"/>
    <n v="0"/>
    <n v="0"/>
    <n v="0"/>
    <n v="0"/>
  </r>
  <r>
    <x v="1"/>
    <x v="6"/>
    <x v="2"/>
    <s v="Konventionel"/>
    <x v="1"/>
    <s v="Roer"/>
    <n v="0"/>
    <n v="0"/>
    <n v="0"/>
    <n v="0"/>
  </r>
  <r>
    <x v="1"/>
    <x v="7"/>
    <x v="2"/>
    <s v="Konventionel"/>
    <x v="1"/>
    <s v="Majs"/>
    <n v="0"/>
    <n v="0"/>
    <n v="0"/>
    <n v="0"/>
  </r>
  <r>
    <x v="1"/>
    <x v="8"/>
    <x v="2"/>
    <s v="Konventionel"/>
    <x v="1"/>
    <s v="Frugt"/>
    <n v="0"/>
    <n v="0"/>
    <n v="0"/>
    <n v="0"/>
  </r>
  <r>
    <x v="1"/>
    <x v="9"/>
    <x v="2"/>
    <s v="Konventionel"/>
    <x v="1"/>
    <s v="Øvrige"/>
    <n v="0"/>
    <n v="0"/>
    <n v="0"/>
    <n v="0"/>
  </r>
  <r>
    <x v="1"/>
    <x v="10"/>
    <x v="2"/>
    <s v="Konventionel"/>
    <x v="1"/>
    <s v="Frø"/>
    <n v="0"/>
    <n v="0"/>
    <n v="0"/>
    <n v="0"/>
  </r>
  <r>
    <x v="1"/>
    <x v="11"/>
    <x v="2"/>
    <s v="Konventionel"/>
    <x v="1"/>
    <s v="Juletræer"/>
    <n v="0"/>
    <n v="0"/>
    <n v="0"/>
    <n v="0"/>
  </r>
  <r>
    <x v="1"/>
    <x v="12"/>
    <x v="2"/>
    <s v="Konventionel"/>
    <x v="1"/>
    <s v="Pil &amp; poppel"/>
    <n v="0"/>
    <n v="0"/>
    <n v="0"/>
    <n v="0"/>
  </r>
  <r>
    <x v="1"/>
    <x v="13"/>
    <x v="2"/>
    <s v="Konventionel"/>
    <x v="1"/>
    <s v="Græs"/>
    <n v="0"/>
    <n v="0"/>
    <n v="0"/>
    <n v="0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Korn"/>
    <n v="0"/>
    <n v="0"/>
    <n v="0"/>
    <n v="0"/>
  </r>
  <r>
    <x v="1"/>
    <x v="1"/>
    <x v="1"/>
    <s v="Økologisk"/>
    <x v="1"/>
    <s v="Bælgsæd"/>
    <n v="0"/>
    <n v="0"/>
    <n v="0"/>
    <n v="0"/>
  </r>
  <r>
    <x v="1"/>
    <x v="2"/>
    <x v="1"/>
    <s v="Økologisk"/>
    <x v="1"/>
    <s v="Raps"/>
    <n v="0"/>
    <n v="0"/>
    <n v="0"/>
    <n v="0"/>
  </r>
  <r>
    <x v="1"/>
    <x v="3"/>
    <x v="1"/>
    <s v="Økologisk"/>
    <x v="1"/>
    <s v="Græs"/>
    <n v="0"/>
    <n v="0"/>
    <n v="0"/>
    <n v="0"/>
  </r>
  <r>
    <x v="1"/>
    <x v="4"/>
    <x v="1"/>
    <s v="Økologisk"/>
    <x v="1"/>
    <s v="Grøntsager"/>
    <n v="0"/>
    <n v="0"/>
    <n v="0"/>
    <n v="0"/>
  </r>
  <r>
    <x v="1"/>
    <x v="5"/>
    <x v="1"/>
    <s v="Økologisk"/>
    <x v="1"/>
    <s v="Kartofler"/>
    <n v="0"/>
    <n v="0"/>
    <n v="0"/>
    <n v="0"/>
  </r>
  <r>
    <x v="1"/>
    <x v="6"/>
    <x v="1"/>
    <s v="Økologisk"/>
    <x v="1"/>
    <s v="Roer"/>
    <n v="0"/>
    <n v="0"/>
    <n v="0"/>
    <n v="0"/>
  </r>
  <r>
    <x v="1"/>
    <x v="7"/>
    <x v="1"/>
    <s v="Økologisk"/>
    <x v="1"/>
    <s v="Majs"/>
    <n v="0"/>
    <n v="0"/>
    <n v="0"/>
    <n v="0"/>
  </r>
  <r>
    <x v="1"/>
    <x v="8"/>
    <x v="1"/>
    <s v="Økologisk"/>
    <x v="1"/>
    <s v="Frugt"/>
    <n v="0"/>
    <n v="0"/>
    <n v="0"/>
    <n v="0"/>
  </r>
  <r>
    <x v="1"/>
    <x v="9"/>
    <x v="1"/>
    <s v="Økologisk"/>
    <x v="1"/>
    <s v="Øvrige"/>
    <n v="0"/>
    <n v="0"/>
    <n v="0"/>
    <n v="0"/>
  </r>
  <r>
    <x v="1"/>
    <x v="10"/>
    <x v="1"/>
    <s v="Økologisk"/>
    <x v="1"/>
    <s v="Frø"/>
    <n v="0"/>
    <n v="0"/>
    <n v="0"/>
    <n v="0"/>
  </r>
  <r>
    <x v="1"/>
    <x v="11"/>
    <x v="1"/>
    <s v="Økologisk"/>
    <x v="1"/>
    <s v="Juletræer"/>
    <n v="0"/>
    <n v="0"/>
    <n v="0"/>
    <n v="0"/>
  </r>
  <r>
    <x v="1"/>
    <x v="12"/>
    <x v="1"/>
    <s v="Økologisk"/>
    <x v="1"/>
    <s v="Pil &amp; poppel"/>
    <n v="0"/>
    <n v="0"/>
    <n v="0"/>
    <n v="0"/>
  </r>
  <r>
    <x v="1"/>
    <x v="13"/>
    <x v="1"/>
    <s v="Økologisk"/>
    <x v="1"/>
    <s v="Græs"/>
    <n v="0"/>
    <n v="0"/>
    <n v="0"/>
    <n v="0"/>
  </r>
  <r>
    <x v="1"/>
    <x v="0"/>
    <x v="2"/>
    <s v="Økologisk"/>
    <x v="1"/>
    <s v="Korn"/>
    <n v="0"/>
    <n v="0"/>
    <n v="0"/>
    <n v="0"/>
  </r>
  <r>
    <x v="1"/>
    <x v="1"/>
    <x v="2"/>
    <s v="Økologisk"/>
    <x v="1"/>
    <s v="Bælgsæd"/>
    <n v="0"/>
    <n v="0"/>
    <n v="0"/>
    <n v="0"/>
  </r>
  <r>
    <x v="1"/>
    <x v="2"/>
    <x v="2"/>
    <s v="Økologisk"/>
    <x v="1"/>
    <s v="Raps"/>
    <n v="0"/>
    <n v="0"/>
    <n v="0"/>
    <n v="0"/>
  </r>
  <r>
    <x v="1"/>
    <x v="3"/>
    <x v="2"/>
    <s v="Økologisk"/>
    <x v="1"/>
    <s v="Græs"/>
    <n v="0"/>
    <n v="0"/>
    <n v="0"/>
    <n v="0"/>
  </r>
  <r>
    <x v="1"/>
    <x v="4"/>
    <x v="2"/>
    <s v="Økologisk"/>
    <x v="1"/>
    <s v="Grøntsager"/>
    <n v="0"/>
    <n v="0"/>
    <n v="0"/>
    <n v="0"/>
  </r>
  <r>
    <x v="1"/>
    <x v="5"/>
    <x v="2"/>
    <s v="Økologisk"/>
    <x v="1"/>
    <s v="Kartofler"/>
    <n v="0"/>
    <n v="0"/>
    <n v="0"/>
    <n v="0"/>
  </r>
  <r>
    <x v="1"/>
    <x v="6"/>
    <x v="2"/>
    <s v="Økologisk"/>
    <x v="1"/>
    <s v="Roer"/>
    <n v="0"/>
    <n v="0"/>
    <n v="0"/>
    <n v="0"/>
  </r>
  <r>
    <x v="1"/>
    <x v="7"/>
    <x v="2"/>
    <s v="Økologisk"/>
    <x v="1"/>
    <s v="Majs"/>
    <n v="0"/>
    <n v="0"/>
    <n v="0"/>
    <n v="0"/>
  </r>
  <r>
    <x v="1"/>
    <x v="8"/>
    <x v="2"/>
    <s v="Økologisk"/>
    <x v="1"/>
    <s v="Frugt"/>
    <n v="0"/>
    <n v="0"/>
    <n v="0"/>
    <n v="0"/>
  </r>
  <r>
    <x v="1"/>
    <x v="9"/>
    <x v="2"/>
    <s v="Økologisk"/>
    <x v="1"/>
    <s v="Øvrige"/>
    <n v="0"/>
    <n v="0"/>
    <n v="0"/>
    <n v="0"/>
  </r>
  <r>
    <x v="1"/>
    <x v="10"/>
    <x v="2"/>
    <s v="Økologisk"/>
    <x v="1"/>
    <s v="Frø"/>
    <n v="0"/>
    <n v="0"/>
    <n v="0"/>
    <n v="0"/>
  </r>
  <r>
    <x v="1"/>
    <x v="11"/>
    <x v="2"/>
    <s v="Økologisk"/>
    <x v="1"/>
    <s v="Juletræer"/>
    <n v="0"/>
    <n v="0"/>
    <n v="0"/>
    <n v="0"/>
  </r>
  <r>
    <x v="1"/>
    <x v="12"/>
    <x v="2"/>
    <s v="Økologisk"/>
    <x v="1"/>
    <s v="Pil &amp; poppel"/>
    <n v="0"/>
    <n v="0"/>
    <n v="0"/>
    <n v="0"/>
  </r>
  <r>
    <x v="1"/>
    <x v="13"/>
    <x v="2"/>
    <s v="Økologisk"/>
    <x v="1"/>
    <s v="Græs"/>
    <n v="0"/>
    <n v="0"/>
    <n v="0"/>
    <n v="0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Korn"/>
    <n v="0"/>
    <n v="0"/>
    <n v="0"/>
    <n v="0"/>
  </r>
  <r>
    <x v="1"/>
    <x v="1"/>
    <x v="1"/>
    <s v="Konventionel"/>
    <x v="2"/>
    <s v="Bælgsæd"/>
    <n v="0"/>
    <n v="0"/>
    <n v="0"/>
    <n v="0"/>
  </r>
  <r>
    <x v="1"/>
    <x v="2"/>
    <x v="1"/>
    <s v="Konventionel"/>
    <x v="2"/>
    <s v="Raps"/>
    <n v="0"/>
    <n v="0"/>
    <n v="0"/>
    <n v="0"/>
  </r>
  <r>
    <x v="1"/>
    <x v="3"/>
    <x v="1"/>
    <s v="Konventionel"/>
    <x v="2"/>
    <s v="Græs"/>
    <n v="0"/>
    <n v="0"/>
    <n v="0"/>
    <n v="0"/>
  </r>
  <r>
    <x v="1"/>
    <x v="4"/>
    <x v="1"/>
    <s v="Konventionel"/>
    <x v="2"/>
    <s v="Grøntsager"/>
    <n v="0"/>
    <n v="0"/>
    <n v="0"/>
    <n v="0"/>
  </r>
  <r>
    <x v="1"/>
    <x v="5"/>
    <x v="1"/>
    <s v="Konventionel"/>
    <x v="2"/>
    <s v="Kartofler"/>
    <n v="0"/>
    <n v="0"/>
    <n v="0"/>
    <n v="0"/>
  </r>
  <r>
    <x v="1"/>
    <x v="6"/>
    <x v="1"/>
    <s v="Konventionel"/>
    <x v="2"/>
    <s v="Roer"/>
    <n v="0"/>
    <n v="0"/>
    <n v="0"/>
    <n v="0"/>
  </r>
  <r>
    <x v="1"/>
    <x v="7"/>
    <x v="1"/>
    <s v="Konventionel"/>
    <x v="2"/>
    <s v="Majs"/>
    <n v="0"/>
    <n v="0"/>
    <n v="0"/>
    <n v="0"/>
  </r>
  <r>
    <x v="1"/>
    <x v="8"/>
    <x v="1"/>
    <s v="Konventionel"/>
    <x v="2"/>
    <s v="Frugt"/>
    <n v="0"/>
    <n v="0"/>
    <n v="0"/>
    <n v="0"/>
  </r>
  <r>
    <x v="1"/>
    <x v="9"/>
    <x v="1"/>
    <s v="Konventionel"/>
    <x v="2"/>
    <s v="Øvrige"/>
    <n v="0"/>
    <n v="0"/>
    <n v="0"/>
    <n v="0"/>
  </r>
  <r>
    <x v="1"/>
    <x v="10"/>
    <x v="1"/>
    <s v="Konventionel"/>
    <x v="2"/>
    <s v="Frø"/>
    <n v="0"/>
    <n v="0"/>
    <n v="0"/>
    <n v="0"/>
  </r>
  <r>
    <x v="1"/>
    <x v="11"/>
    <x v="1"/>
    <s v="Konventionel"/>
    <x v="2"/>
    <s v="Juletræer"/>
    <n v="0"/>
    <n v="0"/>
    <n v="0"/>
    <n v="0"/>
  </r>
  <r>
    <x v="1"/>
    <x v="12"/>
    <x v="1"/>
    <s v="Konventionel"/>
    <x v="2"/>
    <s v="Pil &amp; poppel"/>
    <n v="0"/>
    <n v="0"/>
    <n v="0"/>
    <n v="0"/>
  </r>
  <r>
    <x v="1"/>
    <x v="13"/>
    <x v="1"/>
    <s v="Konventionel"/>
    <x v="2"/>
    <s v="Græs"/>
    <n v="0"/>
    <n v="0"/>
    <n v="0"/>
    <n v="0"/>
  </r>
  <r>
    <x v="1"/>
    <x v="0"/>
    <x v="2"/>
    <s v="Konventionel"/>
    <x v="2"/>
    <s v="Korn"/>
    <n v="0"/>
    <n v="0"/>
    <n v="0"/>
    <n v="0"/>
  </r>
  <r>
    <x v="1"/>
    <x v="1"/>
    <x v="2"/>
    <s v="Konventionel"/>
    <x v="2"/>
    <s v="Bælgsæd"/>
    <n v="0"/>
    <n v="0"/>
    <n v="0"/>
    <n v="0"/>
  </r>
  <r>
    <x v="1"/>
    <x v="2"/>
    <x v="2"/>
    <s v="Konventionel"/>
    <x v="2"/>
    <s v="Raps"/>
    <n v="0"/>
    <n v="0"/>
    <n v="0"/>
    <n v="0"/>
  </r>
  <r>
    <x v="1"/>
    <x v="3"/>
    <x v="2"/>
    <s v="Konventionel"/>
    <x v="2"/>
    <s v="Græs"/>
    <n v="0"/>
    <n v="0"/>
    <n v="0"/>
    <n v="0"/>
  </r>
  <r>
    <x v="1"/>
    <x v="4"/>
    <x v="2"/>
    <s v="Konventionel"/>
    <x v="2"/>
    <s v="Grøntsager"/>
    <n v="0"/>
    <n v="0"/>
    <n v="0"/>
    <n v="0"/>
  </r>
  <r>
    <x v="1"/>
    <x v="5"/>
    <x v="2"/>
    <s v="Konventionel"/>
    <x v="2"/>
    <s v="Kartofler"/>
    <n v="0"/>
    <n v="0"/>
    <n v="0"/>
    <n v="0"/>
  </r>
  <r>
    <x v="1"/>
    <x v="6"/>
    <x v="2"/>
    <s v="Konventionel"/>
    <x v="2"/>
    <s v="Roer"/>
    <n v="0"/>
    <n v="0"/>
    <n v="0"/>
    <n v="0"/>
  </r>
  <r>
    <x v="1"/>
    <x v="7"/>
    <x v="2"/>
    <s v="Konventionel"/>
    <x v="2"/>
    <s v="Majs"/>
    <n v="0"/>
    <n v="0"/>
    <n v="0"/>
    <n v="0"/>
  </r>
  <r>
    <x v="1"/>
    <x v="8"/>
    <x v="2"/>
    <s v="Konventionel"/>
    <x v="2"/>
    <s v="Frugt"/>
    <n v="0"/>
    <n v="0"/>
    <n v="0"/>
    <n v="0"/>
  </r>
  <r>
    <x v="1"/>
    <x v="9"/>
    <x v="2"/>
    <s v="Konventionel"/>
    <x v="2"/>
    <s v="Øvrige"/>
    <n v="0"/>
    <n v="0"/>
    <n v="0"/>
    <n v="0"/>
  </r>
  <r>
    <x v="1"/>
    <x v="10"/>
    <x v="2"/>
    <s v="Konventionel"/>
    <x v="2"/>
    <s v="Frø"/>
    <n v="0"/>
    <n v="0"/>
    <n v="0"/>
    <n v="0"/>
  </r>
  <r>
    <x v="1"/>
    <x v="11"/>
    <x v="2"/>
    <s v="Konventionel"/>
    <x v="2"/>
    <s v="Juletræer"/>
    <n v="0"/>
    <n v="0"/>
    <n v="0"/>
    <n v="0"/>
  </r>
  <r>
    <x v="1"/>
    <x v="12"/>
    <x v="2"/>
    <s v="Konventionel"/>
    <x v="2"/>
    <s v="Pil &amp; poppel"/>
    <n v="0"/>
    <n v="0"/>
    <n v="0"/>
    <n v="0"/>
  </r>
  <r>
    <x v="1"/>
    <x v="13"/>
    <x v="2"/>
    <s v="Konventionel"/>
    <x v="2"/>
    <s v="Græs"/>
    <n v="0"/>
    <n v="0"/>
    <n v="0"/>
    <n v="0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Korn"/>
    <n v="0"/>
    <n v="0"/>
    <n v="0"/>
    <n v="0"/>
  </r>
  <r>
    <x v="1"/>
    <x v="1"/>
    <x v="1"/>
    <s v="Økologisk"/>
    <x v="2"/>
    <s v="Bælgsæd"/>
    <n v="0"/>
    <n v="0"/>
    <n v="0"/>
    <n v="0"/>
  </r>
  <r>
    <x v="1"/>
    <x v="2"/>
    <x v="1"/>
    <s v="Økologisk"/>
    <x v="2"/>
    <s v="Raps"/>
    <n v="0"/>
    <n v="0"/>
    <n v="0"/>
    <n v="0"/>
  </r>
  <r>
    <x v="1"/>
    <x v="3"/>
    <x v="1"/>
    <s v="Økologisk"/>
    <x v="2"/>
    <s v="Græs"/>
    <n v="0"/>
    <n v="0"/>
    <n v="0"/>
    <n v="0"/>
  </r>
  <r>
    <x v="1"/>
    <x v="4"/>
    <x v="1"/>
    <s v="Økologisk"/>
    <x v="2"/>
    <s v="Grøntsager"/>
    <n v="0"/>
    <n v="0"/>
    <n v="0"/>
    <n v="0"/>
  </r>
  <r>
    <x v="1"/>
    <x v="5"/>
    <x v="1"/>
    <s v="Økologisk"/>
    <x v="2"/>
    <s v="Kartofler"/>
    <n v="0"/>
    <n v="0"/>
    <n v="0"/>
    <n v="0"/>
  </r>
  <r>
    <x v="1"/>
    <x v="6"/>
    <x v="1"/>
    <s v="Økologisk"/>
    <x v="2"/>
    <s v="Roer"/>
    <n v="0"/>
    <n v="0"/>
    <n v="0"/>
    <n v="0"/>
  </r>
  <r>
    <x v="1"/>
    <x v="7"/>
    <x v="1"/>
    <s v="Økologisk"/>
    <x v="2"/>
    <s v="Majs"/>
    <n v="0"/>
    <n v="0"/>
    <n v="0"/>
    <n v="0"/>
  </r>
  <r>
    <x v="1"/>
    <x v="8"/>
    <x v="1"/>
    <s v="Økologisk"/>
    <x v="2"/>
    <s v="Frugt"/>
    <n v="0"/>
    <n v="0"/>
    <n v="0"/>
    <n v="0"/>
  </r>
  <r>
    <x v="1"/>
    <x v="9"/>
    <x v="1"/>
    <s v="Økologisk"/>
    <x v="2"/>
    <s v="Øvrige"/>
    <n v="0"/>
    <n v="0"/>
    <n v="0"/>
    <n v="0"/>
  </r>
  <r>
    <x v="1"/>
    <x v="10"/>
    <x v="1"/>
    <s v="Økologisk"/>
    <x v="2"/>
    <s v="Frø"/>
    <n v="0"/>
    <n v="0"/>
    <n v="0"/>
    <n v="0"/>
  </r>
  <r>
    <x v="1"/>
    <x v="11"/>
    <x v="1"/>
    <s v="Økologisk"/>
    <x v="2"/>
    <s v="Juletræer"/>
    <n v="0"/>
    <n v="0"/>
    <n v="0"/>
    <n v="0"/>
  </r>
  <r>
    <x v="1"/>
    <x v="12"/>
    <x v="1"/>
    <s v="Økologisk"/>
    <x v="2"/>
    <s v="Pil &amp; poppel"/>
    <n v="0"/>
    <n v="0"/>
    <n v="0"/>
    <n v="0"/>
  </r>
  <r>
    <x v="1"/>
    <x v="13"/>
    <x v="1"/>
    <s v="Økologisk"/>
    <x v="2"/>
    <s v="Græs"/>
    <n v="0"/>
    <n v="0"/>
    <n v="0"/>
    <n v="0"/>
  </r>
  <r>
    <x v="1"/>
    <x v="0"/>
    <x v="2"/>
    <s v="Økologisk"/>
    <x v="2"/>
    <s v="Korn"/>
    <n v="0"/>
    <n v="0"/>
    <n v="0"/>
    <n v="0"/>
  </r>
  <r>
    <x v="1"/>
    <x v="1"/>
    <x v="2"/>
    <s v="Økologisk"/>
    <x v="2"/>
    <s v="Bælgsæd"/>
    <n v="0"/>
    <n v="0"/>
    <n v="0"/>
    <n v="0"/>
  </r>
  <r>
    <x v="1"/>
    <x v="2"/>
    <x v="2"/>
    <s v="Økologisk"/>
    <x v="2"/>
    <s v="Raps"/>
    <n v="0"/>
    <n v="0"/>
    <n v="0"/>
    <n v="0"/>
  </r>
  <r>
    <x v="1"/>
    <x v="3"/>
    <x v="2"/>
    <s v="Økologisk"/>
    <x v="2"/>
    <s v="Græs"/>
    <n v="0"/>
    <n v="0"/>
    <n v="0"/>
    <n v="0"/>
  </r>
  <r>
    <x v="1"/>
    <x v="4"/>
    <x v="2"/>
    <s v="Økologisk"/>
    <x v="2"/>
    <s v="Grøntsager"/>
    <n v="0"/>
    <n v="0"/>
    <n v="0"/>
    <n v="0"/>
  </r>
  <r>
    <x v="1"/>
    <x v="5"/>
    <x v="2"/>
    <s v="Økologisk"/>
    <x v="2"/>
    <s v="Kartofler"/>
    <n v="0"/>
    <n v="0"/>
    <n v="0"/>
    <n v="0"/>
  </r>
  <r>
    <x v="1"/>
    <x v="6"/>
    <x v="2"/>
    <s v="Økologisk"/>
    <x v="2"/>
    <s v="Roer"/>
    <n v="0"/>
    <n v="0"/>
    <n v="0"/>
    <n v="0"/>
  </r>
  <r>
    <x v="1"/>
    <x v="7"/>
    <x v="2"/>
    <s v="Økologisk"/>
    <x v="2"/>
    <s v="Majs"/>
    <n v="0"/>
    <n v="0"/>
    <n v="0"/>
    <n v="0"/>
  </r>
  <r>
    <x v="1"/>
    <x v="8"/>
    <x v="2"/>
    <s v="Økologisk"/>
    <x v="2"/>
    <s v="Frugt"/>
    <n v="0"/>
    <n v="0"/>
    <n v="0"/>
    <n v="0"/>
  </r>
  <r>
    <x v="1"/>
    <x v="9"/>
    <x v="2"/>
    <s v="Økologisk"/>
    <x v="2"/>
    <s v="Øvrige"/>
    <n v="0"/>
    <n v="0"/>
    <n v="0"/>
    <n v="0"/>
  </r>
  <r>
    <x v="1"/>
    <x v="10"/>
    <x v="2"/>
    <s v="Økologisk"/>
    <x v="2"/>
    <s v="Frø"/>
    <n v="0"/>
    <n v="0"/>
    <n v="0"/>
    <n v="0"/>
  </r>
  <r>
    <x v="1"/>
    <x v="11"/>
    <x v="2"/>
    <s v="Økologisk"/>
    <x v="2"/>
    <s v="Juletræer"/>
    <n v="0"/>
    <n v="0"/>
    <n v="0"/>
    <n v="0"/>
  </r>
  <r>
    <x v="1"/>
    <x v="12"/>
    <x v="2"/>
    <s v="Økologisk"/>
    <x v="2"/>
    <s v="Pil &amp; poppel"/>
    <n v="0"/>
    <n v="0"/>
    <n v="0"/>
    <n v="0"/>
  </r>
  <r>
    <x v="1"/>
    <x v="13"/>
    <x v="2"/>
    <s v="Økologisk"/>
    <x v="2"/>
    <s v="Græs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155146.779166311"/>
    <n v="0"/>
    <n v="0"/>
    <n v="0"/>
    <n v="155146.779166311"/>
    <n v="0"/>
    <n v="5.4301372708208842"/>
    <n v="0"/>
    <n v="5.4301372708208842"/>
    <n v="0"/>
    <n v="141183.569041343"/>
    <n v="0"/>
    <n v="141183.569041343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184407.26877936258"/>
    <n v="64498.475475191975"/>
    <n v="0"/>
    <n v="0"/>
    <n v="0"/>
    <n v="0"/>
    <n v="0"/>
    <n v="0"/>
    <n v="119908.7933041706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38346468.17502034"/>
    <n v="0"/>
    <n v="0"/>
    <n v="0"/>
    <n v="0"/>
    <n v="0"/>
    <n v="538346468.17502034"/>
    <n v="0"/>
    <n v="0"/>
    <n v="0"/>
    <n v="538346468.17502034"/>
    <n v="0"/>
    <n v="0"/>
    <n v="0"/>
    <n v="0"/>
    <n v="0"/>
    <n v="0"/>
    <n v="0"/>
    <n v="0"/>
    <x v="0"/>
  </r>
  <r>
    <x v="4"/>
    <s v=""/>
    <n v="0"/>
    <x v="1"/>
    <s v="Vestdanmark"/>
    <n v="22754669.572022874"/>
    <n v="0"/>
    <n v="0"/>
    <n v="0"/>
    <n v="0"/>
    <n v="19483465.104424868"/>
    <n v="0"/>
    <n v="0"/>
    <n v="3271204.4675980061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7382.3997257789451"/>
    <n v="0"/>
    <n v="0"/>
    <n v="0"/>
    <n v="3691.1998628894726"/>
    <n v="0"/>
    <n v="0"/>
    <n v="0"/>
    <n v="3691.1998628894726"/>
    <n v="3691.1998628894726"/>
    <n v="3691.1998628894726"/>
    <n v="2.0966977773155789E-3"/>
    <n v="4.1933955546311578E-3"/>
    <n v="2.0966977773155789E-3"/>
    <n v="2.0966977773155789E-3"/>
    <n v="157.84821029252265"/>
    <n v="315.6964205850453"/>
    <n v="157.84821029252265"/>
    <n v="157.84821029252265"/>
    <x v="0"/>
  </r>
  <r>
    <x v="6"/>
    <s v="Husdyrgødning"/>
    <n v="1"/>
    <x v="1"/>
    <s v="Vestdanmark"/>
    <n v="2652925.8184588463"/>
    <n v="0"/>
    <n v="0"/>
    <n v="0"/>
    <n v="1989694.3638441348"/>
    <n v="251080.47924699794"/>
    <n v="0"/>
    <n v="0"/>
    <n v="412150.97536771372"/>
    <n v="412150.97536771372"/>
    <n v="1989694.3638441348"/>
    <n v="0.88777320094205536"/>
    <n v="5.1735748606623213"/>
    <n v="4.2858016597202662"/>
    <n v="0.88777320094205514"/>
    <n v="123645.29261031411"/>
    <n v="720553.6017635545"/>
    <n v="596908.30915324041"/>
    <n v="123645.29261031409"/>
    <x v="0"/>
  </r>
  <r>
    <x v="7"/>
    <s v=""/>
    <n v="0"/>
    <x v="1"/>
    <s v="Vestdanmark"/>
    <n v="5199.7057508125108"/>
    <n v="5201.2984929347494"/>
    <n v="0"/>
    <n v="0"/>
    <n v="0"/>
    <n v="0"/>
    <n v="0"/>
    <n v="0"/>
    <n v="-1.5927421222386329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5422.7719881045641"/>
    <n v="2210.8224259195526"/>
    <n v="0"/>
    <n v="0"/>
    <n v="709.13172152136576"/>
    <n v="709.13172152136576"/>
    <n v="5422.7719881045641"/>
    <n v="3.3349755731428314E-4"/>
    <n v="2.8837729955999785E-3"/>
    <n v="2.5502754382856953E-3"/>
    <n v="3.3349755731428314E-4"/>
    <n v="44.675298455846047"/>
    <n v="386.30993370643358"/>
    <n v="341.63463525058756"/>
    <n v="44.675298455846018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576631.345963069"/>
    <n v="0"/>
    <n v="0"/>
    <n v="0"/>
    <n v="0"/>
    <n v="0"/>
    <n v="0"/>
    <n v="0"/>
    <n v="576631.345963069"/>
    <n v="0"/>
    <n v="0"/>
    <n v="0"/>
    <n v="0"/>
    <n v="0"/>
    <n v="0"/>
    <n v="0"/>
    <n v="0"/>
    <n v="0"/>
    <n v="0"/>
    <x v="0"/>
  </r>
  <r>
    <x v="11"/>
    <s v=""/>
    <n v="0"/>
    <x v="1"/>
    <s v="Vestdanmark"/>
    <n v="18416.271242773404"/>
    <n v="0"/>
    <n v="0"/>
    <n v="257923.29437791562"/>
    <n v="0"/>
    <n v="0"/>
    <n v="0"/>
    <n v="0"/>
    <n v="-239507.0231351422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0042259.647995874"/>
    <n v="10578766.547699077"/>
    <n v="0"/>
    <n v="0"/>
    <n v="0"/>
    <n v="0"/>
    <n v="0"/>
    <n v="15107.676841271819"/>
    <n v="-551614.57654447481"/>
    <n v="0"/>
    <n v="0"/>
    <n v="0"/>
    <n v="0"/>
    <n v="0"/>
    <n v="0"/>
    <n v="0"/>
    <n v="0"/>
    <n v="0"/>
    <n v="0"/>
    <x v="0"/>
  </r>
  <r>
    <x v="14"/>
    <s v=""/>
    <n v="0"/>
    <x v="1"/>
    <s v="Vestdanmark"/>
    <n v="2525.5713646803624"/>
    <n v="2525.5713646803624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35775.41565002408"/>
    <n v="0"/>
    <n v="0"/>
    <n v="270140.71358529059"/>
    <n v="0"/>
    <n v="0"/>
    <n v="0"/>
    <n v="0"/>
    <n v="-134365.29793526651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012749.9397108331"/>
    <n v="773085.89354292606"/>
    <n v="726974.95402379602"/>
    <n v="0"/>
    <n v="0"/>
    <n v="0"/>
    <n v="0"/>
    <n v="744921.86156949028"/>
    <n v="-232232.76942537911"/>
    <n v="0"/>
    <n v="0"/>
    <n v="0"/>
    <n v="0"/>
    <n v="0"/>
    <n v="0"/>
    <n v="0"/>
    <n v="0"/>
    <n v="0"/>
    <n v="0"/>
    <x v="1"/>
  </r>
  <r>
    <x v="17"/>
    <s v="Bionedbrydeligt affald"/>
    <n v="1"/>
    <x v="1"/>
    <s v="Vestdanmark"/>
    <n v="526734.10986839118"/>
    <n v="0"/>
    <n v="0"/>
    <n v="0"/>
    <n v="267973.79239933251"/>
    <n v="0"/>
    <n v="258760.31746905867"/>
    <n v="0"/>
    <n v="0"/>
    <n v="0"/>
    <n v="526734.10986839118"/>
    <n v="0"/>
    <n v="5.0744845071167353"/>
    <n v="0.4550382576595346"/>
    <n v="4.6194462494572006"/>
    <n v="0"/>
    <n v="158020.23296051734"/>
    <n v="80392.13771979975"/>
    <n v="77628.095240717594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543978.91341244674"/>
    <n v="0"/>
    <n v="0"/>
    <n v="0"/>
    <n v="0"/>
    <n v="0"/>
    <n v="0"/>
    <n v="0"/>
    <n v="543978.91341244674"/>
    <n v="0"/>
    <n v="0"/>
    <n v="0"/>
    <n v="0"/>
    <n v="0"/>
    <n v="0"/>
    <n v="0"/>
    <n v="0"/>
    <n v="0"/>
    <n v="0"/>
    <x v="0"/>
  </r>
  <r>
    <x v="21"/>
    <s v=""/>
    <n v="0"/>
    <x v="1"/>
    <s v="Vestdanmark"/>
    <n v="0"/>
    <n v="0"/>
    <n v="0"/>
    <n v="123531.68309679118"/>
    <n v="0"/>
    <n v="0"/>
    <n v="0"/>
    <n v="0"/>
    <n v="-123531.68309679118"/>
    <n v="0"/>
    <n v="0"/>
    <n v="0"/>
    <n v="0"/>
    <n v="0"/>
    <n v="0"/>
    <n v="0"/>
    <n v="0"/>
    <n v="0"/>
    <n v="0"/>
    <x v="1"/>
  </r>
  <r>
    <x v="22"/>
    <s v="Halm og strå"/>
    <n v="1"/>
    <x v="1"/>
    <s v="Vestdanmark"/>
    <n v="5176210.3236121144"/>
    <n v="6085811.9789329367"/>
    <n v="0"/>
    <n v="295933.04302308214"/>
    <n v="0"/>
    <n v="0"/>
    <n v="0"/>
    <n v="0"/>
    <n v="-1205534.6983439047"/>
    <n v="0"/>
    <n v="0"/>
    <n v="0"/>
    <n v="0"/>
    <n v="0"/>
    <n v="0"/>
    <n v="0"/>
    <n v="0"/>
    <n v="0"/>
    <n v="0"/>
    <x v="0"/>
  </r>
  <r>
    <x v="23"/>
    <s v=""/>
    <n v="0"/>
    <x v="1"/>
    <s v="Vestdanmark"/>
    <n v="0"/>
    <n v="0"/>
    <n v="0"/>
    <n v="0"/>
    <n v="0"/>
    <n v="55055.07188334316"/>
    <n v="0"/>
    <n v="0"/>
    <n v="-55055.07188334316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5450127.5876520872"/>
    <n v="5659611.4645835822"/>
    <n v="0"/>
    <n v="0"/>
    <n v="0"/>
    <n v="0"/>
    <n v="0"/>
    <n v="0"/>
    <n v="-209483.87693149503"/>
    <n v="0"/>
    <n v="0"/>
    <n v="0"/>
    <n v="0"/>
    <n v="0"/>
    <n v="0"/>
    <n v="0"/>
    <n v="0"/>
    <n v="0"/>
    <n v="0"/>
    <x v="1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46909.42609053191"/>
    <n v="0"/>
    <n v="0"/>
    <n v="0"/>
    <n v="0"/>
    <n v="0"/>
    <n v="0"/>
    <n v="97950.762160772298"/>
    <n v="95406.837717421964"/>
    <n v="0"/>
    <n v="8.5627636851386218E-2"/>
    <n v="8.5627636851386218E-2"/>
    <n v="0"/>
    <n v="8.5627636851386218E-2"/>
    <n v="14311.025657613294"/>
    <n v="14311.025657613294"/>
    <n v="0"/>
    <n v="14311.025657613294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351873.9099999037"/>
    <n v="0"/>
    <n v="0"/>
    <n v="0"/>
    <n v="0"/>
    <n v="0"/>
    <n v="0"/>
    <n v="0"/>
    <n v="351873.9099999037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97606.291632882203"/>
    <n v="0"/>
    <n v="0"/>
    <n v="0"/>
    <n v="0"/>
    <n v="0"/>
    <n v="97606.291632882203"/>
    <n v="0"/>
    <n v="0"/>
    <n v="0"/>
    <n v="97606.291632882203"/>
    <n v="0"/>
    <n v="1.7959557660450323"/>
    <n v="0"/>
    <n v="1.7959557660450323"/>
    <n v="0"/>
    <n v="40506.611027646119"/>
    <n v="0"/>
    <n v="40506.611027646119"/>
    <x v="0"/>
  </r>
  <r>
    <x v="32"/>
    <s v="Pyrolyseprodukter"/>
    <n v="1"/>
    <x v="1"/>
    <s v="Vestdanmark"/>
    <n v="417156.24247891462"/>
    <n v="0"/>
    <n v="0"/>
    <n v="0"/>
    <n v="0"/>
    <n v="0"/>
    <n v="417156.24247891462"/>
    <n v="0"/>
    <n v="0"/>
    <n v="0"/>
    <n v="417156.24247891462"/>
    <n v="0"/>
    <n v="3.7383158701003296"/>
    <n v="0"/>
    <n v="3.7383158701003296"/>
    <n v="0"/>
    <n v="0"/>
    <n v="0"/>
    <n v="0"/>
    <x v="0"/>
  </r>
  <r>
    <x v="33"/>
    <s v="Pyrolyseprodukter"/>
    <n v="1"/>
    <x v="1"/>
    <s v="Vestdanmark"/>
    <n v="104289.06061972865"/>
    <n v="0"/>
    <n v="0"/>
    <n v="0"/>
    <n v="0"/>
    <n v="0"/>
    <n v="104289.06061972865"/>
    <n v="0"/>
    <n v="0"/>
    <n v="0"/>
    <n v="104289.06061972865"/>
    <n v="0"/>
    <n v="3.4695480624460577"/>
    <n v="0"/>
    <n v="3.4695480624460577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352476.43400802126"/>
    <n v="0"/>
    <n v="0"/>
    <n v="0"/>
    <n v="0"/>
    <n v="0"/>
    <n v="0"/>
    <n v="352476.43400802126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176238.21700401063"/>
    <n v="214099.10609126225"/>
    <n v="0"/>
    <n v="0"/>
    <n v="0"/>
    <n v="0"/>
    <n v="0"/>
    <n v="0"/>
    <n v="-37860.88908725162"/>
    <n v="0"/>
    <n v="0"/>
    <n v="0"/>
    <n v="0"/>
    <n v="0"/>
    <n v="0"/>
    <n v="0"/>
    <n v="0"/>
    <n v="0"/>
    <n v="0"/>
    <x v="1"/>
  </r>
  <r>
    <x v="37"/>
    <s v="Rapsolie"/>
    <n v="1"/>
    <x v="1"/>
    <s v="Vestdanmark"/>
    <n v="112792.4588825668"/>
    <n v="0"/>
    <n v="0"/>
    <n v="0"/>
    <n v="0"/>
    <n v="0"/>
    <n v="112792.4588825668"/>
    <n v="0"/>
    <n v="0"/>
    <n v="0"/>
    <n v="112792.4588825668"/>
    <n v="0"/>
    <n v="3.947736060889838"/>
    <n v="0"/>
    <n v="3.947736060889838"/>
    <n v="0"/>
    <n v="102641.1375831358"/>
    <n v="0"/>
    <n v="102641.1375831358"/>
    <x v="0"/>
  </r>
  <r>
    <x v="38"/>
    <s v="Græs og urter"/>
    <n v="1"/>
    <x v="1"/>
    <s v="Vestdanmark"/>
    <n v="280098.82292581868"/>
    <n v="868637.91677766922"/>
    <n v="0"/>
    <n v="0"/>
    <n v="0"/>
    <n v="0"/>
    <n v="0"/>
    <n v="0"/>
    <n v="-588539.0938518506"/>
    <n v="0"/>
    <n v="0"/>
    <n v="0"/>
    <n v="0"/>
    <n v="0"/>
    <n v="0"/>
    <n v="0"/>
    <n v="0"/>
    <n v="0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986955.49875235"/>
    <n v="0"/>
    <n v="0"/>
    <n v="0"/>
    <n v="1986955.49875235"/>
    <n v="1986955.49875235"/>
    <n v="1986955.49875235"/>
    <n v="0.99151066343241034"/>
    <n v="1.9830213268648207"/>
    <n v="0.99151066343241034"/>
    <n v="0.99151066343241034"/>
    <n v="119217.32992514099"/>
    <n v="238434.65985028198"/>
    <n v="119217.32992514099"/>
    <n v="119217.32992514099"/>
    <x v="0"/>
  </r>
  <r>
    <x v="42"/>
    <s v="Husdyrgødning"/>
    <n v="1"/>
    <x v="1"/>
    <s v="Vestdanmark"/>
    <n v="15074833.175881069"/>
    <n v="0"/>
    <n v="0"/>
    <n v="0"/>
    <n v="9798641.5643226951"/>
    <n v="5276191.611558374"/>
    <n v="0"/>
    <n v="0"/>
    <n v="0"/>
    <n v="0"/>
    <n v="9798641.5643226951"/>
    <n v="0"/>
    <n v="4.2212547859102179"/>
    <n v="4.2212547859102179"/>
    <n v="0"/>
    <n v="0"/>
    <n v="489932.0782161348"/>
    <n v="489932.0782161348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9726.8074687720582"/>
    <n v="0"/>
    <n v="0"/>
    <n v="0"/>
    <n v="0"/>
    <n v="0"/>
    <n v="0"/>
    <n v="3773.1925312279418"/>
    <n v="3773.1925312279418"/>
    <n v="0"/>
    <n v="3.3864402967770783E-3"/>
    <n v="3.3864402967770783E-3"/>
    <n v="0"/>
    <n v="3.3864402967770783E-3"/>
    <n v="565.97887968419127"/>
    <n v="565.97887968419127"/>
    <n v="0"/>
    <n v="565.97887968419127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180922.23714625766"/>
    <n v="64498.475475191975"/>
    <n v="0"/>
    <n v="0"/>
    <n v="0"/>
    <n v="0"/>
    <n v="0"/>
    <n v="0"/>
    <n v="116423.76167106567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595864256.47199023"/>
    <n v="0"/>
    <n v="0"/>
    <n v="0"/>
    <n v="0"/>
    <n v="0"/>
    <n v="595864256.47199023"/>
    <n v="0"/>
    <n v="0"/>
    <n v="0"/>
    <n v="595864256.47199023"/>
    <n v="0"/>
    <n v="0"/>
    <n v="0"/>
    <n v="0"/>
    <n v="0"/>
    <n v="0"/>
    <n v="0"/>
    <n v="0"/>
    <x v="0"/>
  </r>
  <r>
    <x v="4"/>
    <s v=""/>
    <n v="0"/>
    <x v="2"/>
    <s v="Vestdanmark"/>
    <n v="26076139.147760522"/>
    <n v="0"/>
    <n v="0"/>
    <n v="0"/>
    <n v="0"/>
    <n v="20817436.864202589"/>
    <n v="0"/>
    <n v="0"/>
    <n v="5258702.2835579328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7382.3997257789451"/>
    <n v="0"/>
    <n v="0"/>
    <n v="0"/>
    <n v="5905.9197806231568"/>
    <n v="0"/>
    <n v="0"/>
    <n v="0"/>
    <n v="1476.4799451557883"/>
    <n v="1476.4799451557883"/>
    <n v="5905.9197806231568"/>
    <n v="8.3867911092623103E-4"/>
    <n v="4.1933955546311578E-3"/>
    <n v="3.3547164437049263E-3"/>
    <n v="8.3867911092623147E-4"/>
    <n v="63.139284117009026"/>
    <n v="315.6964205850453"/>
    <n v="252.55713646803628"/>
    <n v="63.139284117009026"/>
    <x v="0"/>
  </r>
  <r>
    <x v="6"/>
    <s v="Husdyrgødning"/>
    <n v="1"/>
    <x v="2"/>
    <s v="Vestdanmark"/>
    <n v="2777977.7276885756"/>
    <n v="0"/>
    <n v="0"/>
    <n v="0"/>
    <n v="2222382.1821508608"/>
    <n v="210332.59938213494"/>
    <n v="0"/>
    <n v="0"/>
    <n v="345262.94615557976"/>
    <n v="345262.94615557976"/>
    <n v="2222382.1821508608"/>
    <n v="0.7436963860191188"/>
    <n v="5.530707606372073"/>
    <n v="4.7870112203529542"/>
    <n v="0.7436963860191188"/>
    <n v="103578.88384667393"/>
    <n v="770293.53849193209"/>
    <n v="666714.65464525821"/>
    <n v="103578.88384667388"/>
    <x v="0"/>
  </r>
  <r>
    <x v="7"/>
    <s v=""/>
    <n v="0"/>
    <x v="2"/>
    <s v="Vestdanmark"/>
    <n v="5199.7057508125108"/>
    <n v="5201.2984929347494"/>
    <n v="0"/>
    <n v="0"/>
    <n v="0"/>
    <n v="0"/>
    <n v="0"/>
    <n v="0"/>
    <n v="-1.5927421222386329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6892.4253779859373"/>
    <n v="1304.637660833052"/>
    <n v="0"/>
    <n v="0"/>
    <n v="418.46868366343188"/>
    <n v="418.46868366343188"/>
    <n v="6892.4253779859373"/>
    <n v="1.9680163724007538E-4"/>
    <n v="3.4382403682530816E-3"/>
    <n v="3.2414387310130063E-3"/>
    <n v="1.968016372400753E-4"/>
    <n v="26.363527070796209"/>
    <n v="460.58632588391026"/>
    <n v="434.22279881311403"/>
    <n v="26.363527070796238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565733.84450001363"/>
    <n v="0"/>
    <n v="0"/>
    <n v="0"/>
    <n v="0"/>
    <n v="0"/>
    <n v="0"/>
    <n v="0"/>
    <n v="565733.84450001363"/>
    <n v="0"/>
    <n v="0"/>
    <n v="0"/>
    <n v="0"/>
    <n v="0"/>
    <n v="0"/>
    <n v="0"/>
    <n v="0"/>
    <n v="0"/>
    <n v="0"/>
    <x v="0"/>
  </r>
  <r>
    <x v="11"/>
    <s v=""/>
    <n v="0"/>
    <x v="2"/>
    <s v="Vestdanmark"/>
    <n v="18068.230255724804"/>
    <n v="0"/>
    <n v="0"/>
    <n v="267978.92035102146"/>
    <n v="0"/>
    <n v="0"/>
    <n v="0"/>
    <n v="0"/>
    <n v="-249910.69009529665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0105609.567581752"/>
    <n v="10578766.547699077"/>
    <n v="0"/>
    <n v="0"/>
    <n v="0"/>
    <n v="0"/>
    <n v="0"/>
    <n v="15107.676841271819"/>
    <n v="-488264.65695859678"/>
    <n v="0"/>
    <n v="0"/>
    <n v="0"/>
    <n v="0"/>
    <n v="0"/>
    <n v="0"/>
    <n v="0"/>
    <n v="0"/>
    <n v="0"/>
    <n v="0"/>
    <x v="0"/>
  </r>
  <r>
    <x v="14"/>
    <s v=""/>
    <n v="0"/>
    <x v="2"/>
    <s v="Vestdanmark"/>
    <n v="2525.5713646803624"/>
    <n v="2525.5713646803624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32870.52913094888"/>
    <n v="0"/>
    <n v="0"/>
    <n v="280672.65868343826"/>
    <n v="0"/>
    <n v="0"/>
    <n v="0"/>
    <n v="0"/>
    <n v="-147802.12955248938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1996261.5279174207"/>
    <n v="773085.89354292606"/>
    <n v="724013.50560011622"/>
    <n v="0"/>
    <n v="0"/>
    <n v="0"/>
    <n v="0"/>
    <n v="731000.31028981879"/>
    <n v="-231838.18151544011"/>
    <n v="0"/>
    <n v="0"/>
    <n v="0"/>
    <n v="0"/>
    <n v="0"/>
    <n v="0"/>
    <n v="0"/>
    <n v="0"/>
    <n v="0"/>
    <n v="0"/>
    <x v="0"/>
  </r>
  <r>
    <x v="17"/>
    <s v="Bionedbrydeligt affald"/>
    <n v="1"/>
    <x v="2"/>
    <s v="Vestdanmark"/>
    <n v="524881.97503939818"/>
    <n v="0"/>
    <n v="0"/>
    <n v="0"/>
    <n v="267031.5264916165"/>
    <n v="0"/>
    <n v="257850.44854778168"/>
    <n v="0"/>
    <n v="0"/>
    <n v="0"/>
    <n v="524881.97503939818"/>
    <n v="0"/>
    <n v="5.0566412930192746"/>
    <n v="0.45343822418961927"/>
    <n v="4.6032030688296555"/>
    <n v="0"/>
    <n v="157464.59251181944"/>
    <n v="80109.457947484945"/>
    <n v="77355.134564334498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533698.49586961837"/>
    <n v="0"/>
    <n v="0"/>
    <n v="0"/>
    <n v="0"/>
    <n v="0"/>
    <n v="0"/>
    <n v="0"/>
    <n v="533698.49586961837"/>
    <n v="0"/>
    <n v="0"/>
    <n v="0"/>
    <n v="0"/>
    <n v="0"/>
    <n v="0"/>
    <n v="0"/>
    <n v="0"/>
    <n v="0"/>
    <n v="0"/>
    <x v="0"/>
  </r>
  <r>
    <x v="21"/>
    <s v=""/>
    <n v="0"/>
    <x v="2"/>
    <s v="Vestdanmark"/>
    <n v="0"/>
    <n v="0"/>
    <n v="0"/>
    <n v="128347.79869443661"/>
    <n v="0"/>
    <n v="0"/>
    <n v="0"/>
    <n v="0"/>
    <n v="-128347.79869443661"/>
    <n v="0"/>
    <n v="0"/>
    <n v="0"/>
    <n v="0"/>
    <n v="0"/>
    <n v="0"/>
    <n v="0"/>
    <n v="0"/>
    <n v="0"/>
    <n v="0"/>
    <x v="1"/>
  </r>
  <r>
    <x v="22"/>
    <s v="Halm og strå"/>
    <n v="1"/>
    <x v="2"/>
    <s v="Vestdanmark"/>
    <n v="5133942.8537930651"/>
    <n v="6085811.9789329367"/>
    <n v="0"/>
    <n v="307470.55071854044"/>
    <n v="0"/>
    <n v="0"/>
    <n v="0"/>
    <n v="0"/>
    <n v="-1259339.6758584119"/>
    <n v="0"/>
    <n v="0"/>
    <n v="0"/>
    <n v="0"/>
    <n v="0"/>
    <n v="0"/>
    <n v="0"/>
    <n v="0"/>
    <n v="0"/>
    <n v="0"/>
    <x v="0"/>
  </r>
  <r>
    <x v="23"/>
    <s v=""/>
    <n v="0"/>
    <x v="2"/>
    <s v="Vestdanmark"/>
    <n v="0"/>
    <n v="0"/>
    <n v="0"/>
    <n v="0"/>
    <n v="0"/>
    <n v="63681.74406389035"/>
    <n v="0"/>
    <n v="0"/>
    <n v="-63681.74406389035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10188325.20203986"/>
    <n v="1687441.3615878511"/>
    <n v="0"/>
    <n v="0"/>
    <n v="859639.93892211281"/>
    <n v="859639.93892211281"/>
    <n v="10188325.20203986"/>
    <n v="0.43514114068298432"/>
    <n v="5.592369474703542"/>
    <n v="5.1572283340205578"/>
    <n v="0.43514114068298415"/>
    <n v="65332.635358080573"/>
    <n v="839645.35071310995"/>
    <n v="774312.71535502933"/>
    <n v="65332.635358080617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5712838.4612741098"/>
    <n v="5659611.4645835822"/>
    <n v="0"/>
    <n v="0"/>
    <n v="0"/>
    <n v="0"/>
    <n v="0"/>
    <n v="0"/>
    <n v="53226.996690527536"/>
    <n v="0"/>
    <n v="0"/>
    <n v="0"/>
    <n v="0"/>
    <n v="0"/>
    <n v="0"/>
    <n v="0"/>
    <n v="0"/>
    <n v="0"/>
    <n v="0"/>
    <x v="1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46909.42609053191"/>
    <n v="0"/>
    <n v="0"/>
    <n v="0"/>
    <n v="0"/>
    <n v="0"/>
    <n v="0"/>
    <n v="169492.57209499774"/>
    <n v="169492.57209499774"/>
    <n v="0"/>
    <n v="0.1521195834552605"/>
    <n v="0.1521195834552605"/>
    <n v="0"/>
    <n v="0.1521195834552605"/>
    <n v="25423.885814249661"/>
    <n v="25423.885814249661"/>
    <n v="0"/>
    <n v="25423.885814249661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345224.00018164597"/>
    <n v="0"/>
    <n v="0"/>
    <n v="0"/>
    <n v="0"/>
    <n v="0"/>
    <n v="0"/>
    <n v="0"/>
    <n v="345224.00018164597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95761.673380129621"/>
    <n v="0"/>
    <n v="0"/>
    <n v="0"/>
    <n v="0"/>
    <n v="0"/>
    <n v="95761.673380129621"/>
    <n v="0"/>
    <n v="0"/>
    <n v="0"/>
    <n v="95761.673380129621"/>
    <n v="0"/>
    <n v="1.7620147901943848"/>
    <n v="0"/>
    <n v="1.7620147901943848"/>
    <n v="0"/>
    <n v="39741.094452753794"/>
    <n v="0"/>
    <n v="39741.094452753794"/>
    <x v="0"/>
  </r>
  <r>
    <x v="32"/>
    <s v="Pyrolyseprodukter"/>
    <n v="1"/>
    <x v="2"/>
    <s v="Vestdanmark"/>
    <n v="409360.17376229854"/>
    <n v="0"/>
    <n v="0"/>
    <n v="0"/>
    <n v="0"/>
    <n v="0"/>
    <n v="409360.17376229854"/>
    <n v="0"/>
    <n v="0"/>
    <n v="0"/>
    <n v="409360.17376229854"/>
    <n v="0"/>
    <n v="3.6684519571584255"/>
    <n v="0"/>
    <n v="3.6684519571584255"/>
    <n v="0"/>
    <n v="0"/>
    <n v="0"/>
    <n v="0"/>
    <x v="0"/>
  </r>
  <r>
    <x v="33"/>
    <s v="Pyrolyseprodukter"/>
    <n v="1"/>
    <x v="2"/>
    <s v="Vestdanmark"/>
    <n v="102340.04344057463"/>
    <n v="0"/>
    <n v="0"/>
    <n v="0"/>
    <n v="0"/>
    <n v="0"/>
    <n v="102340.04344057463"/>
    <n v="0"/>
    <n v="0"/>
    <n v="0"/>
    <n v="102340.04344057463"/>
    <n v="0"/>
    <n v="3.4047070452058592"/>
    <n v="0"/>
    <n v="3.4047070452058592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345496.6234152735"/>
    <n v="0"/>
    <n v="0"/>
    <n v="0"/>
    <n v="0"/>
    <n v="0"/>
    <n v="0"/>
    <n v="345496.6234152735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172748.31170763675"/>
    <n v="214099.10609126225"/>
    <n v="0"/>
    <n v="0"/>
    <n v="0"/>
    <n v="0"/>
    <n v="0"/>
    <n v="0"/>
    <n v="-41350.7943836255"/>
    <n v="0"/>
    <n v="0"/>
    <n v="0"/>
    <n v="0"/>
    <n v="0"/>
    <n v="0"/>
    <n v="0"/>
    <n v="0"/>
    <n v="0"/>
    <n v="0"/>
    <x v="1"/>
  </r>
  <r>
    <x v="37"/>
    <s v="Rapsolie"/>
    <n v="1"/>
    <x v="2"/>
    <s v="Vestdanmark"/>
    <n v="110558.91949288752"/>
    <n v="0"/>
    <n v="0"/>
    <n v="0"/>
    <n v="0"/>
    <n v="0"/>
    <n v="110558.91949288752"/>
    <n v="0"/>
    <n v="0"/>
    <n v="0"/>
    <n v="110558.91949288752"/>
    <n v="0"/>
    <n v="3.8695621822510629"/>
    <n v="0"/>
    <n v="3.8695621822510629"/>
    <n v="0"/>
    <n v="100608.61673852765"/>
    <n v="0"/>
    <n v="100608.61673852765"/>
    <x v="0"/>
  </r>
  <r>
    <x v="38"/>
    <s v="Græs og urter"/>
    <n v="1"/>
    <x v="2"/>
    <s v="Vestdanmark"/>
    <n v="274805.35881915229"/>
    <n v="868637.91677766922"/>
    <n v="0"/>
    <n v="0"/>
    <n v="0"/>
    <n v="0"/>
    <n v="0"/>
    <n v="0"/>
    <n v="-593832.55795851699"/>
    <n v="0"/>
    <n v="0"/>
    <n v="0"/>
    <n v="0"/>
    <n v="0"/>
    <n v="0"/>
    <n v="0"/>
    <n v="0"/>
    <n v="0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3297466.0782270324"/>
    <n v="0"/>
    <n v="0"/>
    <n v="0"/>
    <n v="824366.51955675799"/>
    <n v="824366.51955675799"/>
    <n v="3297466.0782270324"/>
    <n v="0.41136713692401788"/>
    <n v="2.0568356846200895"/>
    <n v="1.6454685476960718"/>
    <n v="0.41136713692401772"/>
    <n v="49461.991173405477"/>
    <n v="247309.95586702743"/>
    <n v="197847.96469362194"/>
    <n v="49461.991173405491"/>
    <x v="0"/>
  </r>
  <r>
    <x v="42"/>
    <s v="Husdyrgødning"/>
    <n v="1"/>
    <x v="2"/>
    <s v="Vestdanmark"/>
    <n v="14432291.767579561"/>
    <n v="0"/>
    <n v="0"/>
    <n v="0"/>
    <n v="11545833.414063649"/>
    <n v="2886458.3535159114"/>
    <n v="0"/>
    <n v="0"/>
    <n v="0"/>
    <n v="0"/>
    <n v="11545833.414063649"/>
    <n v="0"/>
    <n v="4.9739450347786214"/>
    <n v="4.9739450347786214"/>
    <n v="0"/>
    <n v="0"/>
    <n v="577291.67070318246"/>
    <n v="577291.67070318246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9726.8074687720582"/>
    <n v="0"/>
    <n v="0"/>
    <n v="0"/>
    <n v="0"/>
    <n v="0"/>
    <n v="0"/>
    <n v="3773.1925312279418"/>
    <n v="3773.1925312279418"/>
    <n v="0"/>
    <n v="3.3864402967770783E-3"/>
    <n v="3.3864402967770783E-3"/>
    <n v="0"/>
    <n v="3.3864402967770783E-3"/>
    <n v="565.97887968419127"/>
    <n v="565.97887968419127"/>
    <n v="0"/>
    <n v="565.97887968419127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94078.7176866641"/>
    <n v="0"/>
    <n v="0"/>
    <n v="0"/>
    <n v="0"/>
    <n v="0"/>
    <n v="2094078.7176866641"/>
    <n v="0"/>
    <n v="0"/>
    <n v="0"/>
    <n v="2094078.7176866641"/>
    <n v="0"/>
    <n v="30.350674178438894"/>
    <n v="0"/>
    <n v="30.350674178438894"/>
    <n v="0"/>
    <n v="1035696.4324558625"/>
    <n v="0"/>
    <n v="1035696.4324558625"/>
    <x v="0"/>
  </r>
  <r>
    <x v="47"/>
    <s v=""/>
    <n v="0"/>
    <x v="2"/>
    <s v="Vestdanmark"/>
    <n v="594445.36947787507"/>
    <n v="0"/>
    <n v="0"/>
    <n v="0"/>
    <n v="0"/>
    <n v="0"/>
    <n v="0"/>
    <n v="0"/>
    <n v="594445.3694778750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61943.722362786721"/>
    <n v="0"/>
    <n v="0"/>
    <n v="0"/>
    <n v="61943.722362786721"/>
    <n v="0"/>
    <n v="2.1680302826975351"/>
    <n v="0"/>
    <n v="2.1680302826975351"/>
    <n v="0"/>
    <n v="56368.787350135921"/>
    <n v="0"/>
    <n v="56368.787350135921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25116.855127591796"/>
    <n v="7916.616753740097"/>
    <n v="0"/>
    <n v="0"/>
    <n v="0"/>
    <n v="0"/>
    <n v="0"/>
    <n v="0"/>
    <n v="17200.238373851698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25823070.82650796"/>
    <n v="0"/>
    <n v="0"/>
    <n v="0"/>
    <n v="0"/>
    <n v="0"/>
    <n v="125823070.82650796"/>
    <n v="0"/>
    <n v="0"/>
    <n v="0"/>
    <n v="125823070.82650796"/>
    <n v="0"/>
    <n v="0"/>
    <n v="0"/>
    <n v="0"/>
    <n v="0"/>
    <n v="0"/>
    <n v="0"/>
    <n v="0"/>
    <x v="0"/>
  </r>
  <r>
    <x v="4"/>
    <s v=""/>
    <n v="0"/>
    <x v="1"/>
    <s v="Østdanmark"/>
    <n v="4316103.8219465185"/>
    <n v="0"/>
    <n v="0"/>
    <n v="0"/>
    <n v="0"/>
    <n v="3695622.0320317331"/>
    <n v="0"/>
    <n v="0"/>
    <n v="620481.78991478542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906.12419784072335"/>
    <n v="0"/>
    <n v="0"/>
    <n v="0"/>
    <n v="453.06209892036168"/>
    <n v="0"/>
    <n v="0"/>
    <n v="0"/>
    <n v="453.06209892036168"/>
    <n v="453.06209892036168"/>
    <n v="453.06209892036168"/>
    <n v="2.5735108665956772E-4"/>
    <n v="5.1470217331913543E-4"/>
    <n v="2.5735108665956772E-4"/>
    <n v="2.5735108665956772E-4"/>
    <n v="19.374470124186381"/>
    <n v="38.748940248372762"/>
    <n v="19.374470124186381"/>
    <n v="19.374470124186381"/>
    <x v="0"/>
  </r>
  <r>
    <x v="6"/>
    <s v="Husdyrgødning"/>
    <n v="1"/>
    <x v="1"/>
    <s v="Østdanmark"/>
    <n v="358055.10959218151"/>
    <n v="0"/>
    <n v="0"/>
    <n v="0"/>
    <n v="268541.33219413611"/>
    <n v="33887.358586402894"/>
    <n v="0"/>
    <n v="0"/>
    <n v="55626.418811642507"/>
    <n v="55626.418811642507"/>
    <n v="268541.33219413611"/>
    <n v="0.11981930612027797"/>
    <n v="0.69825733566644721"/>
    <n v="0.57843802954616919"/>
    <n v="0.11981930612027802"/>
    <n v="16687.925643492752"/>
    <n v="97250.325301733581"/>
    <n v="80562.399658240829"/>
    <n v="16687.925643492752"/>
    <x v="0"/>
  </r>
  <r>
    <x v="7"/>
    <s v=""/>
    <n v="0"/>
    <x v="1"/>
    <s v="Østdanmark"/>
    <n v="638.21783938496321"/>
    <n v="638.41333437730827"/>
    <n v="0"/>
    <n v="0"/>
    <n v="0"/>
    <n v="0"/>
    <n v="0"/>
    <n v="0"/>
    <n v="-0.19549499234506129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455.13125134935552"/>
    <n v="185.55351016550645"/>
    <n v="0"/>
    <n v="0"/>
    <n v="59.517163637992667"/>
    <n v="59.517163637992667"/>
    <n v="455.13125134935552"/>
    <n v="2.7990326887311573E-5"/>
    <n v="2.420340030844E-4"/>
    <n v="2.1404367619708842E-4"/>
    <n v="2.799032688731158E-5"/>
    <n v="3.7495813091935379"/>
    <n v="32.422850144202933"/>
    <n v="28.673268835009399"/>
    <n v="3.7495813091935339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544404.7144636024"/>
    <n v="0"/>
    <n v="0"/>
    <n v="0"/>
    <n v="0"/>
    <n v="0"/>
    <n v="0"/>
    <n v="0"/>
    <n v="544404.7144636024"/>
    <n v="0"/>
    <n v="0"/>
    <n v="0"/>
    <n v="0"/>
    <n v="0"/>
    <n v="0"/>
    <n v="0"/>
    <n v="0"/>
    <n v="0"/>
    <n v="0"/>
    <x v="0"/>
  </r>
  <r>
    <x v="11"/>
    <s v=""/>
    <n v="0"/>
    <x v="1"/>
    <s v="Østdanmark"/>
    <n v="14641.584638945284"/>
    <n v="0"/>
    <n v="0"/>
    <n v="223323.94265330929"/>
    <n v="0"/>
    <n v="0"/>
    <n v="0"/>
    <n v="0"/>
    <n v="-208682.358014364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1896413.0302612376"/>
    <n v="1298449.9225509875"/>
    <n v="0"/>
    <n v="0"/>
    <n v="0"/>
    <n v="0"/>
    <n v="0"/>
    <n v="1854.3335592126687"/>
    <n v="596108.77415103745"/>
    <n v="44494.197606562637"/>
    <n v="0"/>
    <n v="8.1863761821374434E-2"/>
    <n v="8.1863761821374434E-2"/>
    <n v="0"/>
    <n v="8.1863761821374434E-2"/>
    <n v="12458.37532983754"/>
    <n v="12458.37532983754"/>
    <n v="0"/>
    <n v="12458.37532983754"/>
    <x v="0"/>
  </r>
  <r>
    <x v="14"/>
    <s v=""/>
    <n v="0"/>
    <x v="1"/>
    <s v="Østdanmark"/>
    <n v="309.99152198698209"/>
    <n v="309.99152198698209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90005.04444105408"/>
    <n v="0"/>
    <n v="0"/>
    <n v="233902.44520004498"/>
    <n v="0"/>
    <n v="0"/>
    <n v="0"/>
    <n v="0"/>
    <n v="-143897.4007589909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880379.80528949713"/>
    <n v="94889.448034412562"/>
    <n v="103520.85960187271"/>
    <n v="0"/>
    <n v="0"/>
    <n v="0"/>
    <n v="0"/>
    <n v="450078.1384305096"/>
    <n v="231891.35922270222"/>
    <n v="0"/>
    <n v="0"/>
    <n v="0"/>
    <n v="0"/>
    <n v="0"/>
    <n v="0"/>
    <n v="0"/>
    <n v="0"/>
    <n v="0"/>
    <n v="0"/>
    <x v="1"/>
  </r>
  <r>
    <x v="17"/>
    <s v="Bionedbrydeligt affald"/>
    <n v="1"/>
    <x v="1"/>
    <s v="Østdanmark"/>
    <n v="456074.89013160887"/>
    <n v="0"/>
    <n v="0"/>
    <n v="0"/>
    <n v="232026.20760066749"/>
    <n v="0"/>
    <n v="224048.68253094138"/>
    <n v="0"/>
    <n v="0"/>
    <n v="0"/>
    <n v="456074.89013160887"/>
    <n v="0"/>
    <n v="4.3937632302492702"/>
    <n v="0.3939967423404655"/>
    <n v="3.9997664879088046"/>
    <n v="0"/>
    <n v="136822.46703948267"/>
    <n v="69607.86228020025"/>
    <n v="67214.604759282418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135119.43350585381"/>
    <n v="0"/>
    <n v="0"/>
    <n v="0"/>
    <n v="0"/>
    <n v="0"/>
    <n v="0"/>
    <n v="0"/>
    <n v="135119.43350585381"/>
    <n v="0"/>
    <n v="0"/>
    <n v="0"/>
    <n v="0"/>
    <n v="0"/>
    <n v="0"/>
    <n v="0"/>
    <n v="0"/>
    <n v="0"/>
    <n v="0"/>
    <x v="0"/>
  </r>
  <r>
    <x v="21"/>
    <s v=""/>
    <n v="0"/>
    <x v="1"/>
    <s v="Østdanmark"/>
    <n v="0"/>
    <n v="0"/>
    <n v="0"/>
    <n v="106960.41463921656"/>
    <n v="0"/>
    <n v="0"/>
    <n v="0"/>
    <n v="0"/>
    <n v="-106960.41463921656"/>
    <n v="0"/>
    <n v="0"/>
    <n v="0"/>
    <n v="0"/>
    <n v="0"/>
    <n v="0"/>
    <n v="0"/>
    <n v="0"/>
    <n v="0"/>
    <n v="0"/>
    <x v="1"/>
  </r>
  <r>
    <x v="22"/>
    <s v="Halm og strå"/>
    <n v="1"/>
    <x v="1"/>
    <s v="Østdanmark"/>
    <n v="2229437.4413574226"/>
    <n v="746979.53273428511"/>
    <n v="0"/>
    <n v="256234.83946537593"/>
    <n v="0"/>
    <n v="0"/>
    <n v="0"/>
    <n v="0"/>
    <n v="1226223.0691577615"/>
    <n v="20688.370813856833"/>
    <n v="0"/>
    <n v="7.0854773665545726E-2"/>
    <n v="7.0854773665545726E-2"/>
    <n v="0"/>
    <n v="7.0854773665545726E-2"/>
    <n v="6413.3949522956182"/>
    <n v="6413.3949522956182"/>
    <n v="0"/>
    <n v="6413.3949522956182"/>
    <x v="0"/>
  </r>
  <r>
    <x v="23"/>
    <s v=""/>
    <n v="0"/>
    <x v="1"/>
    <s v="Østdanmark"/>
    <n v="0"/>
    <n v="0"/>
    <n v="0"/>
    <n v="0"/>
    <n v="0"/>
    <n v="284186.53350619553"/>
    <n v="0"/>
    <n v="0"/>
    <n v="-284186.53350619553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42188.62633028702"/>
    <n v="694667.19345041318"/>
    <n v="0"/>
    <n v="0"/>
    <n v="0"/>
    <n v="0"/>
    <n v="0"/>
    <n v="0"/>
    <n v="-352478.56712012616"/>
    <n v="0"/>
    <n v="0"/>
    <n v="0"/>
    <n v="0"/>
    <n v="0"/>
    <n v="0"/>
    <n v="0"/>
    <n v="0"/>
    <n v="0"/>
    <n v="0"/>
    <x v="1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5757.7166864893625"/>
    <n v="0"/>
    <n v="0"/>
    <n v="0"/>
    <n v="0"/>
    <n v="0"/>
    <n v="0"/>
    <n v="-2543.9244433503286"/>
    <n v="0"/>
    <n v="0"/>
    <n v="0"/>
    <n v="0"/>
    <n v="0"/>
    <n v="0"/>
    <n v="0"/>
    <n v="0"/>
    <n v="0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218053.83114290028"/>
    <n v="0"/>
    <n v="0"/>
    <n v="0"/>
    <n v="0"/>
    <n v="0"/>
    <n v="0"/>
    <n v="0"/>
    <n v="218053.83114290028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1330.310934881738"/>
    <n v="0"/>
    <n v="0"/>
    <n v="0"/>
    <n v="0"/>
    <n v="0"/>
    <n v="31330.310934881738"/>
    <n v="0"/>
    <n v="0"/>
    <n v="0"/>
    <n v="31330.310934881738"/>
    <n v="0"/>
    <n v="0.57647772120182383"/>
    <n v="0"/>
    <n v="0.57647772120182383"/>
    <n v="0"/>
    <n v="13002.079037975922"/>
    <n v="0"/>
    <n v="13002.079037975922"/>
    <x v="0"/>
  </r>
  <r>
    <x v="32"/>
    <s v="Pyrolyseprodukter"/>
    <n v="1"/>
    <x v="1"/>
    <s v="Østdanmark"/>
    <n v="252043.75752108541"/>
    <n v="0"/>
    <n v="0"/>
    <n v="0"/>
    <n v="0"/>
    <n v="0"/>
    <n v="252043.75752108541"/>
    <n v="0"/>
    <n v="0"/>
    <n v="0"/>
    <n v="252043.75752108541"/>
    <n v="0"/>
    <n v="2.258672129899669"/>
    <n v="0"/>
    <n v="2.258672129899669"/>
    <n v="0"/>
    <n v="0"/>
    <n v="0"/>
    <n v="0"/>
    <x v="0"/>
  </r>
  <r>
    <x v="33"/>
    <s v="Pyrolyseprodukter"/>
    <n v="1"/>
    <x v="1"/>
    <s v="Østdanmark"/>
    <n v="63010.939380271353"/>
    <n v="0"/>
    <n v="0"/>
    <n v="0"/>
    <n v="0"/>
    <n v="0"/>
    <n v="63010.939380271353"/>
    <n v="0"/>
    <n v="0"/>
    <n v="0"/>
    <n v="63010.939380271353"/>
    <n v="0"/>
    <n v="2.0962839375539413"/>
    <n v="0"/>
    <n v="2.0962839375539413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115336.64661622414"/>
    <n v="0"/>
    <n v="0"/>
    <n v="0"/>
    <n v="0"/>
    <n v="0"/>
    <n v="0"/>
    <n v="115336.64661622414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57668.323308112071"/>
    <n v="26278.769501998377"/>
    <n v="0"/>
    <n v="0"/>
    <n v="0"/>
    <n v="0"/>
    <n v="0"/>
    <n v="0"/>
    <n v="31389.553806113694"/>
    <n v="0"/>
    <n v="0"/>
    <n v="0"/>
    <n v="0"/>
    <n v="0"/>
    <n v="0"/>
    <n v="0"/>
    <n v="0"/>
    <n v="0"/>
    <n v="0"/>
    <x v="1"/>
  </r>
  <r>
    <x v="37"/>
    <s v="Rapsolie"/>
    <n v="1"/>
    <x v="1"/>
    <s v="Østdanmark"/>
    <n v="36907.726917191729"/>
    <n v="0"/>
    <n v="0"/>
    <n v="0"/>
    <n v="0"/>
    <n v="0"/>
    <n v="36907.726917191729"/>
    <n v="0"/>
    <n v="0"/>
    <n v="0"/>
    <n v="36907.726917191729"/>
    <n v="0"/>
    <n v="1.2917704421017104"/>
    <n v="0"/>
    <n v="1.2917704421017104"/>
    <n v="0"/>
    <n v="33586.031494644478"/>
    <n v="0"/>
    <n v="33586.031494644478"/>
    <x v="0"/>
  </r>
  <r>
    <x v="38"/>
    <s v="Græs og urter"/>
    <n v="1"/>
    <x v="1"/>
    <s v="Østdanmark"/>
    <n v="2129245.811636521"/>
    <n v="106617.6128076231"/>
    <n v="0"/>
    <n v="0"/>
    <n v="0"/>
    <n v="0"/>
    <n v="0"/>
    <n v="0"/>
    <n v="2022628.1988288979"/>
    <n v="1434089.1049770473"/>
    <n v="0"/>
    <n v="3.8921751944719056"/>
    <n v="3.8921751944719056"/>
    <n v="0"/>
    <n v="3.8921751944719056"/>
    <n v="286817.82099540945"/>
    <n v="286817.82099540945"/>
    <n v="0"/>
    <n v="286817.82099540945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672027.0453821167"/>
    <n v="0"/>
    <n v="0"/>
    <n v="0"/>
    <n v="1672027.0453821167"/>
    <n v="1672027.0453821167"/>
    <n v="1672027.0453821167"/>
    <n v="0.83435821591613013"/>
    <n v="1.6687164318322603"/>
    <n v="0.83435821591613013"/>
    <n v="0.83435821591613013"/>
    <n v="100321.622722927"/>
    <n v="200643.245445854"/>
    <n v="100321.622722927"/>
    <n v="100321.622722927"/>
    <x v="0"/>
  </r>
  <r>
    <x v="42"/>
    <s v="Husdyrgødning"/>
    <n v="1"/>
    <x v="1"/>
    <s v="Østdanmark"/>
    <n v="2184299.8380428459"/>
    <n v="0"/>
    <n v="0"/>
    <n v="0"/>
    <n v="1419794.8947278499"/>
    <n v="764504.94331499608"/>
    <n v="0"/>
    <n v="0"/>
    <n v="0"/>
    <n v="0"/>
    <n v="1419794.8947278499"/>
    <n v="0"/>
    <n v="0.61164764064875787"/>
    <n v="0.61164764064875787"/>
    <n v="0"/>
    <n v="0"/>
    <n v="70989.744736392502"/>
    <n v="70989.744736392502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1193.879489404412"/>
    <n v="0"/>
    <n v="0"/>
    <n v="0"/>
    <n v="0"/>
    <n v="0"/>
    <n v="0"/>
    <n v="3306.1205105955878"/>
    <n v="3306.1205105955878"/>
    <n v="0"/>
    <n v="2.9672431582595405E-3"/>
    <n v="2.9672431582595405E-3"/>
    <n v="0"/>
    <n v="2.9672431582595405E-3"/>
    <n v="495.91807658933817"/>
    <n v="495.91807658933817"/>
    <n v="0"/>
    <n v="495.91807658933817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25113.208745392181"/>
    <n v="7916.616753740097"/>
    <n v="0"/>
    <n v="0"/>
    <n v="0"/>
    <n v="0"/>
    <n v="0"/>
    <n v="0"/>
    <n v="17196.591991652083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47236075.81607157"/>
    <n v="0"/>
    <n v="0"/>
    <n v="0"/>
    <n v="0"/>
    <n v="0"/>
    <n v="147236075.81607157"/>
    <n v="0"/>
    <n v="0"/>
    <n v="0"/>
    <n v="147236075.81607157"/>
    <n v="0"/>
    <n v="0"/>
    <n v="0"/>
    <n v="0"/>
    <n v="0"/>
    <n v="0"/>
    <n v="0"/>
    <n v="0"/>
    <x v="0"/>
  </r>
  <r>
    <x v="4"/>
    <s v=""/>
    <n v="0"/>
    <x v="2"/>
    <s v="Østdanmark"/>
    <n v="5642114.2310847286"/>
    <n v="0"/>
    <n v="0"/>
    <n v="0"/>
    <n v="0"/>
    <n v="4504284.7839041585"/>
    <n v="0"/>
    <n v="0"/>
    <n v="1137829.4471805701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906.12419784072324"/>
    <n v="0"/>
    <n v="0"/>
    <n v="0"/>
    <n v="724.89935827257864"/>
    <n v="0"/>
    <n v="0"/>
    <n v="0"/>
    <n v="181.2248395681446"/>
    <n v="181.2248395681446"/>
    <n v="724.89935827257864"/>
    <n v="1.0294043466382705E-4"/>
    <n v="5.1470217331913543E-4"/>
    <n v="4.1176173865530832E-4"/>
    <n v="1.0294043466382711E-4"/>
    <n v="7.7497880496745495"/>
    <n v="38.748940248372755"/>
    <n v="30.999152198698205"/>
    <n v="7.7497880496745495"/>
    <x v="0"/>
  </r>
  <r>
    <x v="6"/>
    <s v="Husdyrgødning"/>
    <n v="1"/>
    <x v="2"/>
    <s v="Østdanmark"/>
    <n v="377058.10701599991"/>
    <n v="0"/>
    <n v="0"/>
    <n v="0"/>
    <n v="301646.48561279994"/>
    <n v="28548.68524549713"/>
    <n v="0"/>
    <n v="0"/>
    <n v="46862.936157702818"/>
    <n v="46862.936157702818"/>
    <n v="301646.48561279994"/>
    <n v="0.10094276448369187"/>
    <n v="0.75068929449366295"/>
    <n v="0.64974653000997107"/>
    <n v="0.10094276448369188"/>
    <n v="14058.880847310846"/>
    <n v="104552.82653115083"/>
    <n v="90493.945683839978"/>
    <n v="14058.880847310851"/>
    <x v="0"/>
  </r>
  <r>
    <x v="7"/>
    <s v=""/>
    <n v="0"/>
    <x v="2"/>
    <s v="Østdanmark"/>
    <n v="638.2178393849631"/>
    <n v="638.41333437730816"/>
    <n v="0"/>
    <n v="0"/>
    <n v="0"/>
    <n v="0"/>
    <n v="0"/>
    <n v="0"/>
    <n v="-0.19549499234506129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578.47871789484259"/>
    <n v="109.49775731580944"/>
    <n v="0"/>
    <n v="0"/>
    <n v="35.121922157901167"/>
    <n v="35.121922157901167"/>
    <n v="578.47871789484259"/>
    <n v="1.651748877163934E-5"/>
    <n v="2.8857024501040485E-4"/>
    <n v="2.7205275623876551E-4"/>
    <n v="1.6517488771639337E-5"/>
    <n v="2.2126810959477736"/>
    <n v="38.656840323322854"/>
    <n v="36.444159227375081"/>
    <n v="2.212681095947772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544325.67958243925"/>
    <n v="0"/>
    <n v="0"/>
    <n v="0"/>
    <n v="0"/>
    <n v="0"/>
    <n v="0"/>
    <n v="0"/>
    <n v="544325.67958243925"/>
    <n v="0"/>
    <n v="0"/>
    <n v="0"/>
    <n v="0"/>
    <n v="0"/>
    <n v="0"/>
    <n v="0"/>
    <n v="0"/>
    <n v="0"/>
    <n v="0"/>
    <x v="0"/>
  </r>
  <r>
    <x v="11"/>
    <s v=""/>
    <n v="0"/>
    <x v="2"/>
    <s v="Østdanmark"/>
    <n v="14639.459021970932"/>
    <n v="0"/>
    <n v="0"/>
    <n v="233795.01599247381"/>
    <n v="0"/>
    <n v="0"/>
    <n v="0"/>
    <n v="0"/>
    <n v="-219155.5569705028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028301.812130857"/>
    <n v="1298449.9225509875"/>
    <n v="0"/>
    <n v="0"/>
    <n v="0"/>
    <n v="0"/>
    <n v="0"/>
    <n v="1854.3335592126684"/>
    <n v="727997.55602065683"/>
    <n v="239732.89906206005"/>
    <n v="0"/>
    <n v="0.44107856766180775"/>
    <n v="0.44107856766180775"/>
    <n v="0"/>
    <n v="0.44107856766180775"/>
    <n v="67125.211737376827"/>
    <n v="67125.211737376827"/>
    <n v="0"/>
    <n v="67125.211737376827"/>
    <x v="0"/>
  </r>
  <r>
    <x v="14"/>
    <s v=""/>
    <n v="0"/>
    <x v="2"/>
    <s v="Østdanmark"/>
    <n v="309.99152198698204"/>
    <n v="309.99152198698204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89763.009859427373"/>
    <n v="0"/>
    <n v="0"/>
    <n v="244869.51675001203"/>
    <n v="0"/>
    <n v="0"/>
    <n v="0"/>
    <n v="0"/>
    <n v="-155106.50689058466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896693.69274584518"/>
    <n v="94889.448034412548"/>
    <n v="103062.42440743271"/>
    <n v="0"/>
    <n v="0"/>
    <n v="0"/>
    <n v="10903.94907837885"/>
    <n v="455999.6897101808"/>
    <n v="231838.18151544023"/>
    <n v="1.1641532182693481E-10"/>
    <n v="10903.94907837885"/>
    <n v="1.2032462213112001E-15"/>
    <n v="0.11270110600590764"/>
    <n v="0"/>
    <n v="0.11270110600590764"/>
    <n v="9.895302355289459E-11"/>
    <n v="9268.3567166221201"/>
    <n v="0"/>
    <n v="9268.3567166221201"/>
    <x v="0"/>
  </r>
  <r>
    <x v="17"/>
    <s v="Bionedbrydeligt affald"/>
    <n v="1"/>
    <x v="2"/>
    <s v="Østdanmark"/>
    <n v="457927.02496060182"/>
    <n v="0"/>
    <n v="0"/>
    <n v="0"/>
    <n v="232968.47350838353"/>
    <n v="0"/>
    <n v="224958.55145221829"/>
    <n v="0"/>
    <n v="0"/>
    <n v="0"/>
    <n v="457927.02496060182"/>
    <n v="0"/>
    <n v="4.4116064443467282"/>
    <n v="0.39559677581038083"/>
    <n v="4.0160096685363476"/>
    <n v="0"/>
    <n v="137378.10748818054"/>
    <n v="69890.542052515055"/>
    <n v="67487.56543566548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135099.81731208056"/>
    <n v="0"/>
    <n v="0"/>
    <n v="0"/>
    <n v="0"/>
    <n v="0"/>
    <n v="0"/>
    <n v="0"/>
    <n v="135099.81731208056"/>
    <n v="0"/>
    <n v="0"/>
    <n v="0"/>
    <n v="0"/>
    <n v="0"/>
    <n v="0"/>
    <n v="0"/>
    <n v="0"/>
    <n v="0"/>
    <n v="0"/>
    <x v="0"/>
  </r>
  <r>
    <x v="21"/>
    <s v=""/>
    <n v="0"/>
    <x v="2"/>
    <s v="Østdanmark"/>
    <n v="0"/>
    <n v="0"/>
    <n v="0"/>
    <n v="111975.50765955324"/>
    <n v="0"/>
    <n v="0"/>
    <n v="0"/>
    <n v="0"/>
    <n v="-111975.50765955324"/>
    <n v="0"/>
    <n v="0"/>
    <n v="0"/>
    <n v="0"/>
    <n v="0"/>
    <n v="0"/>
    <n v="0"/>
    <n v="0"/>
    <n v="0"/>
    <n v="0"/>
    <x v="1"/>
  </r>
  <r>
    <x v="22"/>
    <s v="Halm og strå"/>
    <n v="1"/>
    <x v="2"/>
    <s v="Østdanmark"/>
    <n v="2274885.0202699397"/>
    <n v="746979.53273428511"/>
    <n v="0"/>
    <n v="268249.01834925939"/>
    <n v="0"/>
    <n v="0"/>
    <n v="0"/>
    <n v="0"/>
    <n v="1259656.4691863952"/>
    <n v="316.79332798323594"/>
    <n v="0"/>
    <n v="1.0849727972766657E-3"/>
    <n v="1.0849727972766657E-3"/>
    <n v="0"/>
    <n v="1.0849727972766657E-3"/>
    <n v="98.205931674803139"/>
    <n v="98.205931674803139"/>
    <n v="0"/>
    <n v="98.205931674803139"/>
    <x v="0"/>
  </r>
  <r>
    <x v="23"/>
    <s v=""/>
    <n v="0"/>
    <x v="2"/>
    <s v="Østdanmark"/>
    <n v="0"/>
    <n v="0"/>
    <n v="0"/>
    <n v="0"/>
    <n v="0"/>
    <n v="257708.57342916247"/>
    <n v="0"/>
    <n v="0"/>
    <n v="-257708.57342916247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724125.12538599269"/>
    <n v="119933.22389205502"/>
    <n v="0"/>
    <n v="0"/>
    <n v="61098.057454443187"/>
    <n v="61098.057454443187"/>
    <n v="724125.12538599269"/>
    <n v="3.0927225702864602E-2"/>
    <n v="0.39747212292200029"/>
    <n v="0.36654489721913569"/>
    <n v="3.0927225702864602E-2"/>
    <n v="4643.4523665376819"/>
    <n v="59676.961895873123"/>
    <n v="55033.509529335446"/>
    <n v="4643.4523665376764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46077.120935774"/>
    <n v="694667.19345041306"/>
    <n v="0"/>
    <n v="0"/>
    <n v="0"/>
    <n v="0"/>
    <n v="0"/>
    <n v="0"/>
    <n v="-348590.07251463906"/>
    <n v="0"/>
    <n v="0"/>
    <n v="0"/>
    <n v="0"/>
    <n v="0"/>
    <n v="0"/>
    <n v="0"/>
    <n v="0"/>
    <n v="0"/>
    <n v="0"/>
    <x v="1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5757.7166864893616"/>
    <n v="0"/>
    <n v="0"/>
    <n v="0"/>
    <n v="0"/>
    <n v="0"/>
    <n v="0"/>
    <n v="48297.869614259107"/>
    <n v="48297.869614259107"/>
    <n v="0"/>
    <n v="4.334733797879755E-2"/>
    <n v="4.334733797879755E-2"/>
    <n v="0"/>
    <n v="4.334733797879755E-2"/>
    <n v="7244.6804421388661"/>
    <n v="7244.6804421388661"/>
    <n v="0"/>
    <n v="7244.6804421388661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218022.17480677072"/>
    <n v="0"/>
    <n v="0"/>
    <n v="0"/>
    <n v="0"/>
    <n v="0"/>
    <n v="0"/>
    <n v="0"/>
    <n v="218022.17480677072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1325.762503658123"/>
    <n v="0"/>
    <n v="0"/>
    <n v="0"/>
    <n v="0"/>
    <n v="0"/>
    <n v="31325.762503658123"/>
    <n v="0"/>
    <n v="0"/>
    <n v="0"/>
    <n v="31325.762503658123"/>
    <n v="0"/>
    <n v="0.57639403006730938"/>
    <n v="0"/>
    <n v="0.57639403006730938"/>
    <n v="0"/>
    <n v="13000.191439018123"/>
    <n v="0"/>
    <n v="13000.191439018123"/>
    <x v="0"/>
  </r>
  <r>
    <x v="32"/>
    <s v="Pyrolyseprodukter"/>
    <n v="1"/>
    <x v="2"/>
    <s v="Østdanmark"/>
    <n v="255359.82623770126"/>
    <n v="0"/>
    <n v="0"/>
    <n v="0"/>
    <n v="0"/>
    <n v="0"/>
    <n v="255359.82623770126"/>
    <n v="0"/>
    <n v="0"/>
    <n v="0"/>
    <n v="255359.82623770126"/>
    <n v="0"/>
    <n v="2.2883888428415706"/>
    <n v="0"/>
    <n v="2.2883888428415706"/>
    <n v="0"/>
    <n v="0"/>
    <n v="0"/>
    <n v="0"/>
    <x v="0"/>
  </r>
  <r>
    <x v="33"/>
    <s v="Pyrolyseprodukter"/>
    <n v="1"/>
    <x v="2"/>
    <s v="Østdanmark"/>
    <n v="63839.956559425314"/>
    <n v="0"/>
    <n v="0"/>
    <n v="0"/>
    <n v="0"/>
    <n v="0"/>
    <n v="63839.956559425314"/>
    <n v="0"/>
    <n v="0"/>
    <n v="0"/>
    <n v="63839.956559425314"/>
    <n v="0"/>
    <n v="2.1238641547941377"/>
    <n v="0"/>
    <n v="2.1238641547941377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15213.68672370631"/>
    <n v="0"/>
    <n v="0"/>
    <n v="0"/>
    <n v="0"/>
    <n v="0"/>
    <n v="0"/>
    <n v="115213.68672370631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57606.843361853156"/>
    <n v="26278.769501998373"/>
    <n v="0"/>
    <n v="0"/>
    <n v="0"/>
    <n v="0"/>
    <n v="0"/>
    <n v="0"/>
    <n v="31328.073859854783"/>
    <n v="0"/>
    <n v="0"/>
    <n v="0"/>
    <n v="0"/>
    <n v="0"/>
    <n v="0"/>
    <n v="0"/>
    <n v="0"/>
    <n v="0"/>
    <n v="0"/>
    <x v="1"/>
  </r>
  <r>
    <x v="37"/>
    <s v="Rapsolie"/>
    <n v="1"/>
    <x v="2"/>
    <s v="Østdanmark"/>
    <n v="36868.379751586021"/>
    <n v="0"/>
    <n v="0"/>
    <n v="0"/>
    <n v="0"/>
    <n v="0"/>
    <n v="36868.379751586021"/>
    <n v="0"/>
    <n v="0"/>
    <n v="0"/>
    <n v="36868.379751586021"/>
    <n v="0"/>
    <n v="1.2903932913055105"/>
    <n v="0"/>
    <n v="1.2903932913055105"/>
    <n v="0"/>
    <n v="33550.22557394328"/>
    <n v="0"/>
    <n v="33550.22557394328"/>
    <x v="0"/>
  </r>
  <r>
    <x v="38"/>
    <s v="Græs og urter"/>
    <n v="1"/>
    <x v="2"/>
    <s v="Østdanmark"/>
    <n v="2128936.6947511984"/>
    <n v="106617.61280762308"/>
    <n v="0"/>
    <n v="0"/>
    <n v="0"/>
    <n v="0"/>
    <n v="0"/>
    <n v="0"/>
    <n v="2022319.0819435753"/>
    <n v="1428486.5239850583"/>
    <n v="0"/>
    <n v="3.8769695655564078"/>
    <n v="3.8769695655564078"/>
    <n v="0"/>
    <n v="3.8769695655564078"/>
    <n v="285697.30479701166"/>
    <n v="285697.30479701166"/>
    <n v="0"/>
    <n v="285697.30479701166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2800225.1934703197"/>
    <n v="0"/>
    <n v="0"/>
    <n v="0"/>
    <n v="700056.29836757993"/>
    <n v="700056.29836757993"/>
    <n v="2800225.1934703197"/>
    <n v="0.34933509344840613"/>
    <n v="1.7466754672420306"/>
    <n v="1.3973403737936245"/>
    <n v="0.34933509344840608"/>
    <n v="42003.377902054795"/>
    <n v="210016.88951027396"/>
    <n v="168013.51160821918"/>
    <n v="42003.377902054781"/>
    <x v="0"/>
  </r>
  <r>
    <x v="42"/>
    <s v="Husdyrgødning"/>
    <n v="1"/>
    <x v="2"/>
    <s v="Østdanmark"/>
    <n v="2091197.4416372697"/>
    <n v="0"/>
    <n v="0"/>
    <n v="0"/>
    <n v="1672957.9533098158"/>
    <n v="418239.48832745384"/>
    <n v="0"/>
    <n v="0"/>
    <n v="0"/>
    <n v="0"/>
    <n v="1672957.9533098158"/>
    <n v="0"/>
    <n v="0.72071028628586875"/>
    <n v="0.72071028628586875"/>
    <n v="0"/>
    <n v="0"/>
    <n v="83647.897665490804"/>
    <n v="83647.897665490804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1193.8794894044117"/>
    <n v="0"/>
    <n v="0"/>
    <n v="0"/>
    <n v="0"/>
    <n v="0"/>
    <n v="0"/>
    <n v="3306.1205105955883"/>
    <n v="3306.1205105955883"/>
    <n v="0"/>
    <n v="2.9672431582595409E-3"/>
    <n v="2.9672431582595409E-3"/>
    <n v="0"/>
    <n v="2.9672431582595409E-3"/>
    <n v="495.91807658933823"/>
    <n v="495.91807658933823"/>
    <n v="0"/>
    <n v="495.91807658933823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95128.1688444037"/>
    <n v="0"/>
    <n v="0"/>
    <n v="0"/>
    <n v="0"/>
    <n v="0"/>
    <n v="595128.1688444037"/>
    <n v="0"/>
    <n v="0"/>
    <n v="0"/>
    <n v="595128.1688444037"/>
    <n v="0"/>
    <n v="8.6255311199386124"/>
    <n v="0"/>
    <n v="8.6255311199386124"/>
    <n v="0"/>
    <n v="294340.47350762796"/>
    <n v="0"/>
    <n v="294340.47350762796"/>
    <x v="0"/>
  </r>
  <r>
    <x v="47"/>
    <s v=""/>
    <n v="0"/>
    <x v="2"/>
    <s v="Østdanmark"/>
    <n v="165791.82373780277"/>
    <n v="0"/>
    <n v="0"/>
    <n v="0"/>
    <n v="0"/>
    <n v="0"/>
    <n v="0"/>
    <n v="0"/>
    <n v="165791.82373780277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155146.779166311"/>
    <n v="0"/>
    <n v="0"/>
    <n v="0"/>
    <n v="155146.779166311"/>
    <n v="0"/>
    <n v="5.4301372708208842"/>
    <n v="0"/>
    <n v="5.4301372708208842"/>
    <n v="0"/>
    <n v="141183.569041343"/>
    <n v="0"/>
    <n v="141183.569041343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184407.26877936258"/>
    <n v="64498.475475191975"/>
    <n v="0"/>
    <n v="0"/>
    <n v="0"/>
    <n v="0"/>
    <n v="0"/>
    <n v="0"/>
    <n v="119908.7933041706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38346468.17502034"/>
    <n v="0"/>
    <n v="0"/>
    <n v="0"/>
    <n v="0"/>
    <n v="0"/>
    <n v="538346468.17502034"/>
    <n v="0"/>
    <n v="0"/>
    <n v="0"/>
    <n v="538346468.17502034"/>
    <n v="0"/>
    <n v="0"/>
    <n v="0"/>
    <n v="0"/>
    <n v="0"/>
    <n v="0"/>
    <n v="0"/>
    <n v="0"/>
    <n v="0"/>
    <x v="1"/>
  </r>
  <r>
    <x v="4"/>
    <s v=""/>
    <n v="0"/>
    <x v="1"/>
    <s v="Vestdanmark"/>
    <n v="22754669.572022874"/>
    <n v="0"/>
    <n v="0"/>
    <n v="0"/>
    <n v="0"/>
    <n v="19483465.104424868"/>
    <n v="0"/>
    <n v="0"/>
    <n v="3271204.4675980061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7382.3997257789451"/>
    <n v="0"/>
    <n v="0"/>
    <n v="0"/>
    <n v="3691.1998628894726"/>
    <n v="0"/>
    <n v="0"/>
    <n v="0"/>
    <n v="3691.1998628894726"/>
    <n v="3691.1998628894726"/>
    <n v="3691.1998628894726"/>
    <n v="2.0966977773155789E-3"/>
    <n v="4.1933955546311578E-3"/>
    <n v="2.0966977773155789E-3"/>
    <n v="2.0966977773155789E-3"/>
    <n v="157.84821029252265"/>
    <n v="315.6964205850453"/>
    <n v="157.84821029252265"/>
    <n v="157.84821029252265"/>
    <n v="0"/>
    <x v="0"/>
  </r>
  <r>
    <x v="6"/>
    <s v="Husdyrgødning"/>
    <n v="1"/>
    <x v="1"/>
    <s v="Vestdanmark"/>
    <n v="2652925.8184588463"/>
    <n v="0"/>
    <n v="0"/>
    <n v="0"/>
    <n v="1989694.3638441348"/>
    <n v="251080.47924699794"/>
    <n v="0"/>
    <n v="0"/>
    <n v="412150.97536771372"/>
    <n v="412150.97536771372"/>
    <n v="1989694.3638441348"/>
    <n v="0.88777320094205536"/>
    <n v="5.1735748606623213"/>
    <n v="4.2858016597202662"/>
    <n v="0.88777320094205514"/>
    <n v="123645.29261031411"/>
    <n v="720553.6017635545"/>
    <n v="596908.30915324041"/>
    <n v="123645.29261031409"/>
    <n v="0"/>
    <x v="0"/>
  </r>
  <r>
    <x v="7"/>
    <s v=""/>
    <n v="0"/>
    <x v="1"/>
    <s v="Vestdanmark"/>
    <n v="5199.7057508125108"/>
    <n v="5201.2984929347494"/>
    <n v="0"/>
    <n v="0"/>
    <n v="0"/>
    <n v="0"/>
    <n v="0"/>
    <n v="0"/>
    <n v="-1.5927421222386329"/>
    <n v="0"/>
    <n v="0"/>
    <n v="0"/>
    <n v="0"/>
    <n v="0"/>
    <n v="0"/>
    <n v="0"/>
    <n v="0"/>
    <n v="0"/>
    <n v="0"/>
    <n v="1"/>
    <x v="1"/>
  </r>
  <r>
    <x v="8"/>
    <s v="Husdyrgødning"/>
    <n v="1"/>
    <x v="1"/>
    <s v="Vestdanmark"/>
    <n v="8342.726135545483"/>
    <n v="0"/>
    <n v="0"/>
    <n v="0"/>
    <n v="5422.7719881045641"/>
    <n v="2210.8224259195526"/>
    <n v="0"/>
    <n v="0"/>
    <n v="709.13172152136576"/>
    <n v="709.13172152136576"/>
    <n v="5422.7719881045641"/>
    <n v="3.3349755731428314E-4"/>
    <n v="2.8837729955999785E-3"/>
    <n v="2.5502754382856953E-3"/>
    <n v="3.3349755731428314E-4"/>
    <n v="44.675298455846047"/>
    <n v="386.30993370643358"/>
    <n v="341.63463525058756"/>
    <n v="44.675298455846018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576631.345963069"/>
    <n v="0"/>
    <n v="0"/>
    <n v="0"/>
    <n v="0"/>
    <n v="0"/>
    <n v="0"/>
    <n v="0"/>
    <n v="576631.345963069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18416.271242773404"/>
    <n v="0"/>
    <n v="0"/>
    <n v="257923.29437791562"/>
    <n v="0"/>
    <n v="0"/>
    <n v="0"/>
    <n v="0"/>
    <n v="-239507.0231351422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0042259.647995874"/>
    <n v="10578766.547699077"/>
    <n v="0"/>
    <n v="0"/>
    <n v="0"/>
    <n v="0"/>
    <n v="0"/>
    <n v="15107.676841271819"/>
    <n v="-551614.57654447481"/>
    <n v="0"/>
    <n v="0"/>
    <n v="0"/>
    <n v="0"/>
    <n v="0"/>
    <n v="0"/>
    <n v="0"/>
    <n v="0"/>
    <n v="0"/>
    <n v="0"/>
    <n v="0"/>
    <x v="0"/>
  </r>
  <r>
    <x v="14"/>
    <s v=""/>
    <n v="0"/>
    <x v="1"/>
    <s v="Vestdanmark"/>
    <n v="2525.5713646803624"/>
    <n v="2525.5713646803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35775.41565002408"/>
    <n v="0"/>
    <n v="0"/>
    <n v="270140.71358529059"/>
    <n v="0"/>
    <n v="0"/>
    <n v="0"/>
    <n v="0"/>
    <n v="-134365.29793526651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012749.9397108331"/>
    <n v="773085.89354292606"/>
    <n v="726974.95402379602"/>
    <n v="0"/>
    <n v="0"/>
    <n v="0"/>
    <n v="0"/>
    <n v="744921.86156949028"/>
    <n v="-232232.76942537911"/>
    <n v="0"/>
    <n v="0"/>
    <n v="0"/>
    <n v="0"/>
    <n v="0"/>
    <n v="0"/>
    <n v="0"/>
    <n v="0"/>
    <n v="0"/>
    <n v="0"/>
    <n v="1"/>
    <x v="1"/>
  </r>
  <r>
    <x v="17"/>
    <s v="Bionedbrydeligt affald"/>
    <n v="1"/>
    <x v="1"/>
    <s v="Vestdanmark"/>
    <n v="526734.10986839118"/>
    <n v="0"/>
    <n v="0"/>
    <n v="0"/>
    <n v="267973.79239933251"/>
    <n v="0"/>
    <n v="258760.31746905867"/>
    <n v="0"/>
    <n v="0"/>
    <n v="0"/>
    <n v="526734.10986839118"/>
    <n v="0"/>
    <n v="5.0744845071167353"/>
    <n v="0.4550382576595346"/>
    <n v="4.6194462494572006"/>
    <n v="0"/>
    <n v="158020.23296051734"/>
    <n v="80392.13771979975"/>
    <n v="77628.095240717594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543978.91341244674"/>
    <n v="0"/>
    <n v="0"/>
    <n v="0"/>
    <n v="0"/>
    <n v="0"/>
    <n v="0"/>
    <n v="0"/>
    <n v="543978.91341244674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0"/>
    <n v="0"/>
    <n v="0"/>
    <n v="123531.68309679118"/>
    <n v="0"/>
    <n v="0"/>
    <n v="0"/>
    <n v="0"/>
    <n v="-123531.68309679118"/>
    <n v="0"/>
    <n v="0"/>
    <n v="0"/>
    <n v="0"/>
    <n v="0"/>
    <n v="0"/>
    <n v="0"/>
    <n v="0"/>
    <n v="0"/>
    <n v="0"/>
    <n v="1"/>
    <x v="1"/>
  </r>
  <r>
    <x v="22"/>
    <s v="Halm og strå"/>
    <n v="1"/>
    <x v="1"/>
    <s v="Vestdanmark"/>
    <n v="5176210.3236121144"/>
    <n v="6085811.9789329367"/>
    <n v="0"/>
    <n v="295933.04302308214"/>
    <n v="0"/>
    <n v="0"/>
    <n v="0"/>
    <n v="0"/>
    <n v="-1205534.6983439047"/>
    <n v="0"/>
    <n v="0"/>
    <n v="0"/>
    <n v="0"/>
    <n v="0"/>
    <n v="0"/>
    <n v="0"/>
    <n v="0"/>
    <n v="0"/>
    <n v="0"/>
    <n v="0"/>
    <x v="0"/>
  </r>
  <r>
    <x v="23"/>
    <s v=""/>
    <n v="0"/>
    <x v="1"/>
    <s v="Vestdanmark"/>
    <n v="0"/>
    <n v="0"/>
    <n v="0"/>
    <n v="0"/>
    <n v="0"/>
    <n v="55055.07188334316"/>
    <n v="0"/>
    <n v="0"/>
    <n v="-55055.07188334316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5450127.5876520872"/>
    <n v="5659611.4645835822"/>
    <n v="0"/>
    <n v="0"/>
    <n v="0"/>
    <n v="0"/>
    <n v="0"/>
    <n v="0"/>
    <n v="-209483.87693149503"/>
    <n v="0"/>
    <n v="0"/>
    <n v="0"/>
    <n v="0"/>
    <n v="0"/>
    <n v="0"/>
    <n v="0"/>
    <n v="0"/>
    <n v="0"/>
    <n v="0"/>
    <n v="1"/>
    <x v="1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46909.42609053191"/>
    <n v="0"/>
    <n v="0"/>
    <n v="0"/>
    <n v="0"/>
    <n v="0"/>
    <n v="0"/>
    <n v="97950.762160772298"/>
    <n v="95406.837717421964"/>
    <n v="0"/>
    <n v="8.5627636851386218E-2"/>
    <n v="8.5627636851386218E-2"/>
    <n v="0"/>
    <n v="8.5627636851386218E-2"/>
    <n v="14311.025657613294"/>
    <n v="14311.025657613294"/>
    <n v="0"/>
    <n v="14311.025657613294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351873.9099999037"/>
    <n v="0"/>
    <n v="0"/>
    <n v="0"/>
    <n v="0"/>
    <n v="0"/>
    <n v="0"/>
    <n v="0"/>
    <n v="351873.9099999037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97606.291632882203"/>
    <n v="0"/>
    <n v="0"/>
    <n v="0"/>
    <n v="0"/>
    <n v="0"/>
    <n v="97606.291632882203"/>
    <n v="0"/>
    <n v="0"/>
    <n v="0"/>
    <n v="97606.291632882203"/>
    <n v="0"/>
    <n v="1.7959557660450323"/>
    <n v="0"/>
    <n v="1.7959557660450323"/>
    <n v="0"/>
    <n v="40506.611027646119"/>
    <n v="0"/>
    <n v="40506.611027646119"/>
    <n v="0"/>
    <x v="1"/>
  </r>
  <r>
    <x v="32"/>
    <s v="Pyrolyseprodukter"/>
    <n v="1"/>
    <x v="1"/>
    <s v="Vestdanmark"/>
    <n v="417156.24247891462"/>
    <n v="0"/>
    <n v="0"/>
    <n v="0"/>
    <n v="0"/>
    <n v="0"/>
    <n v="417156.24247891462"/>
    <n v="0"/>
    <n v="0"/>
    <n v="0"/>
    <n v="417156.24247891462"/>
    <n v="0"/>
    <n v="3.7383158701003296"/>
    <n v="0"/>
    <n v="3.7383158701003296"/>
    <n v="0"/>
    <n v="0"/>
    <n v="0"/>
    <n v="0"/>
    <n v="0"/>
    <x v="1"/>
  </r>
  <r>
    <x v="33"/>
    <s v="Pyrolyseprodukter"/>
    <n v="1"/>
    <x v="1"/>
    <s v="Vestdanmark"/>
    <n v="104289.06061972865"/>
    <n v="0"/>
    <n v="0"/>
    <n v="0"/>
    <n v="0"/>
    <n v="0"/>
    <n v="104289.06061972865"/>
    <n v="0"/>
    <n v="0"/>
    <n v="0"/>
    <n v="104289.06061972865"/>
    <n v="0"/>
    <n v="3.4695480624460577"/>
    <n v="0"/>
    <n v="3.4695480624460577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352476.43400802126"/>
    <n v="0"/>
    <n v="0"/>
    <n v="0"/>
    <n v="0"/>
    <n v="0"/>
    <n v="0"/>
    <n v="352476.43400802126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176238.21700401063"/>
    <n v="214099.10609126225"/>
    <n v="0"/>
    <n v="0"/>
    <n v="0"/>
    <n v="0"/>
    <n v="0"/>
    <n v="0"/>
    <n v="-37860.88908725162"/>
    <n v="0"/>
    <n v="0"/>
    <n v="0"/>
    <n v="0"/>
    <n v="0"/>
    <n v="0"/>
    <n v="0"/>
    <n v="0"/>
    <n v="0"/>
    <n v="0"/>
    <n v="1"/>
    <x v="1"/>
  </r>
  <r>
    <x v="37"/>
    <s v="Rapsolie"/>
    <n v="1"/>
    <x v="1"/>
    <s v="Vestdanmark"/>
    <n v="112792.4588825668"/>
    <n v="0"/>
    <n v="0"/>
    <n v="0"/>
    <n v="0"/>
    <n v="0"/>
    <n v="112792.4588825668"/>
    <n v="0"/>
    <n v="0"/>
    <n v="0"/>
    <n v="112792.4588825668"/>
    <n v="0"/>
    <n v="3.947736060889838"/>
    <n v="0"/>
    <n v="3.947736060889838"/>
    <n v="0"/>
    <n v="102641.1375831358"/>
    <n v="0"/>
    <n v="102641.1375831358"/>
    <n v="0"/>
    <x v="1"/>
  </r>
  <r>
    <x v="38"/>
    <s v="Græs og urter"/>
    <n v="1"/>
    <x v="1"/>
    <s v="Vestdanmark"/>
    <n v="280098.82292581868"/>
    <n v="868637.91677766922"/>
    <n v="0"/>
    <n v="0"/>
    <n v="0"/>
    <n v="0"/>
    <n v="0"/>
    <n v="0"/>
    <n v="-588539.0938518506"/>
    <n v="0"/>
    <n v="0"/>
    <n v="0"/>
    <n v="0"/>
    <n v="0"/>
    <n v="0"/>
    <n v="0"/>
    <n v="0"/>
    <n v="0"/>
    <n v="0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986955.49875235"/>
    <n v="0"/>
    <n v="0"/>
    <n v="0"/>
    <n v="1986955.49875235"/>
    <n v="1986955.49875235"/>
    <n v="1986955.49875235"/>
    <n v="0.99151066343241034"/>
    <n v="1.9830213268648207"/>
    <n v="0.99151066343241034"/>
    <n v="0.99151066343241034"/>
    <n v="119217.32992514099"/>
    <n v="238434.65985028198"/>
    <n v="119217.32992514099"/>
    <n v="119217.32992514099"/>
    <n v="0"/>
    <x v="0"/>
  </r>
  <r>
    <x v="42"/>
    <s v="Husdyrgødning"/>
    <n v="1"/>
    <x v="1"/>
    <s v="Vestdanmark"/>
    <n v="15074833.175881069"/>
    <n v="0"/>
    <n v="0"/>
    <n v="0"/>
    <n v="9798641.5643226951"/>
    <n v="5276191.611558374"/>
    <n v="0"/>
    <n v="0"/>
    <n v="0"/>
    <n v="0"/>
    <n v="9798641.5643226951"/>
    <n v="0"/>
    <n v="4.2212547859102179"/>
    <n v="4.2212547859102179"/>
    <n v="0"/>
    <n v="0"/>
    <n v="489932.0782161348"/>
    <n v="489932.0782161348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9726.8074687720582"/>
    <n v="0"/>
    <n v="0"/>
    <n v="0"/>
    <n v="0"/>
    <n v="0"/>
    <n v="0"/>
    <n v="3773.1925312279418"/>
    <n v="3773.1925312279418"/>
    <n v="0"/>
    <n v="3.3864402967770783E-3"/>
    <n v="3.3864402967770783E-3"/>
    <n v="0"/>
    <n v="3.3864402967770783E-3"/>
    <n v="565.97887968419127"/>
    <n v="565.97887968419127"/>
    <n v="0"/>
    <n v="565.97887968419127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180922.23714625766"/>
    <n v="64498.475475191975"/>
    <n v="0"/>
    <n v="0"/>
    <n v="0"/>
    <n v="0"/>
    <n v="0"/>
    <n v="0"/>
    <n v="116423.76167106567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595864256.47199023"/>
    <n v="0"/>
    <n v="0"/>
    <n v="0"/>
    <n v="0"/>
    <n v="0"/>
    <n v="595864256.47199023"/>
    <n v="0"/>
    <n v="0"/>
    <n v="0"/>
    <n v="595864256.47199023"/>
    <n v="0"/>
    <n v="0"/>
    <n v="0"/>
    <n v="0"/>
    <n v="0"/>
    <n v="0"/>
    <n v="0"/>
    <n v="0"/>
    <n v="0"/>
    <x v="1"/>
  </r>
  <r>
    <x v="4"/>
    <s v=""/>
    <n v="0"/>
    <x v="2"/>
    <s v="Vestdanmark"/>
    <n v="26076139.147760522"/>
    <n v="0"/>
    <n v="0"/>
    <n v="0"/>
    <n v="0"/>
    <n v="20817436.864202589"/>
    <n v="0"/>
    <n v="0"/>
    <n v="5258702.2835579328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7382.3997257789451"/>
    <n v="0"/>
    <n v="0"/>
    <n v="0"/>
    <n v="5905.9197806231568"/>
    <n v="0"/>
    <n v="0"/>
    <n v="0"/>
    <n v="1476.4799451557883"/>
    <n v="1476.4799451557883"/>
    <n v="5905.9197806231568"/>
    <n v="8.3867911092623103E-4"/>
    <n v="4.1933955546311578E-3"/>
    <n v="3.3547164437049263E-3"/>
    <n v="8.3867911092623147E-4"/>
    <n v="63.139284117009026"/>
    <n v="315.6964205850453"/>
    <n v="252.55713646803628"/>
    <n v="63.139284117009026"/>
    <n v="0"/>
    <x v="0"/>
  </r>
  <r>
    <x v="6"/>
    <s v="Husdyrgødning"/>
    <n v="1"/>
    <x v="2"/>
    <s v="Vestdanmark"/>
    <n v="2777977.7276885756"/>
    <n v="0"/>
    <n v="0"/>
    <n v="0"/>
    <n v="2222382.1821508608"/>
    <n v="210332.59938213494"/>
    <n v="0"/>
    <n v="0"/>
    <n v="345262.94615557976"/>
    <n v="345262.94615557976"/>
    <n v="2222382.1821508608"/>
    <n v="0.7436963860191188"/>
    <n v="5.530707606372073"/>
    <n v="4.7870112203529542"/>
    <n v="0.7436963860191188"/>
    <n v="103578.88384667393"/>
    <n v="770293.53849193209"/>
    <n v="666714.65464525821"/>
    <n v="103578.88384667388"/>
    <n v="0"/>
    <x v="0"/>
  </r>
  <r>
    <x v="7"/>
    <s v=""/>
    <n v="0"/>
    <x v="2"/>
    <s v="Vestdanmark"/>
    <n v="5199.7057508125108"/>
    <n v="5201.2984929347494"/>
    <n v="0"/>
    <n v="0"/>
    <n v="0"/>
    <n v="0"/>
    <n v="0"/>
    <n v="0"/>
    <n v="-1.5927421222386329"/>
    <n v="0"/>
    <n v="0"/>
    <n v="0"/>
    <n v="0"/>
    <n v="0"/>
    <n v="0"/>
    <n v="0"/>
    <n v="0"/>
    <n v="0"/>
    <n v="0"/>
    <n v="1"/>
    <x v="1"/>
  </r>
  <r>
    <x v="8"/>
    <s v="Husdyrgødning"/>
    <n v="1"/>
    <x v="2"/>
    <s v="Vestdanmark"/>
    <n v="8615.5317224824212"/>
    <n v="0"/>
    <n v="0"/>
    <n v="0"/>
    <n v="6892.4253779859373"/>
    <n v="1304.637660833052"/>
    <n v="0"/>
    <n v="0"/>
    <n v="418.46868366343188"/>
    <n v="418.46868366343188"/>
    <n v="6892.4253779859373"/>
    <n v="1.9680163724007538E-4"/>
    <n v="3.4382403682530816E-3"/>
    <n v="3.2414387310130063E-3"/>
    <n v="1.968016372400753E-4"/>
    <n v="26.363527070796209"/>
    <n v="460.58632588391026"/>
    <n v="434.22279881311403"/>
    <n v="26.363527070796238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565733.84450001363"/>
    <n v="0"/>
    <n v="0"/>
    <n v="0"/>
    <n v="0"/>
    <n v="0"/>
    <n v="0"/>
    <n v="0"/>
    <n v="565733.84450001363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18068.230255724804"/>
    <n v="0"/>
    <n v="0"/>
    <n v="267978.92035102146"/>
    <n v="0"/>
    <n v="0"/>
    <n v="0"/>
    <n v="0"/>
    <n v="-249910.69009529665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0105609.567581752"/>
    <n v="10578766.547699077"/>
    <n v="0"/>
    <n v="0"/>
    <n v="0"/>
    <n v="0"/>
    <n v="0"/>
    <n v="15107.676841271819"/>
    <n v="-488264.65695859678"/>
    <n v="0"/>
    <n v="0"/>
    <n v="0"/>
    <n v="0"/>
    <n v="0"/>
    <n v="0"/>
    <n v="0"/>
    <n v="0"/>
    <n v="0"/>
    <n v="0"/>
    <n v="0"/>
    <x v="0"/>
  </r>
  <r>
    <x v="14"/>
    <s v=""/>
    <n v="0"/>
    <x v="2"/>
    <s v="Vestdanmark"/>
    <n v="2525.5713646803624"/>
    <n v="2525.5713646803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32870.52913094888"/>
    <n v="0"/>
    <n v="0"/>
    <n v="280672.65868343826"/>
    <n v="0"/>
    <n v="0"/>
    <n v="0"/>
    <n v="0"/>
    <n v="-147802.12955248938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1996261.5279174207"/>
    <n v="773085.89354292606"/>
    <n v="724013.50560011622"/>
    <n v="0"/>
    <n v="0"/>
    <n v="0"/>
    <n v="0"/>
    <n v="731000.31028981879"/>
    <n v="-231838.18151544011"/>
    <n v="0"/>
    <n v="0"/>
    <n v="0"/>
    <n v="0"/>
    <n v="0"/>
    <n v="0"/>
    <n v="0"/>
    <n v="0"/>
    <n v="0"/>
    <n v="0"/>
    <n v="0"/>
    <x v="0"/>
  </r>
  <r>
    <x v="17"/>
    <s v="Bionedbrydeligt affald"/>
    <n v="1"/>
    <x v="2"/>
    <s v="Vestdanmark"/>
    <n v="524881.97503939818"/>
    <n v="0"/>
    <n v="0"/>
    <n v="0"/>
    <n v="267031.5264916165"/>
    <n v="0"/>
    <n v="257850.44854778168"/>
    <n v="0"/>
    <n v="0"/>
    <n v="0"/>
    <n v="524881.97503939818"/>
    <n v="0"/>
    <n v="5.0566412930192746"/>
    <n v="0.45343822418961927"/>
    <n v="4.6032030688296555"/>
    <n v="0"/>
    <n v="157464.59251181944"/>
    <n v="80109.457947484945"/>
    <n v="77355.134564334498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533698.49586961837"/>
    <n v="0"/>
    <n v="0"/>
    <n v="0"/>
    <n v="0"/>
    <n v="0"/>
    <n v="0"/>
    <n v="0"/>
    <n v="533698.49586961837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0"/>
    <n v="0"/>
    <n v="0"/>
    <n v="128347.79869443661"/>
    <n v="0"/>
    <n v="0"/>
    <n v="0"/>
    <n v="0"/>
    <n v="-128347.79869443661"/>
    <n v="0"/>
    <n v="0"/>
    <n v="0"/>
    <n v="0"/>
    <n v="0"/>
    <n v="0"/>
    <n v="0"/>
    <n v="0"/>
    <n v="0"/>
    <n v="0"/>
    <n v="1"/>
    <x v="1"/>
  </r>
  <r>
    <x v="22"/>
    <s v="Halm og strå"/>
    <n v="1"/>
    <x v="2"/>
    <s v="Vestdanmark"/>
    <n v="5133942.8537930651"/>
    <n v="6085811.9789329367"/>
    <n v="0"/>
    <n v="307470.55071854044"/>
    <n v="0"/>
    <n v="0"/>
    <n v="0"/>
    <n v="0"/>
    <n v="-1259339.6758584119"/>
    <n v="0"/>
    <n v="0"/>
    <n v="0"/>
    <n v="0"/>
    <n v="0"/>
    <n v="0"/>
    <n v="0"/>
    <n v="0"/>
    <n v="0"/>
    <n v="0"/>
    <n v="0"/>
    <x v="0"/>
  </r>
  <r>
    <x v="23"/>
    <s v=""/>
    <n v="0"/>
    <x v="2"/>
    <s v="Vestdanmark"/>
    <n v="0"/>
    <n v="0"/>
    <n v="0"/>
    <n v="0"/>
    <n v="0"/>
    <n v="63681.74406389035"/>
    <n v="0"/>
    <n v="0"/>
    <n v="-63681.74406389035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10188325.20203986"/>
    <n v="1687441.3615878511"/>
    <n v="0"/>
    <n v="0"/>
    <n v="859639.93892211281"/>
    <n v="859639.93892211281"/>
    <n v="10188325.20203986"/>
    <n v="0.43514114068298432"/>
    <n v="5.592369474703542"/>
    <n v="5.1572283340205578"/>
    <n v="0.43514114068298415"/>
    <n v="65332.635358080573"/>
    <n v="839645.35071310995"/>
    <n v="774312.71535502933"/>
    <n v="65332.635358080617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5712838.4612741098"/>
    <n v="5659611.4645835822"/>
    <n v="0"/>
    <n v="0"/>
    <n v="0"/>
    <n v="0"/>
    <n v="0"/>
    <n v="0"/>
    <n v="53226.996690527536"/>
    <n v="0"/>
    <n v="0"/>
    <n v="0"/>
    <n v="0"/>
    <n v="0"/>
    <n v="0"/>
    <n v="0"/>
    <n v="0"/>
    <n v="0"/>
    <n v="0"/>
    <n v="1"/>
    <x v="1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46909.42609053191"/>
    <n v="0"/>
    <n v="0"/>
    <n v="0"/>
    <n v="0"/>
    <n v="0"/>
    <n v="0"/>
    <n v="169492.57209499774"/>
    <n v="169492.57209499774"/>
    <n v="0"/>
    <n v="0.1521195834552605"/>
    <n v="0.1521195834552605"/>
    <n v="0"/>
    <n v="0.1521195834552605"/>
    <n v="25423.885814249661"/>
    <n v="25423.885814249661"/>
    <n v="0"/>
    <n v="25423.885814249661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345224.00018164597"/>
    <n v="0"/>
    <n v="0"/>
    <n v="0"/>
    <n v="0"/>
    <n v="0"/>
    <n v="0"/>
    <n v="0"/>
    <n v="345224.00018164597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95761.673380129621"/>
    <n v="0"/>
    <n v="0"/>
    <n v="0"/>
    <n v="0"/>
    <n v="0"/>
    <n v="95761.673380129621"/>
    <n v="0"/>
    <n v="0"/>
    <n v="0"/>
    <n v="95761.673380129621"/>
    <n v="0"/>
    <n v="1.7620147901943848"/>
    <n v="0"/>
    <n v="1.7620147901943848"/>
    <n v="0"/>
    <n v="39741.094452753794"/>
    <n v="0"/>
    <n v="39741.094452753794"/>
    <n v="0"/>
    <x v="1"/>
  </r>
  <r>
    <x v="32"/>
    <s v="Pyrolyseprodukter"/>
    <n v="1"/>
    <x v="2"/>
    <s v="Vestdanmark"/>
    <n v="409360.17376229854"/>
    <n v="0"/>
    <n v="0"/>
    <n v="0"/>
    <n v="0"/>
    <n v="0"/>
    <n v="409360.17376229854"/>
    <n v="0"/>
    <n v="0"/>
    <n v="0"/>
    <n v="409360.17376229854"/>
    <n v="0"/>
    <n v="3.6684519571584255"/>
    <n v="0"/>
    <n v="3.6684519571584255"/>
    <n v="0"/>
    <n v="0"/>
    <n v="0"/>
    <n v="0"/>
    <n v="0"/>
    <x v="1"/>
  </r>
  <r>
    <x v="33"/>
    <s v="Pyrolyseprodukter"/>
    <n v="1"/>
    <x v="2"/>
    <s v="Vestdanmark"/>
    <n v="102340.04344057463"/>
    <n v="0"/>
    <n v="0"/>
    <n v="0"/>
    <n v="0"/>
    <n v="0"/>
    <n v="102340.04344057463"/>
    <n v="0"/>
    <n v="0"/>
    <n v="0"/>
    <n v="102340.04344057463"/>
    <n v="0"/>
    <n v="3.4047070452058592"/>
    <n v="0"/>
    <n v="3.4047070452058592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345496.6234152735"/>
    <n v="0"/>
    <n v="0"/>
    <n v="0"/>
    <n v="0"/>
    <n v="0"/>
    <n v="0"/>
    <n v="345496.6234152735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172748.31170763675"/>
    <n v="214099.10609126225"/>
    <n v="0"/>
    <n v="0"/>
    <n v="0"/>
    <n v="0"/>
    <n v="0"/>
    <n v="0"/>
    <n v="-41350.7943836255"/>
    <n v="0"/>
    <n v="0"/>
    <n v="0"/>
    <n v="0"/>
    <n v="0"/>
    <n v="0"/>
    <n v="0"/>
    <n v="0"/>
    <n v="0"/>
    <n v="0"/>
    <n v="1"/>
    <x v="1"/>
  </r>
  <r>
    <x v="37"/>
    <s v="Rapsolie"/>
    <n v="1"/>
    <x v="2"/>
    <s v="Vestdanmark"/>
    <n v="110558.91949288752"/>
    <n v="0"/>
    <n v="0"/>
    <n v="0"/>
    <n v="0"/>
    <n v="0"/>
    <n v="110558.91949288752"/>
    <n v="0"/>
    <n v="0"/>
    <n v="0"/>
    <n v="110558.91949288752"/>
    <n v="0"/>
    <n v="3.8695621822510629"/>
    <n v="0"/>
    <n v="3.8695621822510629"/>
    <n v="0"/>
    <n v="100608.61673852765"/>
    <n v="0"/>
    <n v="100608.61673852765"/>
    <n v="0"/>
    <x v="1"/>
  </r>
  <r>
    <x v="38"/>
    <s v="Græs og urter"/>
    <n v="1"/>
    <x v="2"/>
    <s v="Vestdanmark"/>
    <n v="274805.35881915229"/>
    <n v="868637.91677766922"/>
    <n v="0"/>
    <n v="0"/>
    <n v="0"/>
    <n v="0"/>
    <n v="0"/>
    <n v="0"/>
    <n v="-593832.55795851699"/>
    <n v="0"/>
    <n v="0"/>
    <n v="0"/>
    <n v="0"/>
    <n v="0"/>
    <n v="0"/>
    <n v="0"/>
    <n v="0"/>
    <n v="0"/>
    <n v="0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3297466.0782270324"/>
    <n v="0"/>
    <n v="0"/>
    <n v="0"/>
    <n v="824366.51955675799"/>
    <n v="824366.51955675799"/>
    <n v="3297466.0782270324"/>
    <n v="0.41136713692401788"/>
    <n v="2.0568356846200895"/>
    <n v="1.6454685476960718"/>
    <n v="0.41136713692401772"/>
    <n v="49461.991173405477"/>
    <n v="247309.95586702743"/>
    <n v="197847.96469362194"/>
    <n v="49461.991173405491"/>
    <n v="0"/>
    <x v="0"/>
  </r>
  <r>
    <x v="42"/>
    <s v="Husdyrgødning"/>
    <n v="1"/>
    <x v="2"/>
    <s v="Vestdanmark"/>
    <n v="14432291.767579561"/>
    <n v="0"/>
    <n v="0"/>
    <n v="0"/>
    <n v="11545833.414063649"/>
    <n v="2886458.3535159114"/>
    <n v="0"/>
    <n v="0"/>
    <n v="0"/>
    <n v="0"/>
    <n v="11545833.414063649"/>
    <n v="0"/>
    <n v="4.9739450347786214"/>
    <n v="4.9739450347786214"/>
    <n v="0"/>
    <n v="0"/>
    <n v="577291.67070318246"/>
    <n v="577291.67070318246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9726.8074687720582"/>
    <n v="0"/>
    <n v="0"/>
    <n v="0"/>
    <n v="0"/>
    <n v="0"/>
    <n v="0"/>
    <n v="3773.1925312279418"/>
    <n v="3773.1925312279418"/>
    <n v="0"/>
    <n v="3.3864402967770783E-3"/>
    <n v="3.3864402967770783E-3"/>
    <n v="0"/>
    <n v="3.3864402967770783E-3"/>
    <n v="565.97887968419127"/>
    <n v="565.97887968419127"/>
    <n v="0"/>
    <n v="565.97887968419127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94078.7176866641"/>
    <n v="0"/>
    <n v="0"/>
    <n v="0"/>
    <n v="0"/>
    <n v="0"/>
    <n v="2094078.7176866641"/>
    <n v="0"/>
    <n v="0"/>
    <n v="0"/>
    <n v="2094078.7176866641"/>
    <n v="0"/>
    <n v="30.350674178438894"/>
    <n v="0"/>
    <n v="30.350674178438894"/>
    <n v="0"/>
    <n v="1035696.4324558625"/>
    <n v="0"/>
    <n v="1035696.4324558625"/>
    <n v="0"/>
    <x v="1"/>
  </r>
  <r>
    <x v="47"/>
    <s v=""/>
    <n v="0"/>
    <x v="2"/>
    <s v="Vestdanmark"/>
    <n v="594445.36947787507"/>
    <n v="0"/>
    <n v="0"/>
    <n v="0"/>
    <n v="0"/>
    <n v="0"/>
    <n v="0"/>
    <n v="0"/>
    <n v="594445.3694778750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61943.722362786721"/>
    <n v="0"/>
    <n v="0"/>
    <n v="0"/>
    <n v="61943.722362786721"/>
    <n v="0"/>
    <n v="2.1680302826975351"/>
    <n v="0"/>
    <n v="2.1680302826975351"/>
    <n v="0"/>
    <n v="56368.787350135921"/>
    <n v="0"/>
    <n v="56368.787350135921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5116.855127591796"/>
    <n v="7916.616753740097"/>
    <n v="0"/>
    <n v="0"/>
    <n v="0"/>
    <n v="0"/>
    <n v="0"/>
    <n v="0"/>
    <n v="17200.238373851698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25823070.82650796"/>
    <n v="0"/>
    <n v="0"/>
    <n v="0"/>
    <n v="0"/>
    <n v="0"/>
    <n v="125823070.82650796"/>
    <n v="0"/>
    <n v="0"/>
    <n v="0"/>
    <n v="125823070.82650796"/>
    <n v="0"/>
    <n v="0"/>
    <n v="0"/>
    <n v="0"/>
    <n v="0"/>
    <n v="0"/>
    <n v="0"/>
    <n v="0"/>
    <n v="0"/>
    <x v="1"/>
  </r>
  <r>
    <x v="4"/>
    <s v=""/>
    <n v="0"/>
    <x v="1"/>
    <s v="Østdanmark"/>
    <n v="4316103.8219465185"/>
    <n v="0"/>
    <n v="0"/>
    <n v="0"/>
    <n v="0"/>
    <n v="3695622.0320317331"/>
    <n v="0"/>
    <n v="0"/>
    <n v="620481.78991478542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906.12419784072335"/>
    <n v="0"/>
    <n v="0"/>
    <n v="0"/>
    <n v="453.06209892036168"/>
    <n v="0"/>
    <n v="0"/>
    <n v="0"/>
    <n v="453.06209892036168"/>
    <n v="453.06209892036168"/>
    <n v="453.06209892036168"/>
    <n v="2.5735108665956772E-4"/>
    <n v="5.1470217331913543E-4"/>
    <n v="2.5735108665956772E-4"/>
    <n v="2.5735108665956772E-4"/>
    <n v="19.374470124186381"/>
    <n v="38.748940248372762"/>
    <n v="19.374470124186381"/>
    <n v="19.374470124186381"/>
    <n v="0"/>
    <x v="0"/>
  </r>
  <r>
    <x v="6"/>
    <s v="Husdyrgødning"/>
    <n v="1"/>
    <x v="1"/>
    <s v="Østdanmark"/>
    <n v="358055.10959218151"/>
    <n v="0"/>
    <n v="0"/>
    <n v="0"/>
    <n v="268541.33219413611"/>
    <n v="33887.358586402894"/>
    <n v="0"/>
    <n v="0"/>
    <n v="55626.418811642507"/>
    <n v="55626.418811642507"/>
    <n v="268541.33219413611"/>
    <n v="0.11981930612027797"/>
    <n v="0.69825733566644721"/>
    <n v="0.57843802954616919"/>
    <n v="0.11981930612027802"/>
    <n v="16687.925643492752"/>
    <n v="97250.325301733581"/>
    <n v="80562.399658240829"/>
    <n v="16687.925643492752"/>
    <n v="0"/>
    <x v="0"/>
  </r>
  <r>
    <x v="7"/>
    <s v=""/>
    <n v="0"/>
    <x v="1"/>
    <s v="Østdanmark"/>
    <n v="638.21783938496321"/>
    <n v="638.41333437730827"/>
    <n v="0"/>
    <n v="0"/>
    <n v="0"/>
    <n v="0"/>
    <n v="0"/>
    <n v="0"/>
    <n v="-0.19549499234506129"/>
    <n v="0"/>
    <n v="0"/>
    <n v="0"/>
    <n v="0"/>
    <n v="0"/>
    <n v="0"/>
    <n v="0"/>
    <n v="0"/>
    <n v="0"/>
    <n v="0"/>
    <n v="1"/>
    <x v="1"/>
  </r>
  <r>
    <x v="8"/>
    <s v="Husdyrgødning"/>
    <n v="1"/>
    <x v="1"/>
    <s v="Østdanmark"/>
    <n v="700.20192515285464"/>
    <n v="0"/>
    <n v="0"/>
    <n v="0"/>
    <n v="455.13125134935552"/>
    <n v="185.55351016550645"/>
    <n v="0"/>
    <n v="0"/>
    <n v="59.517163637992667"/>
    <n v="59.517163637992667"/>
    <n v="455.13125134935552"/>
    <n v="2.7990326887311573E-5"/>
    <n v="2.420340030844E-4"/>
    <n v="2.1404367619708842E-4"/>
    <n v="2.799032688731158E-5"/>
    <n v="3.7495813091935379"/>
    <n v="32.422850144202933"/>
    <n v="28.673268835009399"/>
    <n v="3.7495813091935339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544404.7144636024"/>
    <n v="0"/>
    <n v="0"/>
    <n v="0"/>
    <n v="0"/>
    <n v="0"/>
    <n v="0"/>
    <n v="0"/>
    <n v="544404.7144636024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4641.584638945284"/>
    <n v="0"/>
    <n v="0"/>
    <n v="223323.94265330929"/>
    <n v="0"/>
    <n v="0"/>
    <n v="0"/>
    <n v="0"/>
    <n v="-208682.358014364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1896413.0302612376"/>
    <n v="1298449.9225509875"/>
    <n v="0"/>
    <n v="0"/>
    <n v="0"/>
    <n v="0"/>
    <n v="0"/>
    <n v="1854.3335592126687"/>
    <n v="596108.77415103745"/>
    <n v="44494.197606562637"/>
    <n v="0"/>
    <n v="8.1863761821374434E-2"/>
    <n v="8.1863761821374434E-2"/>
    <n v="0"/>
    <n v="8.1863761821374434E-2"/>
    <n v="12458.37532983754"/>
    <n v="12458.37532983754"/>
    <n v="0"/>
    <n v="12458.37532983754"/>
    <n v="0"/>
    <x v="0"/>
  </r>
  <r>
    <x v="14"/>
    <s v=""/>
    <n v="0"/>
    <x v="1"/>
    <s v="Østdanmark"/>
    <n v="309.99152198698209"/>
    <n v="309.99152198698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90005.04444105408"/>
    <n v="0"/>
    <n v="0"/>
    <n v="233902.44520004498"/>
    <n v="0"/>
    <n v="0"/>
    <n v="0"/>
    <n v="0"/>
    <n v="-143897.4007589909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880379.80528949713"/>
    <n v="94889.448034412562"/>
    <n v="103520.85960187271"/>
    <n v="0"/>
    <n v="0"/>
    <n v="0"/>
    <n v="0"/>
    <n v="450078.1384305096"/>
    <n v="231891.35922270222"/>
    <n v="0"/>
    <n v="0"/>
    <n v="0"/>
    <n v="0"/>
    <n v="0"/>
    <n v="0"/>
    <n v="0"/>
    <n v="0"/>
    <n v="0"/>
    <n v="0"/>
    <n v="1"/>
    <x v="1"/>
  </r>
  <r>
    <x v="17"/>
    <s v="Bionedbrydeligt affald"/>
    <n v="1"/>
    <x v="1"/>
    <s v="Østdanmark"/>
    <n v="456074.89013160887"/>
    <n v="0"/>
    <n v="0"/>
    <n v="0"/>
    <n v="232026.20760066749"/>
    <n v="0"/>
    <n v="224048.68253094138"/>
    <n v="0"/>
    <n v="0"/>
    <n v="0"/>
    <n v="456074.89013160887"/>
    <n v="0"/>
    <n v="4.3937632302492702"/>
    <n v="0.3939967423404655"/>
    <n v="3.9997664879088046"/>
    <n v="0"/>
    <n v="136822.46703948267"/>
    <n v="69607.86228020025"/>
    <n v="67214.604759282418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135119.43350585381"/>
    <n v="0"/>
    <n v="0"/>
    <n v="0"/>
    <n v="0"/>
    <n v="0"/>
    <n v="0"/>
    <n v="0"/>
    <n v="135119.43350585381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0"/>
    <n v="0"/>
    <n v="0"/>
    <n v="106960.41463921656"/>
    <n v="0"/>
    <n v="0"/>
    <n v="0"/>
    <n v="0"/>
    <n v="-106960.41463921656"/>
    <n v="0"/>
    <n v="0"/>
    <n v="0"/>
    <n v="0"/>
    <n v="0"/>
    <n v="0"/>
    <n v="0"/>
    <n v="0"/>
    <n v="0"/>
    <n v="0"/>
    <n v="1"/>
    <x v="1"/>
  </r>
  <r>
    <x v="22"/>
    <s v="Halm og strå"/>
    <n v="1"/>
    <x v="1"/>
    <s v="Østdanmark"/>
    <n v="2229437.4413574226"/>
    <n v="746979.53273428511"/>
    <n v="0"/>
    <n v="256234.83946537593"/>
    <n v="0"/>
    <n v="0"/>
    <n v="0"/>
    <n v="0"/>
    <n v="1226223.0691577615"/>
    <n v="20688.370813856833"/>
    <n v="0"/>
    <n v="7.0854773665545726E-2"/>
    <n v="7.0854773665545726E-2"/>
    <n v="0"/>
    <n v="7.0854773665545726E-2"/>
    <n v="6413.3949522956182"/>
    <n v="6413.3949522956182"/>
    <n v="0"/>
    <n v="6413.3949522956182"/>
    <n v="0"/>
    <x v="0"/>
  </r>
  <r>
    <x v="23"/>
    <s v=""/>
    <n v="0"/>
    <x v="1"/>
    <s v="Østdanmark"/>
    <n v="0"/>
    <n v="0"/>
    <n v="0"/>
    <n v="0"/>
    <n v="0"/>
    <n v="284186.53350619553"/>
    <n v="0"/>
    <n v="0"/>
    <n v="-284186.53350619553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42188.62633028702"/>
    <n v="694667.19345041318"/>
    <n v="0"/>
    <n v="0"/>
    <n v="0"/>
    <n v="0"/>
    <n v="0"/>
    <n v="0"/>
    <n v="-352478.56712012616"/>
    <n v="0"/>
    <n v="0"/>
    <n v="0"/>
    <n v="0"/>
    <n v="0"/>
    <n v="0"/>
    <n v="0"/>
    <n v="0"/>
    <n v="0"/>
    <n v="0"/>
    <n v="1"/>
    <x v="1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5757.7166864893625"/>
    <n v="0"/>
    <n v="0"/>
    <n v="0"/>
    <n v="0"/>
    <n v="0"/>
    <n v="0"/>
    <n v="-2543.9244433503286"/>
    <n v="0"/>
    <n v="0"/>
    <n v="0"/>
    <n v="0"/>
    <n v="0"/>
    <n v="0"/>
    <n v="0"/>
    <n v="0"/>
    <n v="0"/>
    <n v="0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218053.83114290028"/>
    <n v="0"/>
    <n v="0"/>
    <n v="0"/>
    <n v="0"/>
    <n v="0"/>
    <n v="0"/>
    <n v="0"/>
    <n v="218053.83114290028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1330.310934881738"/>
    <n v="0"/>
    <n v="0"/>
    <n v="0"/>
    <n v="0"/>
    <n v="0"/>
    <n v="31330.310934881738"/>
    <n v="0"/>
    <n v="0"/>
    <n v="0"/>
    <n v="31330.310934881738"/>
    <n v="0"/>
    <n v="0.57647772120182383"/>
    <n v="0"/>
    <n v="0.57647772120182383"/>
    <n v="0"/>
    <n v="13002.079037975922"/>
    <n v="0"/>
    <n v="13002.079037975922"/>
    <n v="0"/>
    <x v="1"/>
  </r>
  <r>
    <x v="32"/>
    <s v="Pyrolyseprodukter"/>
    <n v="1"/>
    <x v="1"/>
    <s v="Østdanmark"/>
    <n v="252043.75752108541"/>
    <n v="0"/>
    <n v="0"/>
    <n v="0"/>
    <n v="0"/>
    <n v="0"/>
    <n v="252043.75752108541"/>
    <n v="0"/>
    <n v="0"/>
    <n v="0"/>
    <n v="252043.75752108541"/>
    <n v="0"/>
    <n v="2.258672129899669"/>
    <n v="0"/>
    <n v="2.258672129899669"/>
    <n v="0"/>
    <n v="0"/>
    <n v="0"/>
    <n v="0"/>
    <n v="0"/>
    <x v="1"/>
  </r>
  <r>
    <x v="33"/>
    <s v="Pyrolyseprodukter"/>
    <n v="1"/>
    <x v="1"/>
    <s v="Østdanmark"/>
    <n v="63010.939380271353"/>
    <n v="0"/>
    <n v="0"/>
    <n v="0"/>
    <n v="0"/>
    <n v="0"/>
    <n v="63010.939380271353"/>
    <n v="0"/>
    <n v="0"/>
    <n v="0"/>
    <n v="63010.939380271353"/>
    <n v="0"/>
    <n v="2.0962839375539413"/>
    <n v="0"/>
    <n v="2.0962839375539413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15336.64661622414"/>
    <n v="0"/>
    <n v="0"/>
    <n v="0"/>
    <n v="0"/>
    <n v="0"/>
    <n v="0"/>
    <n v="115336.6466162241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57668.323308112071"/>
    <n v="26278.769501998377"/>
    <n v="0"/>
    <n v="0"/>
    <n v="0"/>
    <n v="0"/>
    <n v="0"/>
    <n v="0"/>
    <n v="31389.553806113694"/>
    <n v="0"/>
    <n v="0"/>
    <n v="0"/>
    <n v="0"/>
    <n v="0"/>
    <n v="0"/>
    <n v="0"/>
    <n v="0"/>
    <n v="0"/>
    <n v="0"/>
    <n v="1"/>
    <x v="1"/>
  </r>
  <r>
    <x v="37"/>
    <s v="Rapsolie"/>
    <n v="1"/>
    <x v="1"/>
    <s v="Østdanmark"/>
    <n v="36907.726917191729"/>
    <n v="0"/>
    <n v="0"/>
    <n v="0"/>
    <n v="0"/>
    <n v="0"/>
    <n v="36907.726917191729"/>
    <n v="0"/>
    <n v="0"/>
    <n v="0"/>
    <n v="36907.726917191729"/>
    <n v="0"/>
    <n v="1.2917704421017104"/>
    <n v="0"/>
    <n v="1.2917704421017104"/>
    <n v="0"/>
    <n v="33586.031494644478"/>
    <n v="0"/>
    <n v="33586.031494644478"/>
    <n v="0"/>
    <x v="1"/>
  </r>
  <r>
    <x v="38"/>
    <s v="Græs og urter"/>
    <n v="1"/>
    <x v="1"/>
    <s v="Østdanmark"/>
    <n v="2129245.811636521"/>
    <n v="106617.6128076231"/>
    <n v="0"/>
    <n v="0"/>
    <n v="0"/>
    <n v="0"/>
    <n v="0"/>
    <n v="0"/>
    <n v="2022628.1988288979"/>
    <n v="1434089.1049770473"/>
    <n v="0"/>
    <n v="3.8921751944719056"/>
    <n v="3.8921751944719056"/>
    <n v="0"/>
    <n v="3.8921751944719056"/>
    <n v="286817.82099540945"/>
    <n v="286817.82099540945"/>
    <n v="0"/>
    <n v="286817.82099540945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672027.0453821167"/>
    <n v="0"/>
    <n v="0"/>
    <n v="0"/>
    <n v="1672027.0453821167"/>
    <n v="1672027.0453821167"/>
    <n v="1672027.0453821167"/>
    <n v="0.83435821591613013"/>
    <n v="1.6687164318322603"/>
    <n v="0.83435821591613013"/>
    <n v="0.83435821591613013"/>
    <n v="100321.622722927"/>
    <n v="200643.245445854"/>
    <n v="100321.622722927"/>
    <n v="100321.622722927"/>
    <n v="0"/>
    <x v="0"/>
  </r>
  <r>
    <x v="42"/>
    <s v="Husdyrgødning"/>
    <n v="1"/>
    <x v="1"/>
    <s v="Østdanmark"/>
    <n v="2184299.8380428459"/>
    <n v="0"/>
    <n v="0"/>
    <n v="0"/>
    <n v="1419794.8947278499"/>
    <n v="764504.94331499608"/>
    <n v="0"/>
    <n v="0"/>
    <n v="0"/>
    <n v="0"/>
    <n v="1419794.8947278499"/>
    <n v="0"/>
    <n v="0.61164764064875787"/>
    <n v="0.61164764064875787"/>
    <n v="0"/>
    <n v="0"/>
    <n v="70989.744736392502"/>
    <n v="70989.744736392502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1193.879489404412"/>
    <n v="0"/>
    <n v="0"/>
    <n v="0"/>
    <n v="0"/>
    <n v="0"/>
    <n v="0"/>
    <n v="3306.1205105955878"/>
    <n v="3306.1205105955878"/>
    <n v="0"/>
    <n v="2.9672431582595405E-3"/>
    <n v="2.9672431582595405E-3"/>
    <n v="0"/>
    <n v="2.9672431582595405E-3"/>
    <n v="495.91807658933817"/>
    <n v="495.91807658933817"/>
    <n v="0"/>
    <n v="495.91807658933817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5113.208745392181"/>
    <n v="7916.616753740097"/>
    <n v="0"/>
    <n v="0"/>
    <n v="0"/>
    <n v="0"/>
    <n v="0"/>
    <n v="0"/>
    <n v="17196.591991652083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47236075.81607157"/>
    <n v="0"/>
    <n v="0"/>
    <n v="0"/>
    <n v="0"/>
    <n v="0"/>
    <n v="147236075.81607157"/>
    <n v="0"/>
    <n v="0"/>
    <n v="0"/>
    <n v="147236075.81607157"/>
    <n v="0"/>
    <n v="0"/>
    <n v="0"/>
    <n v="0"/>
    <n v="0"/>
    <n v="0"/>
    <n v="0"/>
    <n v="0"/>
    <n v="0"/>
    <x v="1"/>
  </r>
  <r>
    <x v="4"/>
    <s v=""/>
    <n v="0"/>
    <x v="2"/>
    <s v="Østdanmark"/>
    <n v="5642114.2310847286"/>
    <n v="0"/>
    <n v="0"/>
    <n v="0"/>
    <n v="0"/>
    <n v="4504284.7839041585"/>
    <n v="0"/>
    <n v="0"/>
    <n v="1137829.447180570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906.12419784072324"/>
    <n v="0"/>
    <n v="0"/>
    <n v="0"/>
    <n v="724.89935827257864"/>
    <n v="0"/>
    <n v="0"/>
    <n v="0"/>
    <n v="181.2248395681446"/>
    <n v="181.2248395681446"/>
    <n v="724.89935827257864"/>
    <n v="1.0294043466382705E-4"/>
    <n v="5.1470217331913543E-4"/>
    <n v="4.1176173865530832E-4"/>
    <n v="1.0294043466382711E-4"/>
    <n v="7.7497880496745495"/>
    <n v="38.748940248372755"/>
    <n v="30.999152198698205"/>
    <n v="7.7497880496745495"/>
    <n v="0"/>
    <x v="0"/>
  </r>
  <r>
    <x v="6"/>
    <s v="Husdyrgødning"/>
    <n v="1"/>
    <x v="2"/>
    <s v="Østdanmark"/>
    <n v="377058.10701599991"/>
    <n v="0"/>
    <n v="0"/>
    <n v="0"/>
    <n v="301646.48561279994"/>
    <n v="28548.68524549713"/>
    <n v="0"/>
    <n v="0"/>
    <n v="46862.936157702818"/>
    <n v="46862.936157702818"/>
    <n v="301646.48561279994"/>
    <n v="0.10094276448369187"/>
    <n v="0.75068929449366295"/>
    <n v="0.64974653000997107"/>
    <n v="0.10094276448369188"/>
    <n v="14058.880847310846"/>
    <n v="104552.82653115083"/>
    <n v="90493.945683839978"/>
    <n v="14058.880847310851"/>
    <n v="0"/>
    <x v="0"/>
  </r>
  <r>
    <x v="7"/>
    <s v=""/>
    <n v="0"/>
    <x v="2"/>
    <s v="Østdanmark"/>
    <n v="638.2178393849631"/>
    <n v="638.41333437730816"/>
    <n v="0"/>
    <n v="0"/>
    <n v="0"/>
    <n v="0"/>
    <n v="0"/>
    <n v="0"/>
    <n v="-0.19549499234506129"/>
    <n v="0"/>
    <n v="0"/>
    <n v="0"/>
    <n v="0"/>
    <n v="0"/>
    <n v="0"/>
    <n v="0"/>
    <n v="0"/>
    <n v="0"/>
    <n v="0"/>
    <n v="1"/>
    <x v="1"/>
  </r>
  <r>
    <x v="8"/>
    <s v="Husdyrgødning"/>
    <n v="1"/>
    <x v="2"/>
    <s v="Østdanmark"/>
    <n v="723.09839736855315"/>
    <n v="0"/>
    <n v="0"/>
    <n v="0"/>
    <n v="578.47871789484259"/>
    <n v="109.49775731580944"/>
    <n v="0"/>
    <n v="0"/>
    <n v="35.121922157901167"/>
    <n v="35.121922157901167"/>
    <n v="578.47871789484259"/>
    <n v="1.651748877163934E-5"/>
    <n v="2.8857024501040485E-4"/>
    <n v="2.7205275623876551E-4"/>
    <n v="1.6517488771639337E-5"/>
    <n v="2.2126810959477736"/>
    <n v="38.656840323322854"/>
    <n v="36.444159227375081"/>
    <n v="2.212681095947772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544325.67958243925"/>
    <n v="0"/>
    <n v="0"/>
    <n v="0"/>
    <n v="0"/>
    <n v="0"/>
    <n v="0"/>
    <n v="0"/>
    <n v="544325.67958243925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4639.459021970932"/>
    <n v="0"/>
    <n v="0"/>
    <n v="233795.01599247381"/>
    <n v="0"/>
    <n v="0"/>
    <n v="0"/>
    <n v="0"/>
    <n v="-219155.5569705028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028301.812130857"/>
    <n v="1298449.9225509875"/>
    <n v="0"/>
    <n v="0"/>
    <n v="0"/>
    <n v="0"/>
    <n v="0"/>
    <n v="1854.3335592126684"/>
    <n v="727997.55602065683"/>
    <n v="239732.89906206005"/>
    <n v="0"/>
    <n v="0.44107856766180775"/>
    <n v="0.44107856766180775"/>
    <n v="0"/>
    <n v="0.44107856766180775"/>
    <n v="67125.211737376827"/>
    <n v="67125.211737376827"/>
    <n v="0"/>
    <n v="67125.211737376827"/>
    <n v="0"/>
    <x v="0"/>
  </r>
  <r>
    <x v="14"/>
    <s v=""/>
    <n v="0"/>
    <x v="2"/>
    <s v="Østdanmark"/>
    <n v="309.99152198698204"/>
    <n v="309.9915219869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89763.009859427373"/>
    <n v="0"/>
    <n v="0"/>
    <n v="244869.51675001203"/>
    <n v="0"/>
    <n v="0"/>
    <n v="0"/>
    <n v="0"/>
    <n v="-155106.50689058466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896693.69274584518"/>
    <n v="94889.448034412548"/>
    <n v="103062.42440743271"/>
    <n v="0"/>
    <n v="0"/>
    <n v="0"/>
    <n v="10903.94907837885"/>
    <n v="455999.6897101808"/>
    <n v="231838.18151544023"/>
    <n v="1.1641532182693481E-10"/>
    <n v="10903.94907837885"/>
    <n v="1.2032462213112001E-15"/>
    <n v="0.11270110600590764"/>
    <n v="0"/>
    <n v="0.11270110600590764"/>
    <n v="9.895302355289459E-11"/>
    <n v="9268.3567166221201"/>
    <n v="0"/>
    <n v="9268.3567166221201"/>
    <n v="0"/>
    <x v="0"/>
  </r>
  <r>
    <x v="17"/>
    <s v="Bionedbrydeligt affald"/>
    <n v="1"/>
    <x v="2"/>
    <s v="Østdanmark"/>
    <n v="457927.02496060182"/>
    <n v="0"/>
    <n v="0"/>
    <n v="0"/>
    <n v="232968.47350838353"/>
    <n v="0"/>
    <n v="224958.55145221829"/>
    <n v="0"/>
    <n v="0"/>
    <n v="0"/>
    <n v="457927.02496060182"/>
    <n v="0"/>
    <n v="4.4116064443467282"/>
    <n v="0.39559677581038083"/>
    <n v="4.0160096685363476"/>
    <n v="0"/>
    <n v="137378.10748818054"/>
    <n v="69890.542052515055"/>
    <n v="67487.56543566548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135099.81731208056"/>
    <n v="0"/>
    <n v="0"/>
    <n v="0"/>
    <n v="0"/>
    <n v="0"/>
    <n v="0"/>
    <n v="0"/>
    <n v="135099.81731208056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0"/>
    <n v="0"/>
    <n v="0"/>
    <n v="111975.50765955324"/>
    <n v="0"/>
    <n v="0"/>
    <n v="0"/>
    <n v="0"/>
    <n v="-111975.50765955324"/>
    <n v="0"/>
    <n v="0"/>
    <n v="0"/>
    <n v="0"/>
    <n v="0"/>
    <n v="0"/>
    <n v="0"/>
    <n v="0"/>
    <n v="0"/>
    <n v="0"/>
    <n v="1"/>
    <x v="1"/>
  </r>
  <r>
    <x v="22"/>
    <s v="Halm og strå"/>
    <n v="1"/>
    <x v="2"/>
    <s v="Østdanmark"/>
    <n v="2274885.0202699397"/>
    <n v="746979.53273428511"/>
    <n v="0"/>
    <n v="268249.01834925939"/>
    <n v="0"/>
    <n v="0"/>
    <n v="0"/>
    <n v="0"/>
    <n v="1259656.4691863952"/>
    <n v="316.79332798323594"/>
    <n v="0"/>
    <n v="1.0849727972766657E-3"/>
    <n v="1.0849727972766657E-3"/>
    <n v="0"/>
    <n v="1.0849727972766657E-3"/>
    <n v="98.205931674803139"/>
    <n v="98.205931674803139"/>
    <n v="0"/>
    <n v="98.205931674803139"/>
    <n v="0"/>
    <x v="0"/>
  </r>
  <r>
    <x v="23"/>
    <s v=""/>
    <n v="0"/>
    <x v="2"/>
    <s v="Østdanmark"/>
    <n v="0"/>
    <n v="0"/>
    <n v="0"/>
    <n v="0"/>
    <n v="0"/>
    <n v="257708.57342916247"/>
    <n v="0"/>
    <n v="0"/>
    <n v="-257708.5734291624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724125.12538599269"/>
    <n v="119933.22389205502"/>
    <n v="0"/>
    <n v="0"/>
    <n v="61098.057454443187"/>
    <n v="61098.057454443187"/>
    <n v="724125.12538599269"/>
    <n v="3.0927225702864602E-2"/>
    <n v="0.39747212292200029"/>
    <n v="0.36654489721913569"/>
    <n v="3.0927225702864602E-2"/>
    <n v="4643.4523665376819"/>
    <n v="59676.961895873123"/>
    <n v="55033.509529335446"/>
    <n v="4643.4523665376764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46077.120935774"/>
    <n v="694667.19345041306"/>
    <n v="0"/>
    <n v="0"/>
    <n v="0"/>
    <n v="0"/>
    <n v="0"/>
    <n v="0"/>
    <n v="-348590.07251463906"/>
    <n v="0"/>
    <n v="0"/>
    <n v="0"/>
    <n v="0"/>
    <n v="0"/>
    <n v="0"/>
    <n v="0"/>
    <n v="0"/>
    <n v="0"/>
    <n v="0"/>
    <n v="1"/>
    <x v="1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5757.7166864893616"/>
    <n v="0"/>
    <n v="0"/>
    <n v="0"/>
    <n v="0"/>
    <n v="0"/>
    <n v="0"/>
    <n v="48297.869614259107"/>
    <n v="48297.869614259107"/>
    <n v="0"/>
    <n v="4.334733797879755E-2"/>
    <n v="4.334733797879755E-2"/>
    <n v="0"/>
    <n v="4.334733797879755E-2"/>
    <n v="7244.6804421388661"/>
    <n v="7244.6804421388661"/>
    <n v="0"/>
    <n v="7244.6804421388661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218022.17480677072"/>
    <n v="0"/>
    <n v="0"/>
    <n v="0"/>
    <n v="0"/>
    <n v="0"/>
    <n v="0"/>
    <n v="0"/>
    <n v="218022.17480677072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1325.762503658123"/>
    <n v="0"/>
    <n v="0"/>
    <n v="0"/>
    <n v="0"/>
    <n v="0"/>
    <n v="31325.762503658123"/>
    <n v="0"/>
    <n v="0"/>
    <n v="0"/>
    <n v="31325.762503658123"/>
    <n v="0"/>
    <n v="0.57639403006730938"/>
    <n v="0"/>
    <n v="0.57639403006730938"/>
    <n v="0"/>
    <n v="13000.191439018123"/>
    <n v="0"/>
    <n v="13000.191439018123"/>
    <n v="0"/>
    <x v="1"/>
  </r>
  <r>
    <x v="32"/>
    <s v="Pyrolyseprodukter"/>
    <n v="1"/>
    <x v="2"/>
    <s v="Østdanmark"/>
    <n v="255359.82623770126"/>
    <n v="0"/>
    <n v="0"/>
    <n v="0"/>
    <n v="0"/>
    <n v="0"/>
    <n v="255359.82623770126"/>
    <n v="0"/>
    <n v="0"/>
    <n v="0"/>
    <n v="255359.82623770126"/>
    <n v="0"/>
    <n v="2.2883888428415706"/>
    <n v="0"/>
    <n v="2.2883888428415706"/>
    <n v="0"/>
    <n v="0"/>
    <n v="0"/>
    <n v="0"/>
    <n v="0"/>
    <x v="1"/>
  </r>
  <r>
    <x v="33"/>
    <s v="Pyrolyseprodukter"/>
    <n v="1"/>
    <x v="2"/>
    <s v="Østdanmark"/>
    <n v="63839.956559425314"/>
    <n v="0"/>
    <n v="0"/>
    <n v="0"/>
    <n v="0"/>
    <n v="0"/>
    <n v="63839.956559425314"/>
    <n v="0"/>
    <n v="0"/>
    <n v="0"/>
    <n v="63839.956559425314"/>
    <n v="0"/>
    <n v="2.1238641547941377"/>
    <n v="0"/>
    <n v="2.1238641547941377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15213.68672370631"/>
    <n v="0"/>
    <n v="0"/>
    <n v="0"/>
    <n v="0"/>
    <n v="0"/>
    <n v="0"/>
    <n v="115213.68672370631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57606.843361853156"/>
    <n v="26278.769501998373"/>
    <n v="0"/>
    <n v="0"/>
    <n v="0"/>
    <n v="0"/>
    <n v="0"/>
    <n v="0"/>
    <n v="31328.073859854783"/>
    <n v="0"/>
    <n v="0"/>
    <n v="0"/>
    <n v="0"/>
    <n v="0"/>
    <n v="0"/>
    <n v="0"/>
    <n v="0"/>
    <n v="0"/>
    <n v="0"/>
    <n v="1"/>
    <x v="1"/>
  </r>
  <r>
    <x v="37"/>
    <s v="Rapsolie"/>
    <n v="1"/>
    <x v="2"/>
    <s v="Østdanmark"/>
    <n v="36868.379751586021"/>
    <n v="0"/>
    <n v="0"/>
    <n v="0"/>
    <n v="0"/>
    <n v="0"/>
    <n v="36868.379751586021"/>
    <n v="0"/>
    <n v="0"/>
    <n v="0"/>
    <n v="36868.379751586021"/>
    <n v="0"/>
    <n v="1.2903932913055105"/>
    <n v="0"/>
    <n v="1.2903932913055105"/>
    <n v="0"/>
    <n v="33550.22557394328"/>
    <n v="0"/>
    <n v="33550.22557394328"/>
    <n v="0"/>
    <x v="1"/>
  </r>
  <r>
    <x v="38"/>
    <s v="Græs og urter"/>
    <n v="1"/>
    <x v="2"/>
    <s v="Østdanmark"/>
    <n v="2128936.6947511984"/>
    <n v="106617.61280762308"/>
    <n v="0"/>
    <n v="0"/>
    <n v="0"/>
    <n v="0"/>
    <n v="0"/>
    <n v="0"/>
    <n v="2022319.0819435753"/>
    <n v="1428486.5239850583"/>
    <n v="0"/>
    <n v="3.8769695655564078"/>
    <n v="3.8769695655564078"/>
    <n v="0"/>
    <n v="3.8769695655564078"/>
    <n v="285697.30479701166"/>
    <n v="285697.30479701166"/>
    <n v="0"/>
    <n v="285697.30479701166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2800225.1934703197"/>
    <n v="0"/>
    <n v="0"/>
    <n v="0"/>
    <n v="700056.29836757993"/>
    <n v="700056.29836757993"/>
    <n v="2800225.1934703197"/>
    <n v="0.34933509344840613"/>
    <n v="1.7466754672420306"/>
    <n v="1.3973403737936245"/>
    <n v="0.34933509344840608"/>
    <n v="42003.377902054795"/>
    <n v="210016.88951027396"/>
    <n v="168013.51160821918"/>
    <n v="42003.377902054781"/>
    <n v="0"/>
    <x v="0"/>
  </r>
  <r>
    <x v="42"/>
    <s v="Husdyrgødning"/>
    <n v="1"/>
    <x v="2"/>
    <s v="Østdanmark"/>
    <n v="2091197.4416372697"/>
    <n v="0"/>
    <n v="0"/>
    <n v="0"/>
    <n v="1672957.9533098158"/>
    <n v="418239.48832745384"/>
    <n v="0"/>
    <n v="0"/>
    <n v="0"/>
    <n v="0"/>
    <n v="1672957.9533098158"/>
    <n v="0"/>
    <n v="0.72071028628586875"/>
    <n v="0.72071028628586875"/>
    <n v="0"/>
    <n v="0"/>
    <n v="83647.897665490804"/>
    <n v="83647.897665490804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1193.8794894044117"/>
    <n v="0"/>
    <n v="0"/>
    <n v="0"/>
    <n v="0"/>
    <n v="0"/>
    <n v="0"/>
    <n v="3306.1205105955883"/>
    <n v="3306.1205105955883"/>
    <n v="0"/>
    <n v="2.9672431582595409E-3"/>
    <n v="2.9672431582595409E-3"/>
    <n v="0"/>
    <n v="2.9672431582595409E-3"/>
    <n v="495.91807658933823"/>
    <n v="495.91807658933823"/>
    <n v="0"/>
    <n v="495.91807658933823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95128.1688444037"/>
    <n v="0"/>
    <n v="0"/>
    <n v="0"/>
    <n v="0"/>
    <n v="0"/>
    <n v="595128.1688444037"/>
    <n v="0"/>
    <n v="0"/>
    <n v="0"/>
    <n v="595128.1688444037"/>
    <n v="0"/>
    <n v="8.6255311199386124"/>
    <n v="0"/>
    <n v="8.6255311199386124"/>
    <n v="0"/>
    <n v="294340.47350762796"/>
    <n v="0"/>
    <n v="294340.47350762796"/>
    <n v="0"/>
    <x v="1"/>
  </r>
  <r>
    <x v="47"/>
    <s v=""/>
    <n v="0"/>
    <x v="2"/>
    <s v="Østdanmark"/>
    <n v="165791.82373780277"/>
    <n v="0"/>
    <n v="0"/>
    <n v="0"/>
    <n v="0"/>
    <n v="0"/>
    <n v="0"/>
    <n v="0"/>
    <n v="165791.82373780277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5131762.7611997221"/>
    <s v="CO2 - atmosfære"/>
    <x v="0"/>
  </r>
  <r>
    <s v="Vestdanmark"/>
    <x v="1"/>
    <n v="5058223.5325662289"/>
    <s v="Landbrug"/>
    <x v="1"/>
  </r>
  <r>
    <s v="Vestdanmark"/>
    <x v="1"/>
    <n v="2951581.4008987406"/>
    <s v="Landbrug"/>
    <x v="2"/>
  </r>
  <r>
    <s v="Vestdanmark"/>
    <x v="1"/>
    <n v="0"/>
    <s v="Landbrug"/>
    <x v="2"/>
  </r>
  <r>
    <s v="Vestdanmark"/>
    <x v="1"/>
    <n v="0"/>
    <s v="Landbrug"/>
    <x v="2"/>
  </r>
  <r>
    <s v="Vestdanmark"/>
    <x v="1"/>
    <n v="-24027.150496711278"/>
    <s v="Hav"/>
    <x v="3"/>
  </r>
  <r>
    <s v="Vestdanmark"/>
    <x v="1"/>
    <n v="-1952752.8577914489"/>
    <s v="Skov"/>
    <x v="4"/>
  </r>
  <r>
    <s v="Vestdanmark"/>
    <x v="1"/>
    <n v="-415076.49565939803"/>
    <s v="Biogasanlæg"/>
    <x v="5"/>
  </r>
  <r>
    <s v="Vestdanmark"/>
    <x v="1"/>
    <n v="-486185.66831768729"/>
    <s v="Pyrolyseproces"/>
    <x v="6"/>
  </r>
  <r>
    <s v="Vestdanmark"/>
    <x v="2"/>
    <n v="-1516065.7797619055"/>
    <s v="CO2 - atmosfære"/>
    <x v="0"/>
  </r>
  <r>
    <s v="Vestdanmark"/>
    <x v="2"/>
    <n v="5037270.6270728866"/>
    <s v="Landbrug"/>
    <x v="1"/>
  </r>
  <r>
    <s v="Vestdanmark"/>
    <x v="2"/>
    <n v="2880495.4833668922"/>
    <s v="Landbrug"/>
    <x v="2"/>
  </r>
  <r>
    <s v="Vestdanmark"/>
    <x v="2"/>
    <n v="0"/>
    <s v="Landbrug"/>
    <x v="2"/>
  </r>
  <r>
    <s v="Vestdanmark"/>
    <x v="2"/>
    <n v="0"/>
    <s v="Landbrug"/>
    <x v="2"/>
  </r>
  <r>
    <s v="Vestdanmark"/>
    <x v="2"/>
    <n v="-35616.923706055808"/>
    <s v="Hav"/>
    <x v="3"/>
  </r>
  <r>
    <s v="Vestdanmark"/>
    <x v="2"/>
    <n v="-8474359.4091131538"/>
    <s v="Skov"/>
    <x v="4"/>
  </r>
  <r>
    <s v="Vestdanmark"/>
    <x v="2"/>
    <n v="-446756.0215333192"/>
    <s v="Biogasanlæg"/>
    <x v="5"/>
  </r>
  <r>
    <s v="Vestdanmark"/>
    <x v="2"/>
    <n v="-477099.53584915504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929605.76619202737"/>
    <s v="CO2 - atmosfære"/>
    <x v="0"/>
  </r>
  <r>
    <s v="Østdanmark"/>
    <x v="1"/>
    <n v="449093.3493058047"/>
    <s v="Landbrug"/>
    <x v="1"/>
  </r>
  <r>
    <s v="Østdanmark"/>
    <x v="1"/>
    <n v="1112170.7078451642"/>
    <s v="Landbrug"/>
    <x v="2"/>
  </r>
  <r>
    <s v="Østdanmark"/>
    <x v="1"/>
    <n v="0"/>
    <s v="Landbrug"/>
    <x v="2"/>
  </r>
  <r>
    <s v="Østdanmark"/>
    <x v="1"/>
    <n v="0"/>
    <s v="Landbrug"/>
    <x v="2"/>
  </r>
  <r>
    <s v="Østdanmark"/>
    <x v="1"/>
    <n v="-707.23434338852348"/>
    <s v="Hav"/>
    <x v="3"/>
  </r>
  <r>
    <s v="Østdanmark"/>
    <x v="1"/>
    <n v="-298492.19232265209"/>
    <s v="Skov"/>
    <x v="4"/>
  </r>
  <r>
    <s v="Østdanmark"/>
    <x v="1"/>
    <n v="-38707.865943921846"/>
    <s v="Biogasanlæg"/>
    <x v="5"/>
  </r>
  <r>
    <s v="Østdanmark"/>
    <x v="1"/>
    <n v="-293750.99834897922"/>
    <s v="Pyrolyseproces"/>
    <x v="6"/>
  </r>
  <r>
    <s v="Østdanmark"/>
    <x v="2"/>
    <n v="133920.14601809683"/>
    <s v="CO2 - atmosfære"/>
    <x v="0"/>
  </r>
  <r>
    <s v="Østdanmark"/>
    <x v="2"/>
    <n v="447960.28277222451"/>
    <s v="Landbrug"/>
    <x v="1"/>
  </r>
  <r>
    <s v="Østdanmark"/>
    <x v="2"/>
    <n v="1106885.0256364804"/>
    <s v="Landbrug"/>
    <x v="2"/>
  </r>
  <r>
    <s v="Østdanmark"/>
    <x v="2"/>
    <n v="0"/>
    <s v="Landbrug"/>
    <x v="2"/>
  </r>
  <r>
    <s v="Østdanmark"/>
    <x v="2"/>
    <n v="0"/>
    <s v="Landbrug"/>
    <x v="2"/>
  </r>
  <r>
    <s v="Østdanmark"/>
    <x v="2"/>
    <n v="-8943.6049807212512"/>
    <s v="Hav"/>
    <x v="3"/>
  </r>
  <r>
    <s v="Østdanmark"/>
    <x v="2"/>
    <n v="-1071764.6573843672"/>
    <s v="Skov"/>
    <x v="4"/>
  </r>
  <r>
    <s v="Østdanmark"/>
    <x v="2"/>
    <n v="-42601.102541341941"/>
    <s v="Biogasanlæg"/>
    <x v="5"/>
  </r>
  <r>
    <s v="Østdanmark"/>
    <x v="2"/>
    <n v="-297615.79748417798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155146.779166311"/>
    <n v="0"/>
    <n v="0"/>
    <n v="0"/>
    <n v="155146.779166311"/>
    <n v="0"/>
    <n v="5.4301372708208842"/>
    <n v="0"/>
    <n v="5.4301372708208842"/>
    <n v="0"/>
    <n v="141183.569041343"/>
    <n v="0"/>
    <n v="141183.569041343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184407.26877936258"/>
    <n v="64498.475475191975"/>
    <n v="0"/>
    <n v="0"/>
    <n v="0"/>
    <n v="0"/>
    <n v="0"/>
    <n v="0"/>
    <n v="119908.7933041706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38346468.17502034"/>
    <n v="0"/>
    <n v="0"/>
    <n v="0"/>
    <n v="0"/>
    <n v="0"/>
    <n v="538346468.17502034"/>
    <n v="0"/>
    <n v="0"/>
    <n v="0"/>
    <n v="538346468.17502034"/>
    <n v="0"/>
    <n v="0"/>
    <n v="0"/>
    <n v="0"/>
    <n v="0"/>
    <n v="0"/>
    <n v="0"/>
    <n v="0"/>
  </r>
  <r>
    <x v="4"/>
    <x v="10"/>
    <n v="0"/>
    <x v="1"/>
    <s v="Vestdanmark"/>
    <n v="22754669.572022874"/>
    <n v="0"/>
    <n v="0"/>
    <n v="0"/>
    <n v="0"/>
    <n v="19483465.104424868"/>
    <n v="0"/>
    <n v="0"/>
    <n v="3271204.4675980061"/>
    <n v="0"/>
    <n v="0"/>
    <n v="0"/>
    <n v="0"/>
    <n v="0"/>
    <n v="0"/>
    <n v="0"/>
    <n v="0"/>
    <n v="0"/>
    <n v="0"/>
  </r>
  <r>
    <x v="5"/>
    <x v="1"/>
    <n v="1"/>
    <x v="1"/>
    <s v="Vestdanmark"/>
    <n v="7382.3997257789451"/>
    <n v="0"/>
    <n v="0"/>
    <n v="0"/>
    <n v="3691.1998628894726"/>
    <n v="0"/>
    <n v="0"/>
    <n v="0"/>
    <n v="3691.1998628894726"/>
    <n v="3691.1998628894726"/>
    <n v="3691.1998628894726"/>
    <n v="2.0966977773155789E-3"/>
    <n v="4.1933955546311578E-3"/>
    <n v="2.0966977773155789E-3"/>
    <n v="2.0966977773155789E-3"/>
    <n v="157.84821029252265"/>
    <n v="315.6964205850453"/>
    <n v="157.84821029252265"/>
    <n v="157.84821029252265"/>
  </r>
  <r>
    <x v="6"/>
    <x v="2"/>
    <n v="1"/>
    <x v="1"/>
    <s v="Vestdanmark"/>
    <n v="2652925.8184588463"/>
    <n v="0"/>
    <n v="0"/>
    <n v="0"/>
    <n v="1989694.3638441348"/>
    <n v="251080.47924699794"/>
    <n v="0"/>
    <n v="0"/>
    <n v="412150.97536771372"/>
    <n v="412150.97536771372"/>
    <n v="1989694.3638441348"/>
    <n v="0.88777320094205536"/>
    <n v="5.1735748606623213"/>
    <n v="4.2858016597202662"/>
    <n v="0.88777320094205514"/>
    <n v="123645.29261031411"/>
    <n v="720553.6017635545"/>
    <n v="596908.30915324041"/>
    <n v="123645.29261031409"/>
  </r>
  <r>
    <x v="7"/>
    <x v="10"/>
    <n v="0"/>
    <x v="1"/>
    <s v="Vestdanmark"/>
    <n v="5199.7057508125108"/>
    <n v="5201.2984929347494"/>
    <n v="0"/>
    <n v="0"/>
    <n v="0"/>
    <n v="0"/>
    <n v="0"/>
    <n v="0"/>
    <n v="-1.5927421222386329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5422.7719881045641"/>
    <n v="2210.8224259195526"/>
    <n v="0"/>
    <n v="0"/>
    <n v="709.13172152136576"/>
    <n v="709.13172152136576"/>
    <n v="5422.7719881045641"/>
    <n v="3.3349755731428314E-4"/>
    <n v="2.8837729955999785E-3"/>
    <n v="2.5502754382856953E-3"/>
    <n v="3.3349755731428314E-4"/>
    <n v="44.675298455846047"/>
    <n v="386.30993370643358"/>
    <n v="341.63463525058756"/>
    <n v="44.675298455846018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576631.345963069"/>
    <n v="0"/>
    <n v="0"/>
    <n v="0"/>
    <n v="0"/>
    <n v="0"/>
    <n v="0"/>
    <n v="0"/>
    <n v="576631.345963069"/>
    <n v="0"/>
    <n v="0"/>
    <n v="0"/>
    <n v="0"/>
    <n v="0"/>
    <n v="0"/>
    <n v="0"/>
    <n v="0"/>
    <n v="0"/>
    <n v="0"/>
  </r>
  <r>
    <x v="11"/>
    <x v="10"/>
    <n v="0"/>
    <x v="1"/>
    <s v="Vestdanmark"/>
    <n v="18416.271242773404"/>
    <n v="0"/>
    <n v="0"/>
    <n v="257923.29437791562"/>
    <n v="0"/>
    <n v="0"/>
    <n v="0"/>
    <n v="0"/>
    <n v="-239507.0231351422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0042259.647995874"/>
    <n v="10578766.547699077"/>
    <n v="0"/>
    <n v="0"/>
    <n v="0"/>
    <n v="0"/>
    <n v="0"/>
    <n v="15107.676841271819"/>
    <n v="-551614.57654447481"/>
    <n v="0"/>
    <n v="0"/>
    <n v="0"/>
    <n v="0"/>
    <n v="0"/>
    <n v="0"/>
    <n v="0"/>
    <n v="0"/>
    <n v="0"/>
    <n v="0"/>
  </r>
  <r>
    <x v="14"/>
    <x v="10"/>
    <n v="0"/>
    <x v="1"/>
    <s v="Vestdanmark"/>
    <n v="2525.5713646803624"/>
    <n v="2525.571364680362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35775.41565002408"/>
    <n v="0"/>
    <n v="0"/>
    <n v="270140.71358529059"/>
    <n v="0"/>
    <n v="0"/>
    <n v="0"/>
    <n v="0"/>
    <n v="-134365.29793526651"/>
    <n v="0"/>
    <n v="0"/>
    <n v="0"/>
    <n v="0"/>
    <n v="0"/>
    <n v="0"/>
    <n v="0"/>
    <n v="0"/>
    <n v="0"/>
    <n v="0"/>
  </r>
  <r>
    <x v="16"/>
    <x v="5"/>
    <n v="1"/>
    <x v="1"/>
    <s v="Vestdanmark"/>
    <n v="2012749.9397108331"/>
    <n v="773085.89354292606"/>
    <n v="726974.95402379602"/>
    <n v="0"/>
    <n v="0"/>
    <n v="0"/>
    <n v="0"/>
    <n v="744921.86156949028"/>
    <n v="-232232.76942537911"/>
    <n v="0"/>
    <n v="0"/>
    <n v="0"/>
    <n v="0"/>
    <n v="0"/>
    <n v="0"/>
    <n v="0"/>
    <n v="0"/>
    <n v="0"/>
    <n v="0"/>
  </r>
  <r>
    <x v="17"/>
    <x v="1"/>
    <n v="1"/>
    <x v="1"/>
    <s v="Vestdanmark"/>
    <n v="526734.10986839118"/>
    <n v="0"/>
    <n v="0"/>
    <n v="0"/>
    <n v="267973.79239933251"/>
    <n v="0"/>
    <n v="258760.31746905867"/>
    <n v="0"/>
    <n v="0"/>
    <n v="0"/>
    <n v="526734.10986839118"/>
    <n v="0"/>
    <n v="5.0744845071167353"/>
    <n v="0.4550382576595346"/>
    <n v="4.6194462494572006"/>
    <n v="0"/>
    <n v="158020.23296051734"/>
    <n v="80392.13771979975"/>
    <n v="77628.095240717594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543978.91341244674"/>
    <n v="0"/>
    <n v="0"/>
    <n v="0"/>
    <n v="0"/>
    <n v="0"/>
    <n v="0"/>
    <n v="0"/>
    <n v="543978.91341244674"/>
    <n v="0"/>
    <n v="0"/>
    <n v="0"/>
    <n v="0"/>
    <n v="0"/>
    <n v="0"/>
    <n v="0"/>
    <n v="0"/>
    <n v="0"/>
    <n v="0"/>
  </r>
  <r>
    <x v="21"/>
    <x v="10"/>
    <n v="0"/>
    <x v="1"/>
    <s v="Vestdanmark"/>
    <n v="0"/>
    <n v="0"/>
    <n v="0"/>
    <n v="123531.68309679118"/>
    <n v="0"/>
    <n v="0"/>
    <n v="0"/>
    <n v="0"/>
    <n v="-123531.68309679118"/>
    <n v="0"/>
    <n v="0"/>
    <n v="0"/>
    <n v="0"/>
    <n v="0"/>
    <n v="0"/>
    <n v="0"/>
    <n v="0"/>
    <n v="0"/>
    <n v="0"/>
  </r>
  <r>
    <x v="22"/>
    <x v="5"/>
    <n v="1"/>
    <x v="1"/>
    <s v="Vestdanmark"/>
    <n v="5176210.3236121144"/>
    <n v="6085811.9789329367"/>
    <n v="0"/>
    <n v="295933.04302308214"/>
    <n v="0"/>
    <n v="0"/>
    <n v="0"/>
    <n v="0"/>
    <n v="-1205534.6983439047"/>
    <n v="0"/>
    <n v="0"/>
    <n v="0"/>
    <n v="0"/>
    <n v="0"/>
    <n v="0"/>
    <n v="0"/>
    <n v="0"/>
    <n v="0"/>
    <n v="0"/>
  </r>
  <r>
    <x v="23"/>
    <x v="10"/>
    <n v="0"/>
    <x v="1"/>
    <s v="Vestdanmark"/>
    <n v="0"/>
    <n v="0"/>
    <n v="0"/>
    <n v="0"/>
    <n v="0"/>
    <n v="55055.07188334316"/>
    <n v="0"/>
    <n v="0"/>
    <n v="-55055.07188334316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5450127.5876520872"/>
    <n v="5659611.4645835822"/>
    <n v="0"/>
    <n v="0"/>
    <n v="0"/>
    <n v="0"/>
    <n v="0"/>
    <n v="0"/>
    <n v="-209483.87693149503"/>
    <n v="0"/>
    <n v="0"/>
    <n v="0"/>
    <n v="0"/>
    <n v="0"/>
    <n v="0"/>
    <n v="0"/>
    <n v="0"/>
    <n v="0"/>
    <n v="0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46909.42609053191"/>
    <n v="0"/>
    <n v="0"/>
    <n v="0"/>
    <n v="0"/>
    <n v="0"/>
    <n v="0"/>
    <n v="97950.762160772298"/>
    <n v="95406.837717421964"/>
    <n v="0"/>
    <n v="8.5627636851386218E-2"/>
    <n v="8.5627636851386218E-2"/>
    <n v="0"/>
    <n v="8.5627636851386218E-2"/>
    <n v="14311.025657613294"/>
    <n v="14311.025657613294"/>
    <n v="0"/>
    <n v="14311.025657613294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351873.9099999037"/>
    <n v="0"/>
    <n v="0"/>
    <n v="0"/>
    <n v="0"/>
    <n v="0"/>
    <n v="0"/>
    <n v="0"/>
    <n v="351873.9099999037"/>
    <n v="0"/>
    <n v="0"/>
    <n v="0"/>
    <n v="0"/>
    <n v="0"/>
    <n v="0"/>
    <n v="0"/>
    <n v="0"/>
    <n v="0"/>
    <n v="0"/>
  </r>
  <r>
    <x v="31"/>
    <x v="7"/>
    <n v="1"/>
    <x v="1"/>
    <s v="Vestdanmark"/>
    <n v="97606.291632882203"/>
    <n v="0"/>
    <n v="0"/>
    <n v="0"/>
    <n v="0"/>
    <n v="0"/>
    <n v="97606.291632882203"/>
    <n v="0"/>
    <n v="0"/>
    <n v="0"/>
    <n v="97606.291632882203"/>
    <n v="0"/>
    <n v="1.7959557660450323"/>
    <n v="0"/>
    <n v="1.7959557660450323"/>
    <n v="0"/>
    <n v="40506.611027646119"/>
    <n v="0"/>
    <n v="40506.611027646119"/>
  </r>
  <r>
    <x v="32"/>
    <x v="8"/>
    <n v="1"/>
    <x v="1"/>
    <s v="Vestdanmark"/>
    <n v="417156.24247891462"/>
    <n v="0"/>
    <n v="0"/>
    <n v="0"/>
    <n v="0"/>
    <n v="0"/>
    <n v="417156.24247891462"/>
    <n v="0"/>
    <n v="0"/>
    <n v="0"/>
    <n v="417156.24247891462"/>
    <n v="0"/>
    <n v="3.7383158701003296"/>
    <n v="0"/>
    <n v="3.7383158701003296"/>
    <n v="0"/>
    <n v="0"/>
    <n v="0"/>
    <n v="0"/>
  </r>
  <r>
    <x v="33"/>
    <x v="8"/>
    <n v="1"/>
    <x v="1"/>
    <s v="Vestdanmark"/>
    <n v="104289.06061972865"/>
    <n v="0"/>
    <n v="0"/>
    <n v="0"/>
    <n v="0"/>
    <n v="0"/>
    <n v="104289.06061972865"/>
    <n v="0"/>
    <n v="0"/>
    <n v="0"/>
    <n v="104289.06061972865"/>
    <n v="0"/>
    <n v="3.4695480624460577"/>
    <n v="0"/>
    <n v="3.4695480624460577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352476.43400802126"/>
    <n v="0"/>
    <n v="0"/>
    <n v="0"/>
    <n v="0"/>
    <n v="0"/>
    <n v="0"/>
    <n v="352476.43400802126"/>
    <n v="0"/>
    <n v="0"/>
    <n v="0"/>
    <n v="0"/>
    <n v="0"/>
    <n v="0"/>
    <n v="0"/>
    <n v="0"/>
    <n v="0"/>
    <n v="0"/>
    <n v="0"/>
  </r>
  <r>
    <x v="36"/>
    <x v="10"/>
    <n v="0"/>
    <x v="1"/>
    <s v="Vestdanmark"/>
    <n v="176238.21700401063"/>
    <n v="214099.10609126225"/>
    <n v="0"/>
    <n v="0"/>
    <n v="0"/>
    <n v="0"/>
    <n v="0"/>
    <n v="0"/>
    <n v="-37860.88908725162"/>
    <n v="0"/>
    <n v="0"/>
    <n v="0"/>
    <n v="0"/>
    <n v="0"/>
    <n v="0"/>
    <n v="0"/>
    <n v="0"/>
    <n v="0"/>
    <n v="0"/>
  </r>
  <r>
    <x v="37"/>
    <x v="9"/>
    <n v="1"/>
    <x v="1"/>
    <s v="Vestdanmark"/>
    <n v="112792.4588825668"/>
    <n v="0"/>
    <n v="0"/>
    <n v="0"/>
    <n v="0"/>
    <n v="0"/>
    <n v="112792.4588825668"/>
    <n v="0"/>
    <n v="0"/>
    <n v="0"/>
    <n v="112792.4588825668"/>
    <n v="0"/>
    <n v="3.947736060889838"/>
    <n v="0"/>
    <n v="3.947736060889838"/>
    <n v="0"/>
    <n v="102641.1375831358"/>
    <n v="0"/>
    <n v="102641.1375831358"/>
  </r>
  <r>
    <x v="38"/>
    <x v="4"/>
    <n v="1"/>
    <x v="1"/>
    <s v="Vestdanmark"/>
    <n v="280098.82292581868"/>
    <n v="868637.91677766922"/>
    <n v="0"/>
    <n v="0"/>
    <n v="0"/>
    <n v="0"/>
    <n v="0"/>
    <n v="0"/>
    <n v="-588539.0938518506"/>
    <n v="0"/>
    <n v="0"/>
    <n v="0"/>
    <n v="0"/>
    <n v="0"/>
    <n v="0"/>
    <n v="0"/>
    <n v="0"/>
    <n v="0"/>
    <n v="0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986955.49875235"/>
    <n v="0"/>
    <n v="0"/>
    <n v="0"/>
    <n v="1986955.49875235"/>
    <n v="1986955.49875235"/>
    <n v="1986955.49875235"/>
    <n v="0.99151066343241034"/>
    <n v="1.9830213268648207"/>
    <n v="0.99151066343241034"/>
    <n v="0.99151066343241034"/>
    <n v="119217.32992514099"/>
    <n v="238434.65985028198"/>
    <n v="119217.32992514099"/>
    <n v="119217.32992514099"/>
  </r>
  <r>
    <x v="42"/>
    <x v="2"/>
    <n v="1"/>
    <x v="1"/>
    <s v="Vestdanmark"/>
    <n v="15074833.175881069"/>
    <n v="0"/>
    <n v="0"/>
    <n v="0"/>
    <n v="9798641.5643226951"/>
    <n v="5276191.611558374"/>
    <n v="0"/>
    <n v="0"/>
    <n v="0"/>
    <n v="0"/>
    <n v="9798641.5643226951"/>
    <n v="0"/>
    <n v="4.2212547859102179"/>
    <n v="4.2212547859102179"/>
    <n v="0"/>
    <n v="0"/>
    <n v="489932.0782161348"/>
    <n v="489932.0782161348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9726.8074687720582"/>
    <n v="0"/>
    <n v="0"/>
    <n v="0"/>
    <n v="0"/>
    <n v="0"/>
    <n v="0"/>
    <n v="3773.1925312279418"/>
    <n v="3773.1925312279418"/>
    <n v="0"/>
    <n v="3.3864402967770783E-3"/>
    <n v="3.3864402967770783E-3"/>
    <n v="0"/>
    <n v="3.3864402967770783E-3"/>
    <n v="565.97887968419127"/>
    <n v="565.97887968419127"/>
    <n v="0"/>
    <n v="565.97887968419127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180922.23714625766"/>
    <n v="64498.475475191975"/>
    <n v="0"/>
    <n v="0"/>
    <n v="0"/>
    <n v="0"/>
    <n v="0"/>
    <n v="0"/>
    <n v="116423.76167106567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595864256.47199023"/>
    <n v="0"/>
    <n v="0"/>
    <n v="0"/>
    <n v="0"/>
    <n v="0"/>
    <n v="595864256.47199023"/>
    <n v="0"/>
    <n v="0"/>
    <n v="0"/>
    <n v="595864256.47199023"/>
    <n v="0"/>
    <n v="0"/>
    <n v="0"/>
    <n v="0"/>
    <n v="0"/>
    <n v="0"/>
    <n v="0"/>
    <n v="0"/>
  </r>
  <r>
    <x v="4"/>
    <x v="10"/>
    <n v="0"/>
    <x v="2"/>
    <s v="Vestdanmark"/>
    <n v="26076139.147760522"/>
    <n v="0"/>
    <n v="0"/>
    <n v="0"/>
    <n v="0"/>
    <n v="20817436.864202589"/>
    <n v="0"/>
    <n v="0"/>
    <n v="5258702.2835579328"/>
    <n v="0"/>
    <n v="0"/>
    <n v="0"/>
    <n v="0"/>
    <n v="0"/>
    <n v="0"/>
    <n v="0"/>
    <n v="0"/>
    <n v="0"/>
    <n v="0"/>
  </r>
  <r>
    <x v="5"/>
    <x v="1"/>
    <n v="1"/>
    <x v="2"/>
    <s v="Vestdanmark"/>
    <n v="7382.3997257789451"/>
    <n v="0"/>
    <n v="0"/>
    <n v="0"/>
    <n v="5905.9197806231568"/>
    <n v="0"/>
    <n v="0"/>
    <n v="0"/>
    <n v="1476.4799451557883"/>
    <n v="1476.4799451557883"/>
    <n v="5905.9197806231568"/>
    <n v="8.3867911092623103E-4"/>
    <n v="4.1933955546311578E-3"/>
    <n v="3.3547164437049263E-3"/>
    <n v="8.3867911092623147E-4"/>
    <n v="63.139284117009026"/>
    <n v="315.6964205850453"/>
    <n v="252.55713646803628"/>
    <n v="63.139284117009026"/>
  </r>
  <r>
    <x v="6"/>
    <x v="2"/>
    <n v="1"/>
    <x v="2"/>
    <s v="Vestdanmark"/>
    <n v="2777977.7276885756"/>
    <n v="0"/>
    <n v="0"/>
    <n v="0"/>
    <n v="2222382.1821508608"/>
    <n v="210332.59938213494"/>
    <n v="0"/>
    <n v="0"/>
    <n v="345262.94615557976"/>
    <n v="345262.94615557976"/>
    <n v="2222382.1821508608"/>
    <n v="0.7436963860191188"/>
    <n v="5.530707606372073"/>
    <n v="4.7870112203529542"/>
    <n v="0.7436963860191188"/>
    <n v="103578.88384667393"/>
    <n v="770293.53849193209"/>
    <n v="666714.65464525821"/>
    <n v="103578.88384667388"/>
  </r>
  <r>
    <x v="7"/>
    <x v="10"/>
    <n v="0"/>
    <x v="2"/>
    <s v="Vestdanmark"/>
    <n v="5199.7057508125108"/>
    <n v="5201.2984929347494"/>
    <n v="0"/>
    <n v="0"/>
    <n v="0"/>
    <n v="0"/>
    <n v="0"/>
    <n v="0"/>
    <n v="-1.5927421222386329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6892.4253779859373"/>
    <n v="1304.637660833052"/>
    <n v="0"/>
    <n v="0"/>
    <n v="418.46868366343188"/>
    <n v="418.46868366343188"/>
    <n v="6892.4253779859373"/>
    <n v="1.9680163724007538E-4"/>
    <n v="3.4382403682530816E-3"/>
    <n v="3.2414387310130063E-3"/>
    <n v="1.968016372400753E-4"/>
    <n v="26.363527070796209"/>
    <n v="460.58632588391026"/>
    <n v="434.22279881311403"/>
    <n v="26.363527070796238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565733.84450001363"/>
    <n v="0"/>
    <n v="0"/>
    <n v="0"/>
    <n v="0"/>
    <n v="0"/>
    <n v="0"/>
    <n v="0"/>
    <n v="565733.84450001363"/>
    <n v="0"/>
    <n v="0"/>
    <n v="0"/>
    <n v="0"/>
    <n v="0"/>
    <n v="0"/>
    <n v="0"/>
    <n v="0"/>
    <n v="0"/>
    <n v="0"/>
  </r>
  <r>
    <x v="11"/>
    <x v="10"/>
    <n v="0"/>
    <x v="2"/>
    <s v="Vestdanmark"/>
    <n v="18068.230255724804"/>
    <n v="0"/>
    <n v="0"/>
    <n v="267978.92035102146"/>
    <n v="0"/>
    <n v="0"/>
    <n v="0"/>
    <n v="0"/>
    <n v="-249910.69009529665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0105609.567581752"/>
    <n v="10578766.547699077"/>
    <n v="0"/>
    <n v="0"/>
    <n v="0"/>
    <n v="0"/>
    <n v="0"/>
    <n v="15107.676841271819"/>
    <n v="-488264.65695859678"/>
    <n v="0"/>
    <n v="0"/>
    <n v="0"/>
    <n v="0"/>
    <n v="0"/>
    <n v="0"/>
    <n v="0"/>
    <n v="0"/>
    <n v="0"/>
    <n v="0"/>
  </r>
  <r>
    <x v="14"/>
    <x v="10"/>
    <n v="0"/>
    <x v="2"/>
    <s v="Vestdanmark"/>
    <n v="2525.5713646803624"/>
    <n v="2525.571364680362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32870.52913094888"/>
    <n v="0"/>
    <n v="0"/>
    <n v="280672.65868343826"/>
    <n v="0"/>
    <n v="0"/>
    <n v="0"/>
    <n v="0"/>
    <n v="-147802.12955248938"/>
    <n v="0"/>
    <n v="0"/>
    <n v="0"/>
    <n v="0"/>
    <n v="0"/>
    <n v="0"/>
    <n v="0"/>
    <n v="0"/>
    <n v="0"/>
    <n v="0"/>
  </r>
  <r>
    <x v="16"/>
    <x v="5"/>
    <n v="1"/>
    <x v="2"/>
    <s v="Vestdanmark"/>
    <n v="1996261.5279174207"/>
    <n v="773085.89354292606"/>
    <n v="724013.50560011622"/>
    <n v="0"/>
    <n v="0"/>
    <n v="0"/>
    <n v="0"/>
    <n v="731000.31028981879"/>
    <n v="-231838.18151544011"/>
    <n v="0"/>
    <n v="0"/>
    <n v="0"/>
    <n v="0"/>
    <n v="0"/>
    <n v="0"/>
    <n v="0"/>
    <n v="0"/>
    <n v="0"/>
    <n v="0"/>
  </r>
  <r>
    <x v="17"/>
    <x v="1"/>
    <n v="1"/>
    <x v="2"/>
    <s v="Vestdanmark"/>
    <n v="524881.97503939818"/>
    <n v="0"/>
    <n v="0"/>
    <n v="0"/>
    <n v="267031.5264916165"/>
    <n v="0"/>
    <n v="257850.44854778168"/>
    <n v="0"/>
    <n v="0"/>
    <n v="0"/>
    <n v="524881.97503939818"/>
    <n v="0"/>
    <n v="5.0566412930192746"/>
    <n v="0.45343822418961927"/>
    <n v="4.6032030688296555"/>
    <n v="0"/>
    <n v="157464.59251181944"/>
    <n v="80109.457947484945"/>
    <n v="77355.134564334498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533698.49586961837"/>
    <n v="0"/>
    <n v="0"/>
    <n v="0"/>
    <n v="0"/>
    <n v="0"/>
    <n v="0"/>
    <n v="0"/>
    <n v="533698.49586961837"/>
    <n v="0"/>
    <n v="0"/>
    <n v="0"/>
    <n v="0"/>
    <n v="0"/>
    <n v="0"/>
    <n v="0"/>
    <n v="0"/>
    <n v="0"/>
    <n v="0"/>
  </r>
  <r>
    <x v="21"/>
    <x v="10"/>
    <n v="0"/>
    <x v="2"/>
    <s v="Vestdanmark"/>
    <n v="0"/>
    <n v="0"/>
    <n v="0"/>
    <n v="128347.79869443661"/>
    <n v="0"/>
    <n v="0"/>
    <n v="0"/>
    <n v="0"/>
    <n v="-128347.79869443661"/>
    <n v="0"/>
    <n v="0"/>
    <n v="0"/>
    <n v="0"/>
    <n v="0"/>
    <n v="0"/>
    <n v="0"/>
    <n v="0"/>
    <n v="0"/>
    <n v="0"/>
  </r>
  <r>
    <x v="22"/>
    <x v="5"/>
    <n v="1"/>
    <x v="2"/>
    <s v="Vestdanmark"/>
    <n v="5133942.8537930651"/>
    <n v="6085811.9789329367"/>
    <n v="0"/>
    <n v="307470.55071854044"/>
    <n v="0"/>
    <n v="0"/>
    <n v="0"/>
    <n v="0"/>
    <n v="-1259339.6758584119"/>
    <n v="0"/>
    <n v="0"/>
    <n v="0"/>
    <n v="0"/>
    <n v="0"/>
    <n v="0"/>
    <n v="0"/>
    <n v="0"/>
    <n v="0"/>
    <n v="0"/>
  </r>
  <r>
    <x v="23"/>
    <x v="10"/>
    <n v="0"/>
    <x v="2"/>
    <s v="Vestdanmark"/>
    <n v="0"/>
    <n v="0"/>
    <n v="0"/>
    <n v="0"/>
    <n v="0"/>
    <n v="63681.74406389035"/>
    <n v="0"/>
    <n v="0"/>
    <n v="-63681.74406389035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10188325.20203986"/>
    <n v="1687441.3615878511"/>
    <n v="0"/>
    <n v="0"/>
    <n v="859639.93892211281"/>
    <n v="859639.93892211281"/>
    <n v="10188325.20203986"/>
    <n v="0.43514114068298432"/>
    <n v="5.592369474703542"/>
    <n v="5.1572283340205578"/>
    <n v="0.43514114068298415"/>
    <n v="65332.635358080573"/>
    <n v="839645.35071310995"/>
    <n v="774312.71535502933"/>
    <n v="65332.635358080617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5712838.4612741098"/>
    <n v="5659611.4645835822"/>
    <n v="0"/>
    <n v="0"/>
    <n v="0"/>
    <n v="0"/>
    <n v="0"/>
    <n v="0"/>
    <n v="53226.996690527536"/>
    <n v="0"/>
    <n v="0"/>
    <n v="0"/>
    <n v="0"/>
    <n v="0"/>
    <n v="0"/>
    <n v="0"/>
    <n v="0"/>
    <n v="0"/>
    <n v="0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46909.42609053191"/>
    <n v="0"/>
    <n v="0"/>
    <n v="0"/>
    <n v="0"/>
    <n v="0"/>
    <n v="0"/>
    <n v="169492.57209499774"/>
    <n v="169492.57209499774"/>
    <n v="0"/>
    <n v="0.1521195834552605"/>
    <n v="0.1521195834552605"/>
    <n v="0"/>
    <n v="0.1521195834552605"/>
    <n v="25423.885814249661"/>
    <n v="25423.885814249661"/>
    <n v="0"/>
    <n v="25423.885814249661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345224.00018164597"/>
    <n v="0"/>
    <n v="0"/>
    <n v="0"/>
    <n v="0"/>
    <n v="0"/>
    <n v="0"/>
    <n v="0"/>
    <n v="345224.00018164597"/>
    <n v="0"/>
    <n v="0"/>
    <n v="0"/>
    <n v="0"/>
    <n v="0"/>
    <n v="0"/>
    <n v="0"/>
    <n v="0"/>
    <n v="0"/>
    <n v="0"/>
  </r>
  <r>
    <x v="31"/>
    <x v="7"/>
    <n v="1"/>
    <x v="2"/>
    <s v="Vestdanmark"/>
    <n v="95761.673380129621"/>
    <n v="0"/>
    <n v="0"/>
    <n v="0"/>
    <n v="0"/>
    <n v="0"/>
    <n v="95761.673380129621"/>
    <n v="0"/>
    <n v="0"/>
    <n v="0"/>
    <n v="95761.673380129621"/>
    <n v="0"/>
    <n v="1.7620147901943848"/>
    <n v="0"/>
    <n v="1.7620147901943848"/>
    <n v="0"/>
    <n v="39741.094452753794"/>
    <n v="0"/>
    <n v="39741.094452753794"/>
  </r>
  <r>
    <x v="32"/>
    <x v="8"/>
    <n v="1"/>
    <x v="2"/>
    <s v="Vestdanmark"/>
    <n v="409360.17376229854"/>
    <n v="0"/>
    <n v="0"/>
    <n v="0"/>
    <n v="0"/>
    <n v="0"/>
    <n v="409360.17376229854"/>
    <n v="0"/>
    <n v="0"/>
    <n v="0"/>
    <n v="409360.17376229854"/>
    <n v="0"/>
    <n v="3.6684519571584255"/>
    <n v="0"/>
    <n v="3.6684519571584255"/>
    <n v="0"/>
    <n v="0"/>
    <n v="0"/>
    <n v="0"/>
  </r>
  <r>
    <x v="33"/>
    <x v="8"/>
    <n v="1"/>
    <x v="2"/>
    <s v="Vestdanmark"/>
    <n v="102340.04344057463"/>
    <n v="0"/>
    <n v="0"/>
    <n v="0"/>
    <n v="0"/>
    <n v="0"/>
    <n v="102340.04344057463"/>
    <n v="0"/>
    <n v="0"/>
    <n v="0"/>
    <n v="102340.04344057463"/>
    <n v="0"/>
    <n v="3.4047070452058592"/>
    <n v="0"/>
    <n v="3.4047070452058592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345496.6234152735"/>
    <n v="0"/>
    <n v="0"/>
    <n v="0"/>
    <n v="0"/>
    <n v="0"/>
    <n v="0"/>
    <n v="345496.6234152735"/>
    <n v="0"/>
    <n v="0"/>
    <n v="0"/>
    <n v="0"/>
    <n v="0"/>
    <n v="0"/>
    <n v="0"/>
    <n v="0"/>
    <n v="0"/>
    <n v="0"/>
    <n v="0"/>
  </r>
  <r>
    <x v="36"/>
    <x v="10"/>
    <n v="0"/>
    <x v="2"/>
    <s v="Vestdanmark"/>
    <n v="172748.31170763675"/>
    <n v="214099.10609126225"/>
    <n v="0"/>
    <n v="0"/>
    <n v="0"/>
    <n v="0"/>
    <n v="0"/>
    <n v="0"/>
    <n v="-41350.7943836255"/>
    <n v="0"/>
    <n v="0"/>
    <n v="0"/>
    <n v="0"/>
    <n v="0"/>
    <n v="0"/>
    <n v="0"/>
    <n v="0"/>
    <n v="0"/>
    <n v="0"/>
  </r>
  <r>
    <x v="37"/>
    <x v="9"/>
    <n v="1"/>
    <x v="2"/>
    <s v="Vestdanmark"/>
    <n v="110558.91949288752"/>
    <n v="0"/>
    <n v="0"/>
    <n v="0"/>
    <n v="0"/>
    <n v="0"/>
    <n v="110558.91949288752"/>
    <n v="0"/>
    <n v="0"/>
    <n v="0"/>
    <n v="110558.91949288752"/>
    <n v="0"/>
    <n v="3.8695621822510629"/>
    <n v="0"/>
    <n v="3.8695621822510629"/>
    <n v="0"/>
    <n v="100608.61673852765"/>
    <n v="0"/>
    <n v="100608.61673852765"/>
  </r>
  <r>
    <x v="38"/>
    <x v="4"/>
    <n v="1"/>
    <x v="2"/>
    <s v="Vestdanmark"/>
    <n v="274805.35881915229"/>
    <n v="868637.91677766922"/>
    <n v="0"/>
    <n v="0"/>
    <n v="0"/>
    <n v="0"/>
    <n v="0"/>
    <n v="0"/>
    <n v="-593832.55795851699"/>
    <n v="0"/>
    <n v="0"/>
    <n v="0"/>
    <n v="0"/>
    <n v="0"/>
    <n v="0"/>
    <n v="0"/>
    <n v="0"/>
    <n v="0"/>
    <n v="0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3297466.0782270324"/>
    <n v="0"/>
    <n v="0"/>
    <n v="0"/>
    <n v="824366.51955675799"/>
    <n v="824366.51955675799"/>
    <n v="3297466.0782270324"/>
    <n v="0.41136713692401788"/>
    <n v="2.0568356846200895"/>
    <n v="1.6454685476960718"/>
    <n v="0.41136713692401772"/>
    <n v="49461.991173405477"/>
    <n v="247309.95586702743"/>
    <n v="197847.96469362194"/>
    <n v="49461.991173405491"/>
  </r>
  <r>
    <x v="42"/>
    <x v="2"/>
    <n v="1"/>
    <x v="2"/>
    <s v="Vestdanmark"/>
    <n v="14432291.767579561"/>
    <n v="0"/>
    <n v="0"/>
    <n v="0"/>
    <n v="11545833.414063649"/>
    <n v="2886458.3535159114"/>
    <n v="0"/>
    <n v="0"/>
    <n v="0"/>
    <n v="0"/>
    <n v="11545833.414063649"/>
    <n v="0"/>
    <n v="4.9739450347786214"/>
    <n v="4.9739450347786214"/>
    <n v="0"/>
    <n v="0"/>
    <n v="577291.67070318246"/>
    <n v="577291.67070318246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9726.8074687720582"/>
    <n v="0"/>
    <n v="0"/>
    <n v="0"/>
    <n v="0"/>
    <n v="0"/>
    <n v="0"/>
    <n v="3773.1925312279418"/>
    <n v="3773.1925312279418"/>
    <n v="0"/>
    <n v="3.3864402967770783E-3"/>
    <n v="3.3864402967770783E-3"/>
    <n v="0"/>
    <n v="3.3864402967770783E-3"/>
    <n v="565.97887968419127"/>
    <n v="565.97887968419127"/>
    <n v="0"/>
    <n v="565.97887968419127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94078.7176866641"/>
    <n v="0"/>
    <n v="0"/>
    <n v="0"/>
    <n v="0"/>
    <n v="0"/>
    <n v="2094078.7176866641"/>
    <n v="0"/>
    <n v="0"/>
    <n v="0"/>
    <n v="2094078.7176866641"/>
    <n v="0"/>
    <n v="30.350674178438894"/>
    <n v="0"/>
    <n v="30.350674178438894"/>
    <n v="0"/>
    <n v="1035696.4324558625"/>
    <n v="0"/>
    <n v="1035696.4324558625"/>
  </r>
  <r>
    <x v="47"/>
    <x v="10"/>
    <n v="0"/>
    <x v="2"/>
    <s v="Vestdanmark"/>
    <n v="594445.36947787507"/>
    <n v="0"/>
    <n v="0"/>
    <n v="0"/>
    <n v="0"/>
    <n v="0"/>
    <n v="0"/>
    <n v="0"/>
    <n v="594445.3694778750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61943.722362786721"/>
    <n v="0"/>
    <n v="0"/>
    <n v="0"/>
    <n v="61943.722362786721"/>
    <n v="0"/>
    <n v="2.1680302826975351"/>
    <n v="0"/>
    <n v="2.1680302826975351"/>
    <n v="0"/>
    <n v="56368.787350135921"/>
    <n v="0"/>
    <n v="56368.787350135921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25116.855127591796"/>
    <n v="7916.616753740097"/>
    <n v="0"/>
    <n v="0"/>
    <n v="0"/>
    <n v="0"/>
    <n v="0"/>
    <n v="0"/>
    <n v="17200.238373851698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25823070.82650796"/>
    <n v="0"/>
    <n v="0"/>
    <n v="0"/>
    <n v="0"/>
    <n v="0"/>
    <n v="125823070.82650796"/>
    <n v="0"/>
    <n v="0"/>
    <n v="0"/>
    <n v="125823070.82650796"/>
    <n v="0"/>
    <n v="0"/>
    <n v="0"/>
    <n v="0"/>
    <n v="0"/>
    <n v="0"/>
    <n v="0"/>
    <n v="0"/>
  </r>
  <r>
    <x v="4"/>
    <x v="10"/>
    <n v="0"/>
    <x v="1"/>
    <s v="Østdanmark"/>
    <n v="4316103.8219465185"/>
    <n v="0"/>
    <n v="0"/>
    <n v="0"/>
    <n v="0"/>
    <n v="3695622.0320317331"/>
    <n v="0"/>
    <n v="0"/>
    <n v="620481.78991478542"/>
    <n v="0"/>
    <n v="0"/>
    <n v="0"/>
    <n v="0"/>
    <n v="0"/>
    <n v="0"/>
    <n v="0"/>
    <n v="0"/>
    <n v="0"/>
    <n v="0"/>
  </r>
  <r>
    <x v="5"/>
    <x v="1"/>
    <n v="1"/>
    <x v="1"/>
    <s v="Østdanmark"/>
    <n v="906.12419784072335"/>
    <n v="0"/>
    <n v="0"/>
    <n v="0"/>
    <n v="453.06209892036168"/>
    <n v="0"/>
    <n v="0"/>
    <n v="0"/>
    <n v="453.06209892036168"/>
    <n v="453.06209892036168"/>
    <n v="453.06209892036168"/>
    <n v="2.5735108665956772E-4"/>
    <n v="5.1470217331913543E-4"/>
    <n v="2.5735108665956772E-4"/>
    <n v="2.5735108665956772E-4"/>
    <n v="19.374470124186381"/>
    <n v="38.748940248372762"/>
    <n v="19.374470124186381"/>
    <n v="19.374470124186381"/>
  </r>
  <r>
    <x v="6"/>
    <x v="2"/>
    <n v="1"/>
    <x v="1"/>
    <s v="Østdanmark"/>
    <n v="358055.10959218151"/>
    <n v="0"/>
    <n v="0"/>
    <n v="0"/>
    <n v="268541.33219413611"/>
    <n v="33887.358586402894"/>
    <n v="0"/>
    <n v="0"/>
    <n v="55626.418811642507"/>
    <n v="55626.418811642507"/>
    <n v="268541.33219413611"/>
    <n v="0.11981930612027797"/>
    <n v="0.69825733566644721"/>
    <n v="0.57843802954616919"/>
    <n v="0.11981930612027802"/>
    <n v="16687.925643492752"/>
    <n v="97250.325301733581"/>
    <n v="80562.399658240829"/>
    <n v="16687.925643492752"/>
  </r>
  <r>
    <x v="7"/>
    <x v="10"/>
    <n v="0"/>
    <x v="1"/>
    <s v="Østdanmark"/>
    <n v="638.21783938496321"/>
    <n v="638.41333437730827"/>
    <n v="0"/>
    <n v="0"/>
    <n v="0"/>
    <n v="0"/>
    <n v="0"/>
    <n v="0"/>
    <n v="-0.19549499234506129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455.13125134935552"/>
    <n v="185.55351016550645"/>
    <n v="0"/>
    <n v="0"/>
    <n v="59.517163637992667"/>
    <n v="59.517163637992667"/>
    <n v="455.13125134935552"/>
    <n v="2.7990326887311573E-5"/>
    <n v="2.420340030844E-4"/>
    <n v="2.1404367619708842E-4"/>
    <n v="2.799032688731158E-5"/>
    <n v="3.7495813091935379"/>
    <n v="32.422850144202933"/>
    <n v="28.673268835009399"/>
    <n v="3.7495813091935339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544404.7144636024"/>
    <n v="0"/>
    <n v="0"/>
    <n v="0"/>
    <n v="0"/>
    <n v="0"/>
    <n v="0"/>
    <n v="0"/>
    <n v="544404.7144636024"/>
    <n v="0"/>
    <n v="0"/>
    <n v="0"/>
    <n v="0"/>
    <n v="0"/>
    <n v="0"/>
    <n v="0"/>
    <n v="0"/>
    <n v="0"/>
    <n v="0"/>
  </r>
  <r>
    <x v="11"/>
    <x v="10"/>
    <n v="0"/>
    <x v="1"/>
    <s v="Østdanmark"/>
    <n v="14641.584638945284"/>
    <n v="0"/>
    <n v="0"/>
    <n v="223323.94265330929"/>
    <n v="0"/>
    <n v="0"/>
    <n v="0"/>
    <n v="0"/>
    <n v="-208682.358014364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1896413.0302612376"/>
    <n v="1298449.9225509875"/>
    <n v="0"/>
    <n v="0"/>
    <n v="0"/>
    <n v="0"/>
    <n v="0"/>
    <n v="1854.3335592126687"/>
    <n v="596108.77415103745"/>
    <n v="44494.197606562637"/>
    <n v="0"/>
    <n v="8.1863761821374434E-2"/>
    <n v="8.1863761821374434E-2"/>
    <n v="0"/>
    <n v="8.1863761821374434E-2"/>
    <n v="12458.37532983754"/>
    <n v="12458.37532983754"/>
    <n v="0"/>
    <n v="12458.37532983754"/>
  </r>
  <r>
    <x v="14"/>
    <x v="10"/>
    <n v="0"/>
    <x v="1"/>
    <s v="Østdanmark"/>
    <n v="309.99152198698209"/>
    <n v="309.9915219869820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90005.04444105408"/>
    <n v="0"/>
    <n v="0"/>
    <n v="233902.44520004498"/>
    <n v="0"/>
    <n v="0"/>
    <n v="0"/>
    <n v="0"/>
    <n v="-143897.4007589909"/>
    <n v="0"/>
    <n v="0"/>
    <n v="0"/>
    <n v="0"/>
    <n v="0"/>
    <n v="0"/>
    <n v="0"/>
    <n v="0"/>
    <n v="0"/>
    <n v="0"/>
  </r>
  <r>
    <x v="16"/>
    <x v="5"/>
    <n v="1"/>
    <x v="1"/>
    <s v="Østdanmark"/>
    <n v="880379.80528949713"/>
    <n v="94889.448034412562"/>
    <n v="103520.85960187271"/>
    <n v="0"/>
    <n v="0"/>
    <n v="0"/>
    <n v="0"/>
    <n v="450078.1384305096"/>
    <n v="231891.35922270222"/>
    <n v="0"/>
    <n v="0"/>
    <n v="0"/>
    <n v="0"/>
    <n v="0"/>
    <n v="0"/>
    <n v="0"/>
    <n v="0"/>
    <n v="0"/>
    <n v="0"/>
  </r>
  <r>
    <x v="17"/>
    <x v="1"/>
    <n v="1"/>
    <x v="1"/>
    <s v="Østdanmark"/>
    <n v="456074.89013160887"/>
    <n v="0"/>
    <n v="0"/>
    <n v="0"/>
    <n v="232026.20760066749"/>
    <n v="0"/>
    <n v="224048.68253094138"/>
    <n v="0"/>
    <n v="0"/>
    <n v="0"/>
    <n v="456074.89013160887"/>
    <n v="0"/>
    <n v="4.3937632302492702"/>
    <n v="0.3939967423404655"/>
    <n v="3.9997664879088046"/>
    <n v="0"/>
    <n v="136822.46703948267"/>
    <n v="69607.86228020025"/>
    <n v="67214.604759282418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135119.43350585381"/>
    <n v="0"/>
    <n v="0"/>
    <n v="0"/>
    <n v="0"/>
    <n v="0"/>
    <n v="0"/>
    <n v="0"/>
    <n v="135119.43350585381"/>
    <n v="0"/>
    <n v="0"/>
    <n v="0"/>
    <n v="0"/>
    <n v="0"/>
    <n v="0"/>
    <n v="0"/>
    <n v="0"/>
    <n v="0"/>
    <n v="0"/>
  </r>
  <r>
    <x v="21"/>
    <x v="10"/>
    <n v="0"/>
    <x v="1"/>
    <s v="Østdanmark"/>
    <n v="0"/>
    <n v="0"/>
    <n v="0"/>
    <n v="106960.41463921656"/>
    <n v="0"/>
    <n v="0"/>
    <n v="0"/>
    <n v="0"/>
    <n v="-106960.41463921656"/>
    <n v="0"/>
    <n v="0"/>
    <n v="0"/>
    <n v="0"/>
    <n v="0"/>
    <n v="0"/>
    <n v="0"/>
    <n v="0"/>
    <n v="0"/>
    <n v="0"/>
  </r>
  <r>
    <x v="22"/>
    <x v="5"/>
    <n v="1"/>
    <x v="1"/>
    <s v="Østdanmark"/>
    <n v="2229437.4413574226"/>
    <n v="746979.53273428511"/>
    <n v="0"/>
    <n v="256234.83946537593"/>
    <n v="0"/>
    <n v="0"/>
    <n v="0"/>
    <n v="0"/>
    <n v="1226223.0691577615"/>
    <n v="20688.370813856833"/>
    <n v="0"/>
    <n v="7.0854773665545726E-2"/>
    <n v="7.0854773665545726E-2"/>
    <n v="0"/>
    <n v="7.0854773665545726E-2"/>
    <n v="6413.3949522956182"/>
    <n v="6413.3949522956182"/>
    <n v="0"/>
    <n v="6413.3949522956182"/>
  </r>
  <r>
    <x v="23"/>
    <x v="10"/>
    <n v="0"/>
    <x v="1"/>
    <s v="Østdanmark"/>
    <n v="0"/>
    <n v="0"/>
    <n v="0"/>
    <n v="0"/>
    <n v="0"/>
    <n v="284186.53350619553"/>
    <n v="0"/>
    <n v="0"/>
    <n v="-284186.53350619553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342188.62633028702"/>
    <n v="694667.19345041318"/>
    <n v="0"/>
    <n v="0"/>
    <n v="0"/>
    <n v="0"/>
    <n v="0"/>
    <n v="0"/>
    <n v="-352478.56712012616"/>
    <n v="0"/>
    <n v="0"/>
    <n v="0"/>
    <n v="0"/>
    <n v="0"/>
    <n v="0"/>
    <n v="0"/>
    <n v="0"/>
    <n v="0"/>
    <n v="0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5757.7166864893625"/>
    <n v="0"/>
    <n v="0"/>
    <n v="0"/>
    <n v="0"/>
    <n v="0"/>
    <n v="0"/>
    <n v="-2543.9244433503286"/>
    <n v="0"/>
    <n v="0"/>
    <n v="0"/>
    <n v="0"/>
    <n v="0"/>
    <n v="0"/>
    <n v="0"/>
    <n v="0"/>
    <n v="0"/>
    <n v="0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218053.83114290028"/>
    <n v="0"/>
    <n v="0"/>
    <n v="0"/>
    <n v="0"/>
    <n v="0"/>
    <n v="0"/>
    <n v="0"/>
    <n v="218053.83114290028"/>
    <n v="0"/>
    <n v="0"/>
    <n v="0"/>
    <n v="0"/>
    <n v="0"/>
    <n v="0"/>
    <n v="0"/>
    <n v="0"/>
    <n v="0"/>
    <n v="0"/>
  </r>
  <r>
    <x v="31"/>
    <x v="7"/>
    <n v="1"/>
    <x v="1"/>
    <s v="Østdanmark"/>
    <n v="31330.310934881738"/>
    <n v="0"/>
    <n v="0"/>
    <n v="0"/>
    <n v="0"/>
    <n v="0"/>
    <n v="31330.310934881738"/>
    <n v="0"/>
    <n v="0"/>
    <n v="0"/>
    <n v="31330.310934881738"/>
    <n v="0"/>
    <n v="0.57647772120182383"/>
    <n v="0"/>
    <n v="0.57647772120182383"/>
    <n v="0"/>
    <n v="13002.079037975922"/>
    <n v="0"/>
    <n v="13002.079037975922"/>
  </r>
  <r>
    <x v="32"/>
    <x v="8"/>
    <n v="1"/>
    <x v="1"/>
    <s v="Østdanmark"/>
    <n v="252043.75752108541"/>
    <n v="0"/>
    <n v="0"/>
    <n v="0"/>
    <n v="0"/>
    <n v="0"/>
    <n v="252043.75752108541"/>
    <n v="0"/>
    <n v="0"/>
    <n v="0"/>
    <n v="252043.75752108541"/>
    <n v="0"/>
    <n v="2.258672129899669"/>
    <n v="0"/>
    <n v="2.258672129899669"/>
    <n v="0"/>
    <n v="0"/>
    <n v="0"/>
    <n v="0"/>
  </r>
  <r>
    <x v="33"/>
    <x v="8"/>
    <n v="1"/>
    <x v="1"/>
    <s v="Østdanmark"/>
    <n v="63010.939380271353"/>
    <n v="0"/>
    <n v="0"/>
    <n v="0"/>
    <n v="0"/>
    <n v="0"/>
    <n v="63010.939380271353"/>
    <n v="0"/>
    <n v="0"/>
    <n v="0"/>
    <n v="63010.939380271353"/>
    <n v="0"/>
    <n v="2.0962839375539413"/>
    <n v="0"/>
    <n v="2.0962839375539413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115336.64661622414"/>
    <n v="0"/>
    <n v="0"/>
    <n v="0"/>
    <n v="0"/>
    <n v="0"/>
    <n v="0"/>
    <n v="115336.64661622414"/>
    <n v="0"/>
    <n v="0"/>
    <n v="0"/>
    <n v="0"/>
    <n v="0"/>
    <n v="0"/>
    <n v="0"/>
    <n v="0"/>
    <n v="0"/>
    <n v="0"/>
    <n v="0"/>
  </r>
  <r>
    <x v="36"/>
    <x v="10"/>
    <n v="0"/>
    <x v="1"/>
    <s v="Østdanmark"/>
    <n v="57668.323308112071"/>
    <n v="26278.769501998377"/>
    <n v="0"/>
    <n v="0"/>
    <n v="0"/>
    <n v="0"/>
    <n v="0"/>
    <n v="0"/>
    <n v="31389.553806113694"/>
    <n v="0"/>
    <n v="0"/>
    <n v="0"/>
    <n v="0"/>
    <n v="0"/>
    <n v="0"/>
    <n v="0"/>
    <n v="0"/>
    <n v="0"/>
    <n v="0"/>
  </r>
  <r>
    <x v="37"/>
    <x v="9"/>
    <n v="1"/>
    <x v="1"/>
    <s v="Østdanmark"/>
    <n v="36907.726917191729"/>
    <n v="0"/>
    <n v="0"/>
    <n v="0"/>
    <n v="0"/>
    <n v="0"/>
    <n v="36907.726917191729"/>
    <n v="0"/>
    <n v="0"/>
    <n v="0"/>
    <n v="36907.726917191729"/>
    <n v="0"/>
    <n v="1.2917704421017104"/>
    <n v="0"/>
    <n v="1.2917704421017104"/>
    <n v="0"/>
    <n v="33586.031494644478"/>
    <n v="0"/>
    <n v="33586.031494644478"/>
  </r>
  <r>
    <x v="38"/>
    <x v="4"/>
    <n v="1"/>
    <x v="1"/>
    <s v="Østdanmark"/>
    <n v="2129245.811636521"/>
    <n v="106617.6128076231"/>
    <n v="0"/>
    <n v="0"/>
    <n v="0"/>
    <n v="0"/>
    <n v="0"/>
    <n v="0"/>
    <n v="2022628.1988288979"/>
    <n v="1434089.1049770473"/>
    <n v="0"/>
    <n v="3.8921751944719056"/>
    <n v="3.8921751944719056"/>
    <n v="0"/>
    <n v="3.8921751944719056"/>
    <n v="286817.82099540945"/>
    <n v="286817.82099540945"/>
    <n v="0"/>
    <n v="286817.82099540945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672027.0453821167"/>
    <n v="0"/>
    <n v="0"/>
    <n v="0"/>
    <n v="1672027.0453821167"/>
    <n v="1672027.0453821167"/>
    <n v="1672027.0453821167"/>
    <n v="0.83435821591613013"/>
    <n v="1.6687164318322603"/>
    <n v="0.83435821591613013"/>
    <n v="0.83435821591613013"/>
    <n v="100321.622722927"/>
    <n v="200643.245445854"/>
    <n v="100321.622722927"/>
    <n v="100321.622722927"/>
  </r>
  <r>
    <x v="42"/>
    <x v="2"/>
    <n v="1"/>
    <x v="1"/>
    <s v="Østdanmark"/>
    <n v="2184299.8380428459"/>
    <n v="0"/>
    <n v="0"/>
    <n v="0"/>
    <n v="1419794.8947278499"/>
    <n v="764504.94331499608"/>
    <n v="0"/>
    <n v="0"/>
    <n v="0"/>
    <n v="0"/>
    <n v="1419794.8947278499"/>
    <n v="0"/>
    <n v="0.61164764064875787"/>
    <n v="0.61164764064875787"/>
    <n v="0"/>
    <n v="0"/>
    <n v="70989.744736392502"/>
    <n v="70989.744736392502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1193.879489404412"/>
    <n v="0"/>
    <n v="0"/>
    <n v="0"/>
    <n v="0"/>
    <n v="0"/>
    <n v="0"/>
    <n v="3306.1205105955878"/>
    <n v="3306.1205105955878"/>
    <n v="0"/>
    <n v="2.9672431582595405E-3"/>
    <n v="2.9672431582595405E-3"/>
    <n v="0"/>
    <n v="2.9672431582595405E-3"/>
    <n v="495.91807658933817"/>
    <n v="495.91807658933817"/>
    <n v="0"/>
    <n v="495.91807658933817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25113.208745392181"/>
    <n v="7916.616753740097"/>
    <n v="0"/>
    <n v="0"/>
    <n v="0"/>
    <n v="0"/>
    <n v="0"/>
    <n v="0"/>
    <n v="17196.591991652083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47236075.81607157"/>
    <n v="0"/>
    <n v="0"/>
    <n v="0"/>
    <n v="0"/>
    <n v="0"/>
    <n v="147236075.81607157"/>
    <n v="0"/>
    <n v="0"/>
    <n v="0"/>
    <n v="147236075.81607157"/>
    <n v="0"/>
    <n v="0"/>
    <n v="0"/>
    <n v="0"/>
    <n v="0"/>
    <n v="0"/>
    <n v="0"/>
    <n v="0"/>
  </r>
  <r>
    <x v="4"/>
    <x v="10"/>
    <n v="0"/>
    <x v="2"/>
    <s v="Østdanmark"/>
    <n v="5642114.2310847286"/>
    <n v="0"/>
    <n v="0"/>
    <n v="0"/>
    <n v="0"/>
    <n v="4504284.7839041585"/>
    <n v="0"/>
    <n v="0"/>
    <n v="1137829.4471805701"/>
    <n v="0"/>
    <n v="0"/>
    <n v="0"/>
    <n v="0"/>
    <n v="0"/>
    <n v="0"/>
    <n v="0"/>
    <n v="0"/>
    <n v="0"/>
    <n v="0"/>
  </r>
  <r>
    <x v="5"/>
    <x v="1"/>
    <n v="1"/>
    <x v="2"/>
    <s v="Østdanmark"/>
    <n v="906.12419784072324"/>
    <n v="0"/>
    <n v="0"/>
    <n v="0"/>
    <n v="724.89935827257864"/>
    <n v="0"/>
    <n v="0"/>
    <n v="0"/>
    <n v="181.2248395681446"/>
    <n v="181.2248395681446"/>
    <n v="724.89935827257864"/>
    <n v="1.0294043466382705E-4"/>
    <n v="5.1470217331913543E-4"/>
    <n v="4.1176173865530832E-4"/>
    <n v="1.0294043466382711E-4"/>
    <n v="7.7497880496745495"/>
    <n v="38.748940248372755"/>
    <n v="30.999152198698205"/>
    <n v="7.7497880496745495"/>
  </r>
  <r>
    <x v="6"/>
    <x v="2"/>
    <n v="1"/>
    <x v="2"/>
    <s v="Østdanmark"/>
    <n v="377058.10701599991"/>
    <n v="0"/>
    <n v="0"/>
    <n v="0"/>
    <n v="301646.48561279994"/>
    <n v="28548.68524549713"/>
    <n v="0"/>
    <n v="0"/>
    <n v="46862.936157702818"/>
    <n v="46862.936157702818"/>
    <n v="301646.48561279994"/>
    <n v="0.10094276448369187"/>
    <n v="0.75068929449366295"/>
    <n v="0.64974653000997107"/>
    <n v="0.10094276448369188"/>
    <n v="14058.880847310846"/>
    <n v="104552.82653115083"/>
    <n v="90493.945683839978"/>
    <n v="14058.880847310851"/>
  </r>
  <r>
    <x v="7"/>
    <x v="10"/>
    <n v="0"/>
    <x v="2"/>
    <s v="Østdanmark"/>
    <n v="638.2178393849631"/>
    <n v="638.41333437730816"/>
    <n v="0"/>
    <n v="0"/>
    <n v="0"/>
    <n v="0"/>
    <n v="0"/>
    <n v="0"/>
    <n v="-0.19549499234506129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578.47871789484259"/>
    <n v="109.49775731580944"/>
    <n v="0"/>
    <n v="0"/>
    <n v="35.121922157901167"/>
    <n v="35.121922157901167"/>
    <n v="578.47871789484259"/>
    <n v="1.651748877163934E-5"/>
    <n v="2.8857024501040485E-4"/>
    <n v="2.7205275623876551E-4"/>
    <n v="1.6517488771639337E-5"/>
    <n v="2.2126810959477736"/>
    <n v="38.656840323322854"/>
    <n v="36.444159227375081"/>
    <n v="2.212681095947772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544325.67958243925"/>
    <n v="0"/>
    <n v="0"/>
    <n v="0"/>
    <n v="0"/>
    <n v="0"/>
    <n v="0"/>
    <n v="0"/>
    <n v="544325.67958243925"/>
    <n v="0"/>
    <n v="0"/>
    <n v="0"/>
    <n v="0"/>
    <n v="0"/>
    <n v="0"/>
    <n v="0"/>
    <n v="0"/>
    <n v="0"/>
    <n v="0"/>
  </r>
  <r>
    <x v="11"/>
    <x v="10"/>
    <n v="0"/>
    <x v="2"/>
    <s v="Østdanmark"/>
    <n v="14639.459021970932"/>
    <n v="0"/>
    <n v="0"/>
    <n v="233795.01599247381"/>
    <n v="0"/>
    <n v="0"/>
    <n v="0"/>
    <n v="0"/>
    <n v="-219155.5569705028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028301.812130857"/>
    <n v="1298449.9225509875"/>
    <n v="0"/>
    <n v="0"/>
    <n v="0"/>
    <n v="0"/>
    <n v="0"/>
    <n v="1854.3335592126684"/>
    <n v="727997.55602065683"/>
    <n v="239732.89906206005"/>
    <n v="0"/>
    <n v="0.44107856766180775"/>
    <n v="0.44107856766180775"/>
    <n v="0"/>
    <n v="0.44107856766180775"/>
    <n v="67125.211737376827"/>
    <n v="67125.211737376827"/>
    <n v="0"/>
    <n v="67125.211737376827"/>
  </r>
  <r>
    <x v="14"/>
    <x v="10"/>
    <n v="0"/>
    <x v="2"/>
    <s v="Østdanmark"/>
    <n v="309.99152198698204"/>
    <n v="309.9915219869820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89763.009859427373"/>
    <n v="0"/>
    <n v="0"/>
    <n v="244869.51675001203"/>
    <n v="0"/>
    <n v="0"/>
    <n v="0"/>
    <n v="0"/>
    <n v="-155106.50689058466"/>
    <n v="0"/>
    <n v="0"/>
    <n v="0"/>
    <n v="0"/>
    <n v="0"/>
    <n v="0"/>
    <n v="0"/>
    <n v="0"/>
    <n v="0"/>
    <n v="0"/>
  </r>
  <r>
    <x v="16"/>
    <x v="5"/>
    <n v="1"/>
    <x v="2"/>
    <s v="Østdanmark"/>
    <n v="896693.69274584518"/>
    <n v="94889.448034412548"/>
    <n v="103062.42440743271"/>
    <n v="0"/>
    <n v="0"/>
    <n v="0"/>
    <n v="10903.94907837885"/>
    <n v="455999.6897101808"/>
    <n v="231838.18151544023"/>
    <n v="1.1641532182693481E-10"/>
    <n v="10903.94907837885"/>
    <n v="1.2032462213112001E-15"/>
    <n v="0.11270110600590764"/>
    <n v="0"/>
    <n v="0.11270110600590764"/>
    <n v="9.895302355289459E-11"/>
    <n v="9268.3567166221201"/>
    <n v="0"/>
    <n v="9268.3567166221201"/>
  </r>
  <r>
    <x v="17"/>
    <x v="1"/>
    <n v="1"/>
    <x v="2"/>
    <s v="Østdanmark"/>
    <n v="457927.02496060182"/>
    <n v="0"/>
    <n v="0"/>
    <n v="0"/>
    <n v="232968.47350838353"/>
    <n v="0"/>
    <n v="224958.55145221829"/>
    <n v="0"/>
    <n v="0"/>
    <n v="0"/>
    <n v="457927.02496060182"/>
    <n v="0"/>
    <n v="4.4116064443467282"/>
    <n v="0.39559677581038083"/>
    <n v="4.0160096685363476"/>
    <n v="0"/>
    <n v="137378.10748818054"/>
    <n v="69890.542052515055"/>
    <n v="67487.56543566548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135099.81731208056"/>
    <n v="0"/>
    <n v="0"/>
    <n v="0"/>
    <n v="0"/>
    <n v="0"/>
    <n v="0"/>
    <n v="0"/>
    <n v="135099.81731208056"/>
    <n v="0"/>
    <n v="0"/>
    <n v="0"/>
    <n v="0"/>
    <n v="0"/>
    <n v="0"/>
    <n v="0"/>
    <n v="0"/>
    <n v="0"/>
    <n v="0"/>
  </r>
  <r>
    <x v="21"/>
    <x v="10"/>
    <n v="0"/>
    <x v="2"/>
    <s v="Østdanmark"/>
    <n v="0"/>
    <n v="0"/>
    <n v="0"/>
    <n v="111975.50765955324"/>
    <n v="0"/>
    <n v="0"/>
    <n v="0"/>
    <n v="0"/>
    <n v="-111975.50765955324"/>
    <n v="0"/>
    <n v="0"/>
    <n v="0"/>
    <n v="0"/>
    <n v="0"/>
    <n v="0"/>
    <n v="0"/>
    <n v="0"/>
    <n v="0"/>
    <n v="0"/>
  </r>
  <r>
    <x v="22"/>
    <x v="5"/>
    <n v="1"/>
    <x v="2"/>
    <s v="Østdanmark"/>
    <n v="2274885.0202699397"/>
    <n v="746979.53273428511"/>
    <n v="0"/>
    <n v="268249.01834925939"/>
    <n v="0"/>
    <n v="0"/>
    <n v="0"/>
    <n v="0"/>
    <n v="1259656.4691863952"/>
    <n v="316.79332798323594"/>
    <n v="0"/>
    <n v="1.0849727972766657E-3"/>
    <n v="1.0849727972766657E-3"/>
    <n v="0"/>
    <n v="1.0849727972766657E-3"/>
    <n v="98.205931674803139"/>
    <n v="98.205931674803139"/>
    <n v="0"/>
    <n v="98.205931674803139"/>
  </r>
  <r>
    <x v="23"/>
    <x v="10"/>
    <n v="0"/>
    <x v="2"/>
    <s v="Østdanmark"/>
    <n v="0"/>
    <n v="0"/>
    <n v="0"/>
    <n v="0"/>
    <n v="0"/>
    <n v="257708.57342916247"/>
    <n v="0"/>
    <n v="0"/>
    <n v="-257708.57342916247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724125.12538599269"/>
    <n v="119933.22389205502"/>
    <n v="0"/>
    <n v="0"/>
    <n v="61098.057454443187"/>
    <n v="61098.057454443187"/>
    <n v="724125.12538599269"/>
    <n v="3.0927225702864602E-2"/>
    <n v="0.39747212292200029"/>
    <n v="0.36654489721913569"/>
    <n v="3.0927225702864602E-2"/>
    <n v="4643.4523665376819"/>
    <n v="59676.961895873123"/>
    <n v="55033.509529335446"/>
    <n v="4643.4523665376764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346077.120935774"/>
    <n v="694667.19345041306"/>
    <n v="0"/>
    <n v="0"/>
    <n v="0"/>
    <n v="0"/>
    <n v="0"/>
    <n v="0"/>
    <n v="-348590.07251463906"/>
    <n v="0"/>
    <n v="0"/>
    <n v="0"/>
    <n v="0"/>
    <n v="0"/>
    <n v="0"/>
    <n v="0"/>
    <n v="0"/>
    <n v="0"/>
    <n v="0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5757.7166864893616"/>
    <n v="0"/>
    <n v="0"/>
    <n v="0"/>
    <n v="0"/>
    <n v="0"/>
    <n v="0"/>
    <n v="48297.869614259107"/>
    <n v="48297.869614259107"/>
    <n v="0"/>
    <n v="4.334733797879755E-2"/>
    <n v="4.334733797879755E-2"/>
    <n v="0"/>
    <n v="4.334733797879755E-2"/>
    <n v="7244.6804421388661"/>
    <n v="7244.6804421388661"/>
    <n v="0"/>
    <n v="7244.6804421388661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218022.17480677072"/>
    <n v="0"/>
    <n v="0"/>
    <n v="0"/>
    <n v="0"/>
    <n v="0"/>
    <n v="0"/>
    <n v="0"/>
    <n v="218022.17480677072"/>
    <n v="0"/>
    <n v="0"/>
    <n v="0"/>
    <n v="0"/>
    <n v="0"/>
    <n v="0"/>
    <n v="0"/>
    <n v="0"/>
    <n v="0"/>
    <n v="0"/>
  </r>
  <r>
    <x v="31"/>
    <x v="7"/>
    <n v="1"/>
    <x v="2"/>
    <s v="Østdanmark"/>
    <n v="31325.762503658123"/>
    <n v="0"/>
    <n v="0"/>
    <n v="0"/>
    <n v="0"/>
    <n v="0"/>
    <n v="31325.762503658123"/>
    <n v="0"/>
    <n v="0"/>
    <n v="0"/>
    <n v="31325.762503658123"/>
    <n v="0"/>
    <n v="0.57639403006730938"/>
    <n v="0"/>
    <n v="0.57639403006730938"/>
    <n v="0"/>
    <n v="13000.191439018123"/>
    <n v="0"/>
    <n v="13000.191439018123"/>
  </r>
  <r>
    <x v="32"/>
    <x v="8"/>
    <n v="1"/>
    <x v="2"/>
    <s v="Østdanmark"/>
    <n v="255359.82623770126"/>
    <n v="0"/>
    <n v="0"/>
    <n v="0"/>
    <n v="0"/>
    <n v="0"/>
    <n v="255359.82623770126"/>
    <n v="0"/>
    <n v="0"/>
    <n v="0"/>
    <n v="255359.82623770126"/>
    <n v="0"/>
    <n v="2.2883888428415706"/>
    <n v="0"/>
    <n v="2.2883888428415706"/>
    <n v="0"/>
    <n v="0"/>
    <n v="0"/>
    <n v="0"/>
  </r>
  <r>
    <x v="33"/>
    <x v="8"/>
    <n v="1"/>
    <x v="2"/>
    <s v="Østdanmark"/>
    <n v="63839.956559425314"/>
    <n v="0"/>
    <n v="0"/>
    <n v="0"/>
    <n v="0"/>
    <n v="0"/>
    <n v="63839.956559425314"/>
    <n v="0"/>
    <n v="0"/>
    <n v="0"/>
    <n v="63839.956559425314"/>
    <n v="0"/>
    <n v="2.1238641547941377"/>
    <n v="0"/>
    <n v="2.1238641547941377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15213.68672370631"/>
    <n v="0"/>
    <n v="0"/>
    <n v="0"/>
    <n v="0"/>
    <n v="0"/>
    <n v="0"/>
    <n v="115213.68672370631"/>
    <n v="0"/>
    <n v="0"/>
    <n v="0"/>
    <n v="0"/>
    <n v="0"/>
    <n v="0"/>
    <n v="0"/>
    <n v="0"/>
    <n v="0"/>
    <n v="0"/>
    <n v="0"/>
  </r>
  <r>
    <x v="36"/>
    <x v="10"/>
    <n v="0"/>
    <x v="2"/>
    <s v="Østdanmark"/>
    <n v="57606.843361853156"/>
    <n v="26278.769501998373"/>
    <n v="0"/>
    <n v="0"/>
    <n v="0"/>
    <n v="0"/>
    <n v="0"/>
    <n v="0"/>
    <n v="31328.073859854783"/>
    <n v="0"/>
    <n v="0"/>
    <n v="0"/>
    <n v="0"/>
    <n v="0"/>
    <n v="0"/>
    <n v="0"/>
    <n v="0"/>
    <n v="0"/>
    <n v="0"/>
  </r>
  <r>
    <x v="37"/>
    <x v="9"/>
    <n v="1"/>
    <x v="2"/>
    <s v="Østdanmark"/>
    <n v="36868.379751586021"/>
    <n v="0"/>
    <n v="0"/>
    <n v="0"/>
    <n v="0"/>
    <n v="0"/>
    <n v="36868.379751586021"/>
    <n v="0"/>
    <n v="0"/>
    <n v="0"/>
    <n v="36868.379751586021"/>
    <n v="0"/>
    <n v="1.2903932913055105"/>
    <n v="0"/>
    <n v="1.2903932913055105"/>
    <n v="0"/>
    <n v="33550.22557394328"/>
    <n v="0"/>
    <n v="33550.22557394328"/>
  </r>
  <r>
    <x v="38"/>
    <x v="4"/>
    <n v="1"/>
    <x v="2"/>
    <s v="Østdanmark"/>
    <n v="2128936.6947511984"/>
    <n v="106617.61280762308"/>
    <n v="0"/>
    <n v="0"/>
    <n v="0"/>
    <n v="0"/>
    <n v="0"/>
    <n v="0"/>
    <n v="2022319.0819435753"/>
    <n v="1428486.5239850583"/>
    <n v="0"/>
    <n v="3.8769695655564078"/>
    <n v="3.8769695655564078"/>
    <n v="0"/>
    <n v="3.8769695655564078"/>
    <n v="285697.30479701166"/>
    <n v="285697.30479701166"/>
    <n v="0"/>
    <n v="285697.30479701166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2800225.1934703197"/>
    <n v="0"/>
    <n v="0"/>
    <n v="0"/>
    <n v="700056.29836757993"/>
    <n v="700056.29836757993"/>
    <n v="2800225.1934703197"/>
    <n v="0.34933509344840613"/>
    <n v="1.7466754672420306"/>
    <n v="1.3973403737936245"/>
    <n v="0.34933509344840608"/>
    <n v="42003.377902054795"/>
    <n v="210016.88951027396"/>
    <n v="168013.51160821918"/>
    <n v="42003.377902054781"/>
  </r>
  <r>
    <x v="42"/>
    <x v="2"/>
    <n v="1"/>
    <x v="2"/>
    <s v="Østdanmark"/>
    <n v="2091197.4416372697"/>
    <n v="0"/>
    <n v="0"/>
    <n v="0"/>
    <n v="1672957.9533098158"/>
    <n v="418239.48832745384"/>
    <n v="0"/>
    <n v="0"/>
    <n v="0"/>
    <n v="0"/>
    <n v="1672957.9533098158"/>
    <n v="0"/>
    <n v="0.72071028628586875"/>
    <n v="0.72071028628586875"/>
    <n v="0"/>
    <n v="0"/>
    <n v="83647.897665490804"/>
    <n v="83647.897665490804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1193.8794894044117"/>
    <n v="0"/>
    <n v="0"/>
    <n v="0"/>
    <n v="0"/>
    <n v="0"/>
    <n v="0"/>
    <n v="3306.1205105955883"/>
    <n v="3306.1205105955883"/>
    <n v="0"/>
    <n v="2.9672431582595409E-3"/>
    <n v="2.9672431582595409E-3"/>
    <n v="0"/>
    <n v="2.9672431582595409E-3"/>
    <n v="495.91807658933823"/>
    <n v="495.91807658933823"/>
    <n v="0"/>
    <n v="495.91807658933823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95128.1688444037"/>
    <n v="0"/>
    <n v="0"/>
    <n v="0"/>
    <n v="0"/>
    <n v="0"/>
    <n v="595128.1688444037"/>
    <n v="0"/>
    <n v="0"/>
    <n v="0"/>
    <n v="595128.1688444037"/>
    <n v="0"/>
    <n v="8.6255311199386124"/>
    <n v="0"/>
    <n v="8.6255311199386124"/>
    <n v="0"/>
    <n v="294340.47350762796"/>
    <n v="0"/>
    <n v="294340.47350762796"/>
  </r>
  <r>
    <x v="47"/>
    <x v="10"/>
    <n v="0"/>
    <x v="2"/>
    <s v="Østdanmark"/>
    <n v="165791.82373780277"/>
    <n v="0"/>
    <n v="0"/>
    <n v="0"/>
    <n v="0"/>
    <n v="0"/>
    <n v="0"/>
    <n v="0"/>
    <n v="165791.82373780277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452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Q37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3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 t="grand">
      <x/>
    </i>
  </rowItems>
  <colFields count="1">
    <field x="2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dataFields count="1">
    <dataField name="Sum of Mængde [ton]" fld="4" baseField="3" baseItem="0" numFmtId="172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9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0" format="1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0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0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453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O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14">
    <i>
      <x v="2"/>
    </i>
    <i>
      <x v="8"/>
    </i>
    <i>
      <x v="9"/>
    </i>
    <i>
      <x v="10"/>
    </i>
    <i>
      <x v="11"/>
    </i>
    <i>
      <x v="13"/>
    </i>
    <i>
      <x v="15"/>
    </i>
    <i>
      <x v="18"/>
    </i>
    <i>
      <x v="32"/>
    </i>
    <i>
      <x v="36"/>
    </i>
    <i>
      <x v="37"/>
    </i>
    <i>
      <x v="39"/>
    </i>
    <i>
      <x v="44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0">
      <pivotArea outline="0" collapsedLevelsAreSubtotals="1" fieldPosition="0"/>
    </format>
  </formats>
  <chartFormats count="78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6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6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453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F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1">
    <i>
      <x/>
    </i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35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4533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7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453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6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453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452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453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3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453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452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1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452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0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6" t="s">
        <v>293</v>
      </c>
      <c r="B1" s="336"/>
      <c r="D1" s="75" t="s">
        <v>308</v>
      </c>
    </row>
    <row r="2" spans="1:6" x14ac:dyDescent="0.25">
      <c r="A2" s="6" t="s">
        <v>0</v>
      </c>
      <c r="B2" s="231" t="s">
        <v>330</v>
      </c>
    </row>
    <row r="4" spans="1:6" ht="30" customHeight="1" thickBot="1" x14ac:dyDescent="0.3">
      <c r="A4" s="335" t="s">
        <v>292</v>
      </c>
      <c r="B4" s="335"/>
      <c r="D4" s="75"/>
    </row>
    <row r="5" spans="1:6" ht="15.75" thickTop="1" x14ac:dyDescent="0.25">
      <c r="A5" s="277" t="s">
        <v>87</v>
      </c>
      <c r="B5" s="276" t="s">
        <v>332</v>
      </c>
      <c r="D5" s="219" t="s">
        <v>44</v>
      </c>
      <c r="E5" s="220"/>
      <c r="F5" s="12"/>
    </row>
    <row r="6" spans="1:6" x14ac:dyDescent="0.25">
      <c r="A6" s="211" t="s">
        <v>85</v>
      </c>
      <c r="B6" s="212" t="s">
        <v>274</v>
      </c>
      <c r="D6" s="221" t="str" cm="1">
        <f t="array" ref="D6">[1]!Jordbund1</f>
        <v>JB1-10</v>
      </c>
      <c r="E6" s="222" t="s">
        <v>45</v>
      </c>
      <c r="F6" s="12"/>
    </row>
    <row r="7" spans="1:6" x14ac:dyDescent="0.25">
      <c r="A7" s="211"/>
      <c r="B7" s="212" t="s">
        <v>2</v>
      </c>
      <c r="D7" s="221" t="str" cm="1">
        <f t="array" ref="D7">[1]!Organ6</f>
        <v>OC6</v>
      </c>
      <c r="E7" s="222" t="s">
        <v>46</v>
      </c>
      <c r="F7" s="12"/>
    </row>
    <row r="8" spans="1:6" x14ac:dyDescent="0.25">
      <c r="A8" s="229" t="s">
        <v>93</v>
      </c>
      <c r="B8" s="212" t="s">
        <v>275</v>
      </c>
      <c r="D8" s="221" t="str" cm="1">
        <f t="array" ref="D8">[1]!Organ12</f>
        <v>OC12</v>
      </c>
      <c r="E8" s="222" t="s">
        <v>47</v>
      </c>
      <c r="F8" s="12"/>
    </row>
    <row r="9" spans="1:6" x14ac:dyDescent="0.25">
      <c r="A9" s="213" t="s">
        <v>94</v>
      </c>
      <c r="B9" s="212" t="s">
        <v>276</v>
      </c>
      <c r="D9" s="221"/>
      <c r="E9" s="222"/>
      <c r="F9" s="12"/>
    </row>
    <row r="10" spans="1:6" x14ac:dyDescent="0.25">
      <c r="A10" s="211"/>
      <c r="B10" s="212"/>
      <c r="D10" s="223" t="s">
        <v>48</v>
      </c>
      <c r="E10" s="222"/>
      <c r="F10" s="12"/>
    </row>
    <row r="11" spans="1:6" x14ac:dyDescent="0.25">
      <c r="A11" s="229" t="s">
        <v>70</v>
      </c>
      <c r="B11" s="230" t="s">
        <v>277</v>
      </c>
      <c r="D11" s="221" t="str" cm="1">
        <f t="array" ref="D11">[1]!Bebyg</f>
        <v>Bebyggelse &amp; infrastruktur</v>
      </c>
      <c r="E11" s="222"/>
      <c r="F11" s="12"/>
    </row>
    <row r="12" spans="1:6" x14ac:dyDescent="0.25">
      <c r="A12" s="211" t="s">
        <v>271</v>
      </c>
      <c r="B12" s="212" t="s">
        <v>278</v>
      </c>
      <c r="D12" s="221" t="str" cm="1">
        <f t="array" ref="D12">[1]!Afgrøder</f>
        <v>Landbrugsafgrøder</v>
      </c>
      <c r="E12" s="222"/>
      <c r="F12" s="12"/>
    </row>
    <row r="13" spans="1:6" x14ac:dyDescent="0.25">
      <c r="A13" s="211"/>
      <c r="B13" s="212"/>
      <c r="D13" s="221" t="str" cm="1">
        <f t="array" ref="D13">[1]!SkovAreal</f>
        <v>Skov</v>
      </c>
      <c r="E13" s="222"/>
      <c r="F13" s="12"/>
    </row>
    <row r="14" spans="1:6" x14ac:dyDescent="0.25">
      <c r="A14" s="229" t="s">
        <v>71</v>
      </c>
      <c r="B14" s="230" t="s">
        <v>279</v>
      </c>
      <c r="D14" s="221" t="str" cm="1">
        <f t="array" ref="D14">[1]!NaturAreal</f>
        <v>Natur</v>
      </c>
      <c r="E14" s="222"/>
      <c r="F14" s="12"/>
    </row>
    <row r="15" spans="1:6" x14ac:dyDescent="0.25">
      <c r="A15" s="211" t="s">
        <v>72</v>
      </c>
      <c r="B15" s="212" t="s">
        <v>280</v>
      </c>
      <c r="D15" s="221" t="str" cm="1">
        <f t="array" ref="D15">[1]!IKareal</f>
        <v>Ikke klassificeret</v>
      </c>
      <c r="E15" s="222"/>
      <c r="F15" s="12"/>
    </row>
    <row r="16" spans="1:6" x14ac:dyDescent="0.25">
      <c r="A16" s="211" t="s">
        <v>73</v>
      </c>
      <c r="B16" s="212"/>
      <c r="D16" s="224"/>
      <c r="E16" s="222"/>
    </row>
    <row r="17" spans="1:5" x14ac:dyDescent="0.25">
      <c r="A17" s="211" t="s">
        <v>74</v>
      </c>
      <c r="B17" s="230" t="s">
        <v>289</v>
      </c>
      <c r="D17" s="225" t="s">
        <v>95</v>
      </c>
      <c r="E17" s="222"/>
    </row>
    <row r="18" spans="1:5" x14ac:dyDescent="0.25">
      <c r="A18" s="211" t="s">
        <v>75</v>
      </c>
      <c r="B18" s="337" t="s">
        <v>294</v>
      </c>
      <c r="D18" s="221" cm="1">
        <f t="array" ref="D18">[1]!År1</f>
        <v>2019</v>
      </c>
      <c r="E18" s="222"/>
    </row>
    <row r="19" spans="1:5" x14ac:dyDescent="0.25">
      <c r="A19" s="211" t="s">
        <v>272</v>
      </c>
      <c r="B19" s="337"/>
      <c r="D19" s="221" cm="1">
        <f t="array" ref="D19">[1]!År2</f>
        <v>2030</v>
      </c>
      <c r="E19" s="222"/>
    </row>
    <row r="20" spans="1:5" ht="15.75" thickBot="1" x14ac:dyDescent="0.3">
      <c r="A20" s="211" t="s">
        <v>273</v>
      </c>
      <c r="B20" s="212"/>
      <c r="D20" s="226" cm="1">
        <f t="array" ref="D20">[1]!År3</f>
        <v>2050</v>
      </c>
      <c r="E20" s="227"/>
    </row>
    <row r="21" spans="1:5" ht="15.75" thickTop="1" x14ac:dyDescent="0.25">
      <c r="A21" s="211" t="s">
        <v>76</v>
      </c>
      <c r="B21" s="212"/>
    </row>
    <row r="22" spans="1:5" x14ac:dyDescent="0.25">
      <c r="A22" s="211"/>
      <c r="B22" s="212"/>
    </row>
    <row r="23" spans="1:5" x14ac:dyDescent="0.25">
      <c r="A23" s="278" t="s">
        <v>333</v>
      </c>
      <c r="B23" s="212"/>
    </row>
    <row r="24" spans="1:5" ht="15.75" thickBot="1" x14ac:dyDescent="0.3">
      <c r="A24" s="214" t="s">
        <v>1</v>
      </c>
      <c r="B24" s="215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abSelected="1" zoomScale="60" zoomScaleNormal="60" workbookViewId="0">
      <selection activeCell="P15" sqref="P15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5" width="9.140625" style="1"/>
    <col min="16" max="16" width="13.7109375" style="1" bestFit="1" customWidth="1"/>
    <col min="17" max="16384" width="9.140625" style="1"/>
  </cols>
  <sheetData>
    <row r="1" spans="1:17" ht="15" customHeight="1" x14ac:dyDescent="0.25">
      <c r="A1" s="275" t="s">
        <v>325</v>
      </c>
      <c r="B1" s="274"/>
      <c r="C1" s="338" t="s">
        <v>324</v>
      </c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</row>
    <row r="2" spans="1:17" ht="15" customHeight="1" x14ac:dyDescent="0.25">
      <c r="A2" s="274"/>
      <c r="B2" s="274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</row>
    <row r="3" spans="1:17" x14ac:dyDescent="0.25">
      <c r="A3" s="75" t="s">
        <v>326</v>
      </c>
    </row>
    <row r="15" spans="1:17" x14ac:dyDescent="0.25">
      <c r="P15" s="371"/>
    </row>
    <row r="123" spans="3:3" x14ac:dyDescent="0.25">
      <c r="C123" s="184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topLeftCell="A10" zoomScale="85" zoomScaleNormal="85" workbookViewId="0">
      <selection activeCell="D10" sqref="D10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38" t="s">
        <v>295</v>
      </c>
      <c r="B1" s="75" t="s">
        <v>326</v>
      </c>
    </row>
    <row r="2" spans="1:18" ht="42.95" customHeight="1" x14ac:dyDescent="0.25">
      <c r="A2" s="232" t="s">
        <v>307</v>
      </c>
      <c r="B2" s="25" t="s">
        <v>66</v>
      </c>
      <c r="C2" s="25">
        <f>År2</f>
        <v>2030</v>
      </c>
      <c r="D2" s="25">
        <f>År3</f>
        <v>2050</v>
      </c>
      <c r="E2" s="25" t="s">
        <v>40</v>
      </c>
      <c r="F2" s="25" t="s">
        <v>35</v>
      </c>
      <c r="G2" s="25" t="s">
        <v>36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284</v>
      </c>
      <c r="B3" s="2" t="s">
        <v>286</v>
      </c>
      <c r="C3" s="9">
        <v>7500</v>
      </c>
      <c r="D3" s="22">
        <v>7500</v>
      </c>
      <c r="E3" s="9" t="s">
        <v>41</v>
      </c>
      <c r="F3" s="111" t="s">
        <v>9</v>
      </c>
      <c r="G3" s="111" t="s">
        <v>34</v>
      </c>
      <c r="I3" s="2" t="s">
        <v>182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285</v>
      </c>
      <c r="B4" s="2" t="s">
        <v>287</v>
      </c>
      <c r="C4" s="9">
        <v>7500</v>
      </c>
      <c r="D4" s="22">
        <v>7500</v>
      </c>
      <c r="E4" s="9" t="s">
        <v>42</v>
      </c>
      <c r="F4" s="111" t="s">
        <v>9</v>
      </c>
      <c r="G4" s="111" t="s">
        <v>34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37</v>
      </c>
      <c r="B5" s="228" t="s">
        <v>290</v>
      </c>
      <c r="C5" s="9">
        <f>1900*11</f>
        <v>20900</v>
      </c>
      <c r="D5" s="9">
        <f>C5+1900*(D2-C2)</f>
        <v>58900</v>
      </c>
      <c r="E5" s="9" t="s">
        <v>291</v>
      </c>
      <c r="F5" s="111" t="s">
        <v>9</v>
      </c>
      <c r="G5" s="111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 t="s">
        <v>284</v>
      </c>
      <c r="B6" s="2" t="s">
        <v>344</v>
      </c>
      <c r="C6" s="9">
        <v>70731.999999999985</v>
      </c>
      <c r="D6" s="9">
        <v>70731.999999999985</v>
      </c>
      <c r="E6" s="9" t="s">
        <v>41</v>
      </c>
      <c r="F6" s="111" t="s">
        <v>9</v>
      </c>
      <c r="G6" s="111" t="s">
        <v>34</v>
      </c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1809636</v>
      </c>
      <c r="N6" s="18">
        <f t="shared" si="1"/>
        <v>0</v>
      </c>
      <c r="O6" s="18">
        <f t="shared" si="1"/>
        <v>0</v>
      </c>
      <c r="P6" s="18">
        <f t="shared" si="1"/>
        <v>1771636</v>
      </c>
      <c r="Q6" s="18">
        <f t="shared" si="1"/>
        <v>0</v>
      </c>
      <c r="R6" s="18">
        <f t="shared" si="1"/>
        <v>0</v>
      </c>
    </row>
    <row r="7" spans="1:18" x14ac:dyDescent="0.25">
      <c r="A7" s="2" t="s">
        <v>285</v>
      </c>
      <c r="B7" s="2" t="s">
        <v>344</v>
      </c>
      <c r="C7" s="9">
        <v>93001.999999999985</v>
      </c>
      <c r="D7" s="9">
        <v>93001.999999999985</v>
      </c>
      <c r="E7" s="9" t="s">
        <v>42</v>
      </c>
      <c r="F7" s="111" t="s">
        <v>9</v>
      </c>
      <c r="G7" s="111" t="s">
        <v>34</v>
      </c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1151900</v>
      </c>
      <c r="N7" s="18">
        <f t="shared" si="2"/>
        <v>0</v>
      </c>
      <c r="O7" s="18">
        <f t="shared" si="2"/>
        <v>0</v>
      </c>
      <c r="P7" s="18">
        <f t="shared" si="2"/>
        <v>1189900</v>
      </c>
      <c r="Q7" s="18">
        <f t="shared" si="2"/>
        <v>0</v>
      </c>
      <c r="R7" s="18">
        <f t="shared" si="2"/>
        <v>0</v>
      </c>
    </row>
    <row r="8" spans="1:18" x14ac:dyDescent="0.25">
      <c r="A8" s="2"/>
      <c r="B8" s="2"/>
      <c r="C8" s="9">
        <f>570000-900</f>
        <v>569100</v>
      </c>
      <c r="D8" s="9">
        <f>C8</f>
        <v>569100</v>
      </c>
      <c r="E8" s="9" t="s">
        <v>291</v>
      </c>
      <c r="F8" s="111" t="s">
        <v>9</v>
      </c>
      <c r="G8" s="111" t="s">
        <v>10</v>
      </c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161999.99999999997</v>
      </c>
      <c r="O8" s="18">
        <f t="shared" si="3"/>
        <v>128999.99999999996</v>
      </c>
      <c r="P8" s="18">
        <f t="shared" si="3"/>
        <v>360654</v>
      </c>
      <c r="Q8" s="18">
        <f t="shared" si="3"/>
        <v>161999.99999999997</v>
      </c>
      <c r="R8" s="18">
        <f t="shared" si="3"/>
        <v>128999.99999999996</v>
      </c>
    </row>
    <row r="9" spans="1:18" ht="15.75" thickBot="1" x14ac:dyDescent="0.3">
      <c r="A9" s="2"/>
      <c r="B9" s="2"/>
      <c r="C9" s="9"/>
      <c r="D9" s="9"/>
      <c r="E9" s="9"/>
      <c r="F9" s="111"/>
      <c r="G9" s="111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2">
        <f t="shared" si="4"/>
        <v>65860</v>
      </c>
      <c r="N9" s="92">
        <f t="shared" si="4"/>
        <v>0</v>
      </c>
      <c r="O9" s="92">
        <f t="shared" si="4"/>
        <v>0</v>
      </c>
      <c r="P9" s="92">
        <f t="shared" si="4"/>
        <v>65860</v>
      </c>
      <c r="Q9" s="92">
        <f t="shared" si="4"/>
        <v>0</v>
      </c>
      <c r="R9" s="92">
        <f t="shared" si="4"/>
        <v>0</v>
      </c>
    </row>
    <row r="10" spans="1:18" x14ac:dyDescent="0.25">
      <c r="A10" s="2"/>
      <c r="B10" s="2"/>
      <c r="C10" s="9"/>
      <c r="D10" s="9"/>
      <c r="E10" s="9"/>
      <c r="F10" s="111"/>
      <c r="G10" s="111"/>
      <c r="I10" s="28" t="s">
        <v>31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161999.99999999997</v>
      </c>
      <c r="O10" s="21">
        <f t="shared" si="5"/>
        <v>128999.99999999996</v>
      </c>
      <c r="P10" s="21">
        <f t="shared" si="5"/>
        <v>3979280</v>
      </c>
      <c r="Q10" s="21">
        <f t="shared" si="5"/>
        <v>161999.99999999997</v>
      </c>
      <c r="R10" s="21">
        <f t="shared" si="5"/>
        <v>128999.99999999996</v>
      </c>
    </row>
    <row r="11" spans="1:18" x14ac:dyDescent="0.25">
      <c r="A11" s="2"/>
      <c r="B11" s="2"/>
      <c r="C11" s="9"/>
      <c r="D11" s="9"/>
      <c r="E11" s="9"/>
      <c r="F11" s="111"/>
      <c r="G11" s="111"/>
    </row>
    <row r="12" spans="1:18" x14ac:dyDescent="0.25">
      <c r="A12" s="2"/>
      <c r="B12" s="2"/>
      <c r="C12" s="9"/>
      <c r="D12" s="9"/>
      <c r="E12" s="9"/>
      <c r="F12" s="111"/>
      <c r="G12" s="111"/>
    </row>
    <row r="13" spans="1:18" x14ac:dyDescent="0.25">
      <c r="A13" s="2"/>
      <c r="B13" s="2"/>
      <c r="C13" s="9"/>
      <c r="D13" s="9"/>
      <c r="E13" s="9"/>
      <c r="F13" s="111"/>
      <c r="G13" s="111"/>
    </row>
    <row r="14" spans="1:18" x14ac:dyDescent="0.25">
      <c r="A14" s="2"/>
      <c r="B14" s="2"/>
      <c r="C14" s="9"/>
      <c r="D14" s="9"/>
      <c r="E14" s="9"/>
      <c r="F14" s="111"/>
      <c r="G14" s="111"/>
    </row>
    <row r="15" spans="1:18" x14ac:dyDescent="0.25">
      <c r="A15" s="2"/>
      <c r="B15" s="2"/>
      <c r="C15" s="9"/>
      <c r="D15" s="9"/>
      <c r="E15" s="9"/>
      <c r="F15" s="111"/>
      <c r="G15" s="111"/>
    </row>
    <row r="16" spans="1:18" x14ac:dyDescent="0.25">
      <c r="A16" s="2"/>
      <c r="B16" s="2"/>
      <c r="C16" s="9"/>
      <c r="D16" s="9"/>
      <c r="E16" s="9"/>
      <c r="F16" s="111"/>
      <c r="G16" s="111"/>
    </row>
    <row r="17" spans="1:18" x14ac:dyDescent="0.25">
      <c r="A17" s="2"/>
      <c r="B17" s="2"/>
      <c r="C17" s="9"/>
      <c r="D17" s="9"/>
      <c r="E17" s="9"/>
      <c r="F17" s="111"/>
      <c r="G17" s="111"/>
    </row>
    <row r="18" spans="1:18" x14ac:dyDescent="0.25">
      <c r="D18" s="15"/>
      <c r="E18" s="15"/>
      <c r="F18" s="15"/>
      <c r="G18" s="15"/>
    </row>
    <row r="19" spans="1:18" x14ac:dyDescent="0.25">
      <c r="D19" s="15"/>
      <c r="E19" s="15"/>
      <c r="F19" s="15"/>
      <c r="G19" s="15"/>
    </row>
    <row r="20" spans="1:18" x14ac:dyDescent="0.25">
      <c r="D20" s="15"/>
      <c r="E20" s="15"/>
      <c r="F20" s="15"/>
      <c r="G20" s="15"/>
    </row>
    <row r="21" spans="1:18" x14ac:dyDescent="0.25">
      <c r="D21" s="15"/>
      <c r="E21" s="15"/>
      <c r="F21" s="15"/>
      <c r="G21" s="15"/>
    </row>
    <row r="22" spans="1:18" hidden="1" x14ac:dyDescent="0.25">
      <c r="D22" s="15"/>
      <c r="E22" s="15"/>
      <c r="F22" s="15"/>
      <c r="G22" s="15"/>
      <c r="I22" s="279"/>
      <c r="J22" s="280" t="s">
        <v>327</v>
      </c>
      <c r="K22" s="280"/>
      <c r="L22" s="280"/>
      <c r="M22" s="280"/>
      <c r="N22" s="280"/>
      <c r="O22" s="280"/>
      <c r="P22" s="280"/>
      <c r="Q22" s="279"/>
      <c r="R22" s="279"/>
    </row>
    <row r="23" spans="1:18" hidden="1" x14ac:dyDescent="0.25">
      <c r="D23" s="15"/>
      <c r="E23" s="15"/>
      <c r="F23" s="15"/>
      <c r="G23" s="15"/>
      <c r="I23" s="281" t="s">
        <v>182</v>
      </c>
      <c r="J23" s="282">
        <f>År1</f>
        <v>2019</v>
      </c>
      <c r="K23" s="282">
        <f>År1</f>
        <v>2019</v>
      </c>
      <c r="L23" s="282">
        <f>År1</f>
        <v>2019</v>
      </c>
      <c r="M23" s="282">
        <f>År2</f>
        <v>2030</v>
      </c>
      <c r="N23" s="282">
        <f>År2</f>
        <v>2030</v>
      </c>
      <c r="O23" s="282">
        <f>År2</f>
        <v>2030</v>
      </c>
      <c r="P23" s="282">
        <f>År3</f>
        <v>2050</v>
      </c>
      <c r="Q23" s="282">
        <f>År3</f>
        <v>2050</v>
      </c>
      <c r="R23" s="282">
        <f>År3</f>
        <v>2050</v>
      </c>
    </row>
    <row r="24" spans="1:18" hidden="1" x14ac:dyDescent="0.25">
      <c r="D24" s="15"/>
      <c r="E24" s="15"/>
      <c r="F24" s="15"/>
      <c r="G24" s="15"/>
      <c r="I24" s="281"/>
      <c r="J24" s="282" t="str">
        <f>Jordbund1</f>
        <v>JB1-10</v>
      </c>
      <c r="K24" s="282" t="str">
        <f>Organ6</f>
        <v>OC6</v>
      </c>
      <c r="L24" s="282" t="str">
        <f>Organ12</f>
        <v>OC12</v>
      </c>
      <c r="M24" s="282" t="str">
        <f>Jordbund1</f>
        <v>JB1-10</v>
      </c>
      <c r="N24" s="282" t="str">
        <f>Organ6</f>
        <v>OC6</v>
      </c>
      <c r="O24" s="282" t="str">
        <f>Organ12</f>
        <v>OC12</v>
      </c>
      <c r="P24" s="282" t="str">
        <f>Jordbund1</f>
        <v>JB1-10</v>
      </c>
      <c r="Q24" s="282" t="str">
        <f>Organ6</f>
        <v>OC6</v>
      </c>
      <c r="R24" s="282" t="str">
        <f>Organ12</f>
        <v>OC12</v>
      </c>
    </row>
    <row r="25" spans="1:18" hidden="1" x14ac:dyDescent="0.25">
      <c r="D25" s="15"/>
      <c r="E25" s="15"/>
      <c r="F25" s="15"/>
      <c r="G25" s="15"/>
      <c r="I25" s="283" t="str">
        <f>Bebyg</f>
        <v>Bebyggelse &amp; infrastruktur</v>
      </c>
      <c r="J25" s="289">
        <f>SUMIF([1]Arealanvendelse!$B$15:$B$22,I25,[1]Arealanvendelse!$D$15:$D$22)-SUM(K25:L25)</f>
        <v>412730</v>
      </c>
      <c r="K25" s="289"/>
      <c r="L25" s="289"/>
      <c r="M25" s="292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92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92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92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92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92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25">
      <c r="D26" s="15"/>
      <c r="E26" s="15"/>
      <c r="F26" s="15"/>
      <c r="G26" s="15"/>
      <c r="I26" s="283" t="str">
        <f>Afgrøder</f>
        <v>Landbrugsafgrøder</v>
      </c>
      <c r="J26" s="289">
        <f>SUMIF([1]Arealanvendelse!$B$15:$B$22,I26,[1]Arealanvendelse!$D$15:$D$22)-SUM(K26:L26)</f>
        <v>1847465.5978301479</v>
      </c>
      <c r="K26" s="289">
        <f>[1]Jordbundstypefordeling!$D$16*[1]Jordbundstypefordeling!$F$4</f>
        <v>90723.841613092387</v>
      </c>
      <c r="L26" s="289">
        <f>[1]Jordbundstypefordeling!$D$15*[1]Jordbundstypefordeling!$F$4</f>
        <v>70620.560556759505</v>
      </c>
      <c r="M26" s="292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1314868.5693956441</v>
      </c>
      <c r="N26" s="292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0</v>
      </c>
      <c r="O26" s="292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0</v>
      </c>
      <c r="P26" s="292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1280565.7099371506</v>
      </c>
      <c r="Q26" s="292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0</v>
      </c>
      <c r="R26" s="292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0</v>
      </c>
    </row>
    <row r="27" spans="1:18" hidden="1" x14ac:dyDescent="0.25">
      <c r="D27" s="15"/>
      <c r="E27" s="15"/>
      <c r="F27" s="15"/>
      <c r="G27" s="15"/>
      <c r="I27" s="283" t="str">
        <f>SkovAreal</f>
        <v>Skov</v>
      </c>
      <c r="J27" s="289">
        <f>SUMIF([1]Arealanvendelse!$B$15:$B$22,I27,[1]Arealanvendelse!$D$15:$D$22)-SUM(K27:L27)</f>
        <v>434670</v>
      </c>
      <c r="K27" s="289"/>
      <c r="L27" s="289"/>
      <c r="M27" s="292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967267.02843450394</v>
      </c>
      <c r="N27" s="292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92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92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1001569.8878929974</v>
      </c>
      <c r="Q27" s="292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92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25">
      <c r="D28" s="15"/>
      <c r="E28" s="15"/>
      <c r="F28" s="15"/>
      <c r="G28" s="15"/>
      <c r="I28" s="283" t="str">
        <f>NaturAreal</f>
        <v>Natur</v>
      </c>
      <c r="J28" s="289">
        <f>SUMIF([1]Arealanvendelse!$B$15:$B$22,I28,[1]Arealanvendelse!$D$15:$D$22)-SUM(K28:L28)</f>
        <v>288846.71526402031</v>
      </c>
      <c r="K28" s="289">
        <f>([1]Jordbundstypefordeling!$E$16-[1]Jordbundstypefordeling!$D$16)*SUM([1]Jordbundstypefordeling!$D$3:$D$5)</f>
        <v>55514.664499432409</v>
      </c>
      <c r="L28" s="289">
        <f>([1]Jordbundstypefordeling!$E$15-[1]Jordbundstypefordeling!$D$15)*SUM([1]Jordbundstypefordeling!D3:D5)</f>
        <v>45828.620236547278</v>
      </c>
      <c r="M28" s="292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92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146238.5061125248</v>
      </c>
      <c r="O28" s="292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116449.18079330676</v>
      </c>
      <c r="P28" s="292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92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146238.5061125248</v>
      </c>
      <c r="R28" s="292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116449.18079330676</v>
      </c>
    </row>
    <row r="29" spans="1:18" ht="15.75" hidden="1" thickBot="1" x14ac:dyDescent="0.3">
      <c r="D29" s="15"/>
      <c r="E29" s="15"/>
      <c r="F29" s="15"/>
      <c r="G29" s="15"/>
      <c r="I29" s="284" t="str">
        <f>IKareal</f>
        <v>Ikke klassificeret</v>
      </c>
      <c r="J29" s="290">
        <f>SUMIF([1]Arealanvendelse!$B$15:$B$22,I29,[1]Arealanvendelse!$D$15:$D$22)-SUM(K29:L29)</f>
        <v>46640</v>
      </c>
      <c r="K29" s="290"/>
      <c r="L29" s="290"/>
      <c r="M29" s="293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93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93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93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93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93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25">
      <c r="I30" s="285" t="s">
        <v>31</v>
      </c>
      <c r="J30" s="291">
        <f t="shared" ref="J30:R30" si="6">SUM(J25:J29)</f>
        <v>3030352.3130941684</v>
      </c>
      <c r="K30" s="291">
        <f t="shared" si="6"/>
        <v>146238.5061125248</v>
      </c>
      <c r="L30" s="291">
        <f t="shared" si="6"/>
        <v>116449.18079330679</v>
      </c>
      <c r="M30" s="294">
        <f t="shared" si="6"/>
        <v>3030352.3130941684</v>
      </c>
      <c r="N30" s="294">
        <f t="shared" si="6"/>
        <v>146238.5061125248</v>
      </c>
      <c r="O30" s="294">
        <f t="shared" si="6"/>
        <v>116449.18079330676</v>
      </c>
      <c r="P30" s="294">
        <f t="shared" si="6"/>
        <v>3030352.3130941684</v>
      </c>
      <c r="Q30" s="294">
        <f t="shared" si="6"/>
        <v>146238.5061125248</v>
      </c>
      <c r="R30" s="294">
        <f t="shared" si="6"/>
        <v>116449.18079330676</v>
      </c>
    </row>
    <row r="31" spans="1:18" hidden="1" x14ac:dyDescent="0.25">
      <c r="I31" s="286"/>
      <c r="J31" s="287"/>
      <c r="K31" s="287"/>
      <c r="L31" s="287"/>
      <c r="M31" s="288"/>
      <c r="N31" s="287"/>
      <c r="O31" s="287"/>
      <c r="P31" s="287"/>
      <c r="Q31" s="287"/>
      <c r="R31" s="287"/>
    </row>
    <row r="32" spans="1:18" hidden="1" x14ac:dyDescent="0.25">
      <c r="I32" s="286"/>
      <c r="J32" s="280" t="s">
        <v>328</v>
      </c>
      <c r="K32" s="280"/>
      <c r="L32" s="280"/>
      <c r="M32" s="280"/>
      <c r="N32" s="280"/>
      <c r="O32" s="280"/>
      <c r="P32" s="280"/>
      <c r="Q32" s="280"/>
      <c r="R32" s="280"/>
    </row>
    <row r="33" spans="9:18" hidden="1" x14ac:dyDescent="0.25">
      <c r="I33" s="281" t="s">
        <v>182</v>
      </c>
      <c r="J33" s="282">
        <f>År1</f>
        <v>2019</v>
      </c>
      <c r="K33" s="282">
        <f>År1</f>
        <v>2019</v>
      </c>
      <c r="L33" s="282">
        <f>År1</f>
        <v>2019</v>
      </c>
      <c r="M33" s="282">
        <v>2030</v>
      </c>
      <c r="N33" s="282">
        <v>2030</v>
      </c>
      <c r="O33" s="282">
        <v>2030</v>
      </c>
      <c r="P33" s="282">
        <f>År3</f>
        <v>2050</v>
      </c>
      <c r="Q33" s="282">
        <f>År3</f>
        <v>2050</v>
      </c>
      <c r="R33" s="282">
        <f>År3</f>
        <v>2050</v>
      </c>
    </row>
    <row r="34" spans="9:18" hidden="1" x14ac:dyDescent="0.25">
      <c r="I34" s="281"/>
      <c r="J34" s="282" t="str">
        <f>Jordbund1</f>
        <v>JB1-10</v>
      </c>
      <c r="K34" s="282" t="str">
        <f>Organ6</f>
        <v>OC6</v>
      </c>
      <c r="L34" s="282" t="str">
        <f>Organ12</f>
        <v>OC12</v>
      </c>
      <c r="M34" s="282" t="str">
        <f>Jordbund1</f>
        <v>JB1-10</v>
      </c>
      <c r="N34" s="282" t="str">
        <f>Organ6</f>
        <v>OC6</v>
      </c>
      <c r="O34" s="282" t="str">
        <f>Organ12</f>
        <v>OC12</v>
      </c>
      <c r="P34" s="282" t="str">
        <f>Jordbund1</f>
        <v>JB1-10</v>
      </c>
      <c r="Q34" s="282" t="str">
        <f>Organ6</f>
        <v>OC6</v>
      </c>
      <c r="R34" s="282" t="str">
        <f>Organ12</f>
        <v>OC12</v>
      </c>
    </row>
    <row r="35" spans="9:18" hidden="1" x14ac:dyDescent="0.25">
      <c r="I35" s="283" t="str">
        <f>Bebyg</f>
        <v>Bebyggelse &amp; infrastruktur</v>
      </c>
      <c r="J35" s="289">
        <f>SUMIF([1]Arealanvendelse!$B$15:$B$22,I35,[1]Arealanvendelse!$E$15:$E$22)-SUM(K35:L35)</f>
        <v>178500</v>
      </c>
      <c r="K35" s="289"/>
      <c r="L35" s="289"/>
      <c r="M35" s="292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92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92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92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92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92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25">
      <c r="I36" s="283" t="str">
        <f>Afgrøder</f>
        <v>Landbrugsafgrøder</v>
      </c>
      <c r="J36" s="289">
        <f>SUMIF([1]Arealanvendelse!$B$15:$B$22,I36,[1]Arealanvendelse!$E$15:$E$22)-SUM(K36:L36)</f>
        <v>552170.40216985194</v>
      </c>
      <c r="K36" s="289">
        <f>[1]Jordbundstypefordeling!$D$16*[1]Jordbundstypefordeling!$G$4</f>
        <v>9778.158386907593</v>
      </c>
      <c r="L36" s="289">
        <f>[1]Jordbundstypefordeling!$D$15*[1]Jordbundstypefordeling!$G$4</f>
        <v>7611.4394432404806</v>
      </c>
      <c r="M36" s="292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494767.43060435593</v>
      </c>
      <c r="N36" s="292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0</v>
      </c>
      <c r="O36" s="292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0</v>
      </c>
      <c r="P36" s="292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491070.29006284941</v>
      </c>
      <c r="Q36" s="292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0</v>
      </c>
      <c r="R36" s="292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0</v>
      </c>
    </row>
    <row r="37" spans="9:18" hidden="1" x14ac:dyDescent="0.25">
      <c r="I37" s="283" t="str">
        <f>SkovAreal</f>
        <v>Skov</v>
      </c>
      <c r="J37" s="289">
        <f>SUMIF([1]Arealanvendelse!$B$15:$B$22,I37,[1]Arealanvendelse!$E$15:$E$22)-SUM(K37:L37)</f>
        <v>127230</v>
      </c>
      <c r="K37" s="289"/>
      <c r="L37" s="289"/>
      <c r="M37" s="292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184632.971565496</v>
      </c>
      <c r="N37" s="292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92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92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188330.11210700253</v>
      </c>
      <c r="Q37" s="292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92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25">
      <c r="I38" s="283" t="str">
        <f>NaturAreal</f>
        <v>Natur</v>
      </c>
      <c r="J38" s="289">
        <f>SUMIF([1]Arealanvendelse!$B$15:$B$22,I38,[1]Arealanvendelse!$E$15:$E$22)-SUM(K38:L38)</f>
        <v>71807.284735979716</v>
      </c>
      <c r="K38" s="289">
        <f>([1]Jordbundstypefordeling!$E$16-[1]Jordbundstypefordeling!$D$16)*[1]Jordbundstypefordeling!$G$4</f>
        <v>5983.3355005675821</v>
      </c>
      <c r="L38" s="289">
        <f>([1]Jordbundstypefordeling!$E$15-[1]Jordbundstypefordeling!$D$15)*[1]Jordbundstypefordeling!$G$4</f>
        <v>4939.3797634527136</v>
      </c>
      <c r="M38" s="292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92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15761.493887475173</v>
      </c>
      <c r="O38" s="292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12550.819206693192</v>
      </c>
      <c r="P38" s="292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92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15761.493887475173</v>
      </c>
      <c r="R38" s="292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12550.819206693192</v>
      </c>
    </row>
    <row r="39" spans="9:18" ht="15.75" hidden="1" thickBot="1" x14ac:dyDescent="0.3">
      <c r="I39" s="284" t="str">
        <f>IKareal</f>
        <v>Ikke klassificeret</v>
      </c>
      <c r="J39" s="290">
        <f>SUMIF([1]Arealanvendelse!$B$15:$B$22,I39,[1]Arealanvendelse!$E$15:$E$22)-SUM(K39:L39)</f>
        <v>19220</v>
      </c>
      <c r="K39" s="290"/>
      <c r="L39" s="290"/>
      <c r="M39" s="293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93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93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93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93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93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25">
      <c r="I40" s="285" t="s">
        <v>31</v>
      </c>
      <c r="J40" s="291">
        <f t="shared" ref="J40:R40" si="7">SUM(J35:J39)</f>
        <v>948927.68690583168</v>
      </c>
      <c r="K40" s="291">
        <f t="shared" si="7"/>
        <v>15761.493887475175</v>
      </c>
      <c r="L40" s="291">
        <f t="shared" si="7"/>
        <v>12550.819206693195</v>
      </c>
      <c r="M40" s="294">
        <f t="shared" si="7"/>
        <v>948927.68690583156</v>
      </c>
      <c r="N40" s="294">
        <f t="shared" si="7"/>
        <v>15761.493887475173</v>
      </c>
      <c r="O40" s="294">
        <f t="shared" si="7"/>
        <v>12550.819206693192</v>
      </c>
      <c r="P40" s="294">
        <f t="shared" si="7"/>
        <v>948927.68690583168</v>
      </c>
      <c r="Q40" s="294">
        <f t="shared" si="7"/>
        <v>15761.493887475173</v>
      </c>
      <c r="R40" s="294">
        <f t="shared" si="7"/>
        <v>12550.819206693192</v>
      </c>
    </row>
    <row r="41" spans="9:18" hidden="1" x14ac:dyDescent="0.25"/>
  </sheetData>
  <conditionalFormatting sqref="J5:R9">
    <cfRule type="cellIs" dxfId="17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opLeftCell="A10" zoomScale="85" zoomScaleNormal="85" workbookViewId="0">
      <selection activeCell="E35" sqref="E35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37" t="s">
        <v>295</v>
      </c>
    </row>
    <row r="2" spans="1:9" ht="15.75" x14ac:dyDescent="0.25">
      <c r="A2" s="233" t="s">
        <v>68</v>
      </c>
      <c r="F2" s="12"/>
      <c r="G2" s="12"/>
    </row>
    <row r="3" spans="1:9" x14ac:dyDescent="0.25">
      <c r="B3" s="82"/>
      <c r="C3" s="83"/>
      <c r="D3" s="83"/>
      <c r="E3" s="83"/>
      <c r="F3" s="12"/>
      <c r="G3" s="74"/>
      <c r="I3" s="1"/>
    </row>
    <row r="4" spans="1:9" x14ac:dyDescent="0.25">
      <c r="B4" s="88" t="s">
        <v>38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23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67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67</v>
      </c>
      <c r="G7" s="12"/>
      <c r="I7" s="115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67</v>
      </c>
      <c r="G8" s="12"/>
      <c r="I8" s="1"/>
    </row>
    <row r="9" spans="1:9" x14ac:dyDescent="0.25">
      <c r="B9" s="81"/>
      <c r="C9" s="13"/>
      <c r="D9" s="13"/>
      <c r="E9" s="80"/>
      <c r="F9" s="12"/>
      <c r="G9" s="12"/>
      <c r="I9" s="1"/>
    </row>
    <row r="10" spans="1:9" x14ac:dyDescent="0.25">
      <c r="B10" s="88" t="s">
        <v>32</v>
      </c>
      <c r="C10" s="84">
        <f>År2</f>
        <v>2030</v>
      </c>
      <c r="D10" s="84">
        <f>År3</f>
        <v>2050</v>
      </c>
      <c r="E10" s="13"/>
      <c r="F10" s="12"/>
      <c r="G10" s="12"/>
      <c r="I10" s="1"/>
    </row>
    <row r="11" spans="1:9" x14ac:dyDescent="0.25">
      <c r="B11" s="2" t="s">
        <v>23</v>
      </c>
      <c r="C11" s="3">
        <v>1</v>
      </c>
      <c r="D11" s="3">
        <v>1</v>
      </c>
      <c r="E11" s="12"/>
      <c r="G11" s="12"/>
      <c r="I11" s="1"/>
    </row>
    <row r="12" spans="1:9" x14ac:dyDescent="0.25">
      <c r="B12" s="2" t="s">
        <v>3</v>
      </c>
      <c r="C12" s="3">
        <v>1</v>
      </c>
      <c r="D12" s="3">
        <v>1</v>
      </c>
      <c r="E12" s="12"/>
      <c r="G12" s="12"/>
      <c r="I12" s="1"/>
    </row>
    <row r="13" spans="1:9" x14ac:dyDescent="0.25">
      <c r="B13" s="2" t="s">
        <v>4</v>
      </c>
      <c r="C13" s="3">
        <v>1</v>
      </c>
      <c r="D13" s="3">
        <v>1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88" t="s">
        <v>140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25">
      <c r="B16" s="2" t="s">
        <v>92</v>
      </c>
      <c r="C16" s="87">
        <v>1</v>
      </c>
      <c r="D16" s="3">
        <v>1.07</v>
      </c>
      <c r="E16" s="3">
        <v>1.1000000000000001</v>
      </c>
      <c r="F16" s="12"/>
    </row>
    <row r="17" spans="2:11" x14ac:dyDescent="0.25">
      <c r="B17" s="2" t="s">
        <v>86</v>
      </c>
      <c r="C17" s="87">
        <v>0.59345000000000003</v>
      </c>
      <c r="D17" s="3">
        <v>0.59</v>
      </c>
      <c r="E17" s="3">
        <v>0.59</v>
      </c>
      <c r="F17" s="12" t="s">
        <v>288</v>
      </c>
    </row>
    <row r="18" spans="2:11" x14ac:dyDescent="0.25">
      <c r="B18" s="2" t="s">
        <v>147</v>
      </c>
      <c r="C18" s="87">
        <v>1</v>
      </c>
      <c r="D18" s="3">
        <v>1.0720000000000001</v>
      </c>
      <c r="E18" s="3">
        <v>1.1000000000000001</v>
      </c>
      <c r="F18" s="12"/>
      <c r="G18" s="184"/>
    </row>
    <row r="20" spans="2:11" x14ac:dyDescent="0.25">
      <c r="B20" s="341" t="s">
        <v>313</v>
      </c>
      <c r="C20" s="25" t="s">
        <v>28</v>
      </c>
      <c r="D20" s="25"/>
      <c r="E20" s="25"/>
      <c r="F20" s="25" t="s">
        <v>29</v>
      </c>
      <c r="G20" s="25"/>
      <c r="H20" s="2"/>
    </row>
    <row r="21" spans="2:11" ht="29.45" customHeight="1" x14ac:dyDescent="0.25">
      <c r="B21" s="341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9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0</v>
      </c>
      <c r="E26" s="10">
        <f>1%*Arealanvendelse!Q26</f>
        <v>0</v>
      </c>
      <c r="F26" s="10">
        <f>1%*Arealanvendelse!K36</f>
        <v>97.781583869075931</v>
      </c>
      <c r="G26" s="10">
        <f>1%*Arealanvendelse!N36</f>
        <v>0</v>
      </c>
      <c r="H26" s="10">
        <f>1%*Arealanvendelse!Q36</f>
        <v>0</v>
      </c>
    </row>
    <row r="27" spans="2:11" ht="15.75" thickBot="1" x14ac:dyDescent="0.3">
      <c r="B27" s="186" t="str">
        <f>CONCATENATE("Antal hektar som 1% svarer til, ", Organ12)</f>
        <v>Antal hektar som 1% svarer til, OC12</v>
      </c>
      <c r="C27" s="117">
        <f>1%*Arealanvendelse!L26</f>
        <v>706.20560556759506</v>
      </c>
      <c r="D27" s="117">
        <f>1%*Arealanvendelse!O26</f>
        <v>0</v>
      </c>
      <c r="E27" s="117">
        <f>1%*Arealanvendelse!R26</f>
        <v>0</v>
      </c>
      <c r="F27" s="241">
        <f>1%*Arealanvendelse!L36</f>
        <v>76.114394432404808</v>
      </c>
      <c r="G27" s="241">
        <f>1%*Arealanvendelse!O36</f>
        <v>0</v>
      </c>
      <c r="H27" s="241">
        <f>1%*Arealanvendelse!R36</f>
        <v>0</v>
      </c>
    </row>
    <row r="28" spans="2:11" ht="16.5" thickTop="1" thickBot="1" x14ac:dyDescent="0.3">
      <c r="B28" s="246" t="s">
        <v>283</v>
      </c>
      <c r="C28" s="247"/>
      <c r="D28" s="242">
        <f>SUM(D24:D25,G24:G25)</f>
        <v>0</v>
      </c>
      <c r="E28" s="243">
        <f>SUM(E24:E25,H24:H25)</f>
        <v>0</v>
      </c>
      <c r="F28" s="244"/>
      <c r="G28" s="245"/>
      <c r="H28" s="245"/>
    </row>
    <row r="29" spans="2:11" x14ac:dyDescent="0.25">
      <c r="B29" s="12"/>
      <c r="C29" s="119"/>
      <c r="D29" s="119"/>
      <c r="E29" s="119"/>
      <c r="F29" s="119"/>
      <c r="G29" s="119"/>
      <c r="H29" s="119"/>
    </row>
    <row r="30" spans="2:11" x14ac:dyDescent="0.25">
      <c r="B30" s="339" t="s">
        <v>296</v>
      </c>
      <c r="C30" s="25" t="s">
        <v>28</v>
      </c>
      <c r="D30" s="25"/>
      <c r="E30" s="25"/>
      <c r="F30" s="25" t="s">
        <v>29</v>
      </c>
      <c r="G30" s="25"/>
      <c r="H30" s="2"/>
      <c r="I30" s="25" t="s">
        <v>282</v>
      </c>
      <c r="J30" s="25"/>
      <c r="K30" s="12"/>
    </row>
    <row r="31" spans="2:11" x14ac:dyDescent="0.25">
      <c r="B31" s="340"/>
      <c r="C31" s="84">
        <f>År1</f>
        <v>2019</v>
      </c>
      <c r="D31" s="84">
        <f>År2</f>
        <v>2030</v>
      </c>
      <c r="E31" s="84">
        <f>År3</f>
        <v>2050</v>
      </c>
      <c r="F31" s="84">
        <f>År1</f>
        <v>2019</v>
      </c>
      <c r="G31" s="84">
        <f>År2</f>
        <v>2030</v>
      </c>
      <c r="H31" s="84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6">
        <f>'[1]Afgrødefordeling - jordtype'!$G4</f>
        <v>0.52078807763652124</v>
      </c>
      <c r="D32" s="91">
        <v>2.75E-2</v>
      </c>
      <c r="E32" s="89">
        <v>3.1E-2</v>
      </c>
      <c r="F32" s="87">
        <f>'[1]Afgrødefordeling - jordtype'!$P4</f>
        <v>0.59758624874726696</v>
      </c>
      <c r="G32" s="91">
        <v>0.03</v>
      </c>
      <c r="H32" s="89">
        <v>0.04</v>
      </c>
      <c r="I32" s="116">
        <f>D32*Arealanvendelse!$M$26+G32*Arealanvendelse!$M$36</f>
        <v>51001.90857651089</v>
      </c>
      <c r="J32" s="116">
        <f>E32*Arealanvendelse!$P$26+H32*Arealanvendelse!$P$36</f>
        <v>59340.348610565641</v>
      </c>
      <c r="K32" s="12"/>
    </row>
    <row r="33" spans="2:11" x14ac:dyDescent="0.25">
      <c r="B33" s="2" t="str">
        <f>[1]Afgrødefordeling!$C3</f>
        <v>Bælgsæd</v>
      </c>
      <c r="C33" s="86">
        <f>'[1]Afgrødefordeling - jordtype'!$G5</f>
        <v>3.5982037432552356E-2</v>
      </c>
      <c r="D33" s="91">
        <v>0</v>
      </c>
      <c r="E33" s="89">
        <v>0</v>
      </c>
      <c r="F33" s="87">
        <f>'[1]Afgrødefordeling - jordtype'!$P5</f>
        <v>1.3024294772492263E-2</v>
      </c>
      <c r="G33" s="91"/>
      <c r="H33" s="89"/>
      <c r="I33" s="116">
        <f>D33*Arealanvendelse!$M$26+G33*Arealanvendelse!$M$36</f>
        <v>0</v>
      </c>
      <c r="J33" s="116">
        <f>E33*Arealanvendelse!$P$26+H33*Arealanvendelse!$P$36</f>
        <v>0</v>
      </c>
      <c r="K33" s="12"/>
    </row>
    <row r="34" spans="2:11" x14ac:dyDescent="0.25">
      <c r="B34" s="2" t="str">
        <f>[1]Afgrødefordeling!$C4</f>
        <v>Raps</v>
      </c>
      <c r="C34" s="86">
        <f>'[1]Afgrødefordeling - jordtype'!$G6</f>
        <v>6.0508874709232517E-2</v>
      </c>
      <c r="D34" s="91"/>
      <c r="E34" s="89"/>
      <c r="F34" s="87">
        <f>'[1]Afgrødefordeling - jordtype'!$P6</f>
        <v>8.2618389494347674E-2</v>
      </c>
      <c r="G34" s="91">
        <v>-0.03</v>
      </c>
      <c r="H34" s="89">
        <v>-0.03</v>
      </c>
      <c r="I34" s="116">
        <f>D34*Arealanvendelse!$M$26+G34*Arealanvendelse!$M$36</f>
        <v>-14843.022918130677</v>
      </c>
      <c r="J34" s="116">
        <f>E34*Arealanvendelse!$P$26+H34*Arealanvendelse!$P$36</f>
        <v>-14732.108701885481</v>
      </c>
      <c r="K34" s="12"/>
    </row>
    <row r="35" spans="2:11" x14ac:dyDescent="0.25">
      <c r="B35" s="2" t="str">
        <f>[1]Afgrødefordeling!$C5</f>
        <v>Græs</v>
      </c>
      <c r="C35" s="86">
        <f>'[1]Afgrødefordeling - jordtype'!$G7</f>
        <v>0.1153713931066581</v>
      </c>
      <c r="D35" s="91">
        <v>7.4999999999999997E-3</v>
      </c>
      <c r="E35" s="89">
        <v>1.4E-2</v>
      </c>
      <c r="F35" s="87">
        <f>'[1]Afgrødefordeling - jordtype'!$P7</f>
        <v>5.0192728928725582E-2</v>
      </c>
      <c r="G35" s="91"/>
      <c r="H35" s="89">
        <v>0.01</v>
      </c>
      <c r="I35" s="116">
        <f>D35*Arealanvendelse!$M$26+G35*Arealanvendelse!$M$36</f>
        <v>9861.5142704673308</v>
      </c>
      <c r="J35" s="116">
        <f>E35*Arealanvendelse!$P$26+H35*Arealanvendelse!$P$36</f>
        <v>22838.622839748601</v>
      </c>
      <c r="K35" s="12"/>
    </row>
    <row r="36" spans="2:11" x14ac:dyDescent="0.25">
      <c r="B36" s="2" t="str">
        <f>[1]Afgrødefordeling!$C6</f>
        <v>Grøntsager</v>
      </c>
      <c r="C36" s="86">
        <f>'[1]Afgrødefordeling - jordtype'!$G8</f>
        <v>4.464610531367031E-3</v>
      </c>
      <c r="D36" s="91"/>
      <c r="E36" s="89"/>
      <c r="F36" s="87">
        <f>'[1]Afgrødefordeling - jordtype'!$P8</f>
        <v>7.865213752064254E-3</v>
      </c>
      <c r="G36" s="91"/>
      <c r="H36" s="89"/>
      <c r="I36" s="116">
        <f>D36*Arealanvendelse!$M$26+G36*Arealanvendelse!$M$36</f>
        <v>0</v>
      </c>
      <c r="J36" s="116">
        <f>E36*Arealanvendelse!$P$26+H36*Arealanvendelse!$P$36</f>
        <v>0</v>
      </c>
      <c r="K36" s="12"/>
    </row>
    <row r="37" spans="2:11" x14ac:dyDescent="0.25">
      <c r="B37" s="2" t="str">
        <f>[1]Afgrødefordeling!$C7</f>
        <v>Kartofler</v>
      </c>
      <c r="C37" s="86">
        <f>'[1]Afgrødefordeling - jordtype'!$G9</f>
        <v>2.6596251788237935E-2</v>
      </c>
      <c r="D37" s="91">
        <v>-0.03</v>
      </c>
      <c r="E37" s="89">
        <v>-0.03</v>
      </c>
      <c r="F37" s="87">
        <f>'[1]Afgrødefordeling - jordtype'!$P9</f>
        <v>5.0455539319474536E-3</v>
      </c>
      <c r="G37" s="91">
        <v>-0.01</v>
      </c>
      <c r="H37" s="89">
        <v>-0.01</v>
      </c>
      <c r="I37" s="116">
        <f>D37*Arealanvendelse!$M$26+G37*Arealanvendelse!$M$36</f>
        <v>-44393.731387912885</v>
      </c>
      <c r="J37" s="116">
        <f>E37*Arealanvendelse!$P$26+H37*Arealanvendelse!$P$36</f>
        <v>-43327.674198743007</v>
      </c>
      <c r="K37" s="12"/>
    </row>
    <row r="38" spans="2:11" x14ac:dyDescent="0.25">
      <c r="B38" s="2" t="str">
        <f>[1]Afgrødefordeling!$C8</f>
        <v>Roer</v>
      </c>
      <c r="C38" s="86">
        <f>'[1]Afgrødefordeling - jordtype'!$G10</f>
        <v>2.5963485234511219E-3</v>
      </c>
      <c r="D38" s="91"/>
      <c r="E38" s="89"/>
      <c r="F38" s="87">
        <f>'[1]Afgrødefordeling - jordtype'!$P10</f>
        <v>5.2451600979001756E-2</v>
      </c>
      <c r="G38" s="91"/>
      <c r="H38" s="89"/>
      <c r="I38" s="116">
        <f>D38*Arealanvendelse!$M$26+G38*Arealanvendelse!$M$36</f>
        <v>0</v>
      </c>
      <c r="J38" s="116">
        <f>E38*Arealanvendelse!$P$26+H38*Arealanvendelse!$P$36</f>
        <v>0</v>
      </c>
      <c r="K38" s="12"/>
    </row>
    <row r="39" spans="2:11" x14ac:dyDescent="0.25">
      <c r="B39" s="2" t="str">
        <f>[1]Afgrødefordeling!$C9</f>
        <v>Majs</v>
      </c>
      <c r="C39" s="86">
        <f>'[1]Afgrødefordeling - jordtype'!$G11</f>
        <v>8.8910930707760349E-2</v>
      </c>
      <c r="D39" s="91"/>
      <c r="E39" s="89">
        <v>5.0000000000000001E-3</v>
      </c>
      <c r="F39" s="87">
        <f>'[1]Afgrødefordeling - jordtype'!$P11</f>
        <v>1.4835264654900416E-2</v>
      </c>
      <c r="G39" s="91"/>
      <c r="H39" s="89"/>
      <c r="I39" s="116">
        <f>D39*Arealanvendelse!$M$26+G39*Arealanvendelse!$M$36</f>
        <v>0</v>
      </c>
      <c r="J39" s="116">
        <f>E39*Arealanvendelse!$P$26+H39*Arealanvendelse!$P$36</f>
        <v>6402.8285496857534</v>
      </c>
      <c r="K39" s="12"/>
    </row>
    <row r="40" spans="2:11" x14ac:dyDescent="0.25">
      <c r="B40" s="2" t="str">
        <f>[1]Afgrødefordeling!$C10</f>
        <v>Frugt</v>
      </c>
      <c r="C40" s="86">
        <f>'[1]Afgrødefordeling - jordtype'!$G12</f>
        <v>1.6337629108489173E-3</v>
      </c>
      <c r="D40" s="91"/>
      <c r="E40" s="89"/>
      <c r="F40" s="87">
        <f>'[1]Afgrødefordeling - jordtype'!$P12</f>
        <v>3.4518876571883301E-3</v>
      </c>
      <c r="G40" s="91"/>
      <c r="H40" s="89"/>
      <c r="I40" s="116">
        <f>D40*Arealanvendelse!$M$26+G40*Arealanvendelse!$M$36</f>
        <v>0</v>
      </c>
      <c r="J40" s="116">
        <f>E40*Arealanvendelse!$P$26+H40*Arealanvendelse!$P$36</f>
        <v>0</v>
      </c>
      <c r="K40" s="12"/>
    </row>
    <row r="41" spans="2:11" x14ac:dyDescent="0.25">
      <c r="B41" s="2" t="str">
        <f>[1]Afgrødefordeling!$C11</f>
        <v>Øvrige</v>
      </c>
      <c r="C41" s="86">
        <f>'[1]Afgrødefordeling - jordtype'!$G13</f>
        <v>2.8894569741786228E-2</v>
      </c>
      <c r="D41" s="91">
        <v>-0.02</v>
      </c>
      <c r="E41" s="89">
        <v>-0.02</v>
      </c>
      <c r="F41" s="87">
        <f>'[1]Afgrødefordeling - jordtype'!$P13</f>
        <v>2.4648152078224853E-2</v>
      </c>
      <c r="G41" s="91">
        <v>-0.01</v>
      </c>
      <c r="H41" s="89">
        <v>-0.01</v>
      </c>
      <c r="I41" s="116">
        <f>D41*Arealanvendelse!$M$26+G41*Arealanvendelse!$M$36</f>
        <v>-31245.045693956443</v>
      </c>
      <c r="J41" s="116">
        <f>E41*Arealanvendelse!$P$26+H41*Arealanvendelse!$P$36</f>
        <v>-30522.017099371507</v>
      </c>
      <c r="K41" s="12"/>
    </row>
    <row r="42" spans="2:11" x14ac:dyDescent="0.25">
      <c r="B42" s="2" t="str">
        <f>[1]Afgrødefordeling!$C12</f>
        <v>Frø</v>
      </c>
      <c r="C42" s="86">
        <f>'[1]Afgrødefordeling - jordtype'!$G14</f>
        <v>3.0394546158686284E-2</v>
      </c>
      <c r="D42" s="91"/>
      <c r="E42" s="89"/>
      <c r="F42" s="87">
        <f>'[1]Afgrødefordeling - jordtype'!$P14</f>
        <v>7.6260655541220079E-2</v>
      </c>
      <c r="G42" s="91"/>
      <c r="H42" s="89"/>
      <c r="I42" s="116">
        <f>D42*Arealanvendelse!$M$26+G42*Arealanvendelse!$M$36</f>
        <v>0</v>
      </c>
      <c r="J42" s="116">
        <f>E42*Arealanvendelse!$P$26+H42*Arealanvendelse!$P$36</f>
        <v>0</v>
      </c>
      <c r="K42" s="12"/>
    </row>
    <row r="43" spans="2:11" x14ac:dyDescent="0.25">
      <c r="B43" s="2" t="str">
        <f>[1]Afgrødefordeling!$C13</f>
        <v>Juletræer</v>
      </c>
      <c r="C43" s="86">
        <f>'[1]Afgrødefordeling - jordtype'!$G15</f>
        <v>8.1942098326515649E-3</v>
      </c>
      <c r="D43" s="91"/>
      <c r="E43" s="89"/>
      <c r="F43" s="87">
        <f>'[1]Afgrødefordeling - jordtype'!$P15</f>
        <v>5.4090883153768499E-3</v>
      </c>
      <c r="G43" s="91"/>
      <c r="H43" s="89"/>
      <c r="I43" s="116">
        <f>D43*Arealanvendelse!$M$26+G43*Arealanvendelse!$M$36</f>
        <v>0</v>
      </c>
      <c r="J43" s="116">
        <f>E43*Arealanvendelse!$P$26+H43*Arealanvendelse!$P$36</f>
        <v>0</v>
      </c>
      <c r="K43" s="12"/>
    </row>
    <row r="44" spans="2:11" x14ac:dyDescent="0.25">
      <c r="B44" s="2" t="str">
        <f>[1]Afgrødefordeling!$C14</f>
        <v>Pil &amp; poppel</v>
      </c>
      <c r="C44" s="86">
        <f>'[1]Afgrødefordeling - jordtype'!$G16</f>
        <v>3.0140932866304453E-3</v>
      </c>
      <c r="D44" s="91"/>
      <c r="E44" s="89"/>
      <c r="F44" s="87">
        <f>'[1]Afgrødefordeling - jordtype'!$P16</f>
        <v>2.5711346585440159E-3</v>
      </c>
      <c r="G44" s="91"/>
      <c r="H44" s="89"/>
      <c r="I44" s="116">
        <f>D44*Arealanvendelse!$M$26+G44*Arealanvendelse!$M$36</f>
        <v>0</v>
      </c>
      <c r="J44" s="116">
        <f>E44*Arealanvendelse!$P$26+H44*Arealanvendelse!$P$36</f>
        <v>0</v>
      </c>
      <c r="K44" s="12"/>
    </row>
    <row r="45" spans="2:11" x14ac:dyDescent="0.25">
      <c r="B45" s="2" t="str">
        <f>[1]Afgrødefordeling!$C15</f>
        <v>Permanent græs</v>
      </c>
      <c r="C45" s="86">
        <f>'[1]Afgrødefordeling - jordtype'!$G17</f>
        <v>7.2650293633615873E-2</v>
      </c>
      <c r="D45" s="91">
        <v>1.4999999999999999E-2</v>
      </c>
      <c r="E45" s="89"/>
      <c r="F45" s="87">
        <f>'[1]Afgrødefordeling - jordtype'!$P17</f>
        <v>6.4039786488699332E-2</v>
      </c>
      <c r="G45" s="91">
        <v>0.02</v>
      </c>
      <c r="H45" s="89"/>
      <c r="I45" s="116">
        <f>D45*Arealanvendelse!$M$26+G45*Arealanvendelse!$M$36</f>
        <v>29618.377153021778</v>
      </c>
      <c r="J45" s="116">
        <f>E45*Arealanvendelse!$P$26+H45*Arealanvendelse!$P$36</f>
        <v>0</v>
      </c>
      <c r="K45" s="12"/>
    </row>
    <row r="46" spans="2:11" x14ac:dyDescent="0.25">
      <c r="B46" s="25" t="s">
        <v>315</v>
      </c>
      <c r="C46" s="87"/>
      <c r="D46" s="90">
        <f t="shared" ref="D46:H46" si="2">SUM(D32:D45)</f>
        <v>0</v>
      </c>
      <c r="E46" s="90">
        <f t="shared" si="2"/>
        <v>0</v>
      </c>
      <c r="F46" s="87"/>
      <c r="G46" s="90">
        <f t="shared" si="2"/>
        <v>0</v>
      </c>
      <c r="H46" s="90">
        <f t="shared" si="2"/>
        <v>0</v>
      </c>
      <c r="I46" s="110"/>
      <c r="J46" s="110"/>
      <c r="K46" s="12"/>
    </row>
    <row r="47" spans="2:11" x14ac:dyDescent="0.25">
      <c r="B47" s="25" t="s">
        <v>256</v>
      </c>
      <c r="C47" s="87"/>
      <c r="D47" s="116">
        <f>SUMIF(D32:D45,"&gt;0")*Arealanvendelse!M26</f>
        <v>65743.428469782215</v>
      </c>
      <c r="E47" s="116">
        <f>SUMIF(E32:E45,"&gt;0")*Arealanvendelse!P26</f>
        <v>64028.285496857527</v>
      </c>
      <c r="F47" s="87"/>
      <c r="G47" s="116">
        <f>SUMIF(G32:G45,"&gt;0")*Arealanvendelse!M36</f>
        <v>24738.371530217799</v>
      </c>
      <c r="H47" s="116">
        <f>SUMIF(H32:H45,"&gt;0")*Arealanvendelse!P36</f>
        <v>24553.514503142473</v>
      </c>
      <c r="I47" s="218">
        <f>SUMIF(I32:I45,"&gt;0")</f>
        <v>90481.8</v>
      </c>
      <c r="J47" s="218">
        <f>SUMIF(J32:J45,"&gt;0")</f>
        <v>88581.8</v>
      </c>
      <c r="K47" s="12"/>
    </row>
    <row r="48" spans="2:11" x14ac:dyDescent="0.25">
      <c r="B48" s="25" t="s">
        <v>255</v>
      </c>
      <c r="C48" s="110"/>
      <c r="D48" s="116">
        <f>1%*Arealanvendelse!M26</f>
        <v>13148.685693956442</v>
      </c>
      <c r="E48" s="116">
        <f>1%*Arealanvendelse!P26</f>
        <v>12805.657099371507</v>
      </c>
      <c r="F48" s="110"/>
      <c r="G48" s="116">
        <f>1%*Arealanvendelse!M36</f>
        <v>4947.6743060435592</v>
      </c>
      <c r="H48" s="116">
        <f>1%*Arealanvendelse!P36</f>
        <v>4910.7029006284938</v>
      </c>
      <c r="I48" s="110"/>
      <c r="J48" s="110"/>
    </row>
    <row r="49" spans="2:8" x14ac:dyDescent="0.25">
      <c r="B49" s="12"/>
      <c r="D49" s="119"/>
      <c r="E49" s="119"/>
      <c r="H49" s="119"/>
    </row>
    <row r="50" spans="2:8" ht="15" customHeight="1" x14ac:dyDescent="0.25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25">
      <c r="B51" s="113" t="s">
        <v>157</v>
      </c>
      <c r="C51" s="114">
        <f>786/121381</f>
        <v>6.475478040220463E-3</v>
      </c>
      <c r="D51" s="217">
        <f>C51</f>
        <v>6.475478040220463E-3</v>
      </c>
      <c r="E51" s="217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E31" sqref="E31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56" t="s">
        <v>295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138</v>
      </c>
      <c r="B3" s="7">
        <f>[1]Foder!$E$16</f>
        <v>0.27128055800094808</v>
      </c>
      <c r="C3" s="8">
        <v>0.27</v>
      </c>
      <c r="D3" s="8">
        <v>0.27</v>
      </c>
      <c r="F3" s="75" t="s">
        <v>218</v>
      </c>
    </row>
    <row r="4" spans="1:6" x14ac:dyDescent="0.25">
      <c r="A4" s="2" t="s">
        <v>139</v>
      </c>
      <c r="B4" s="257"/>
      <c r="C4" s="257"/>
      <c r="D4" s="257"/>
    </row>
    <row r="5" spans="1:6" x14ac:dyDescent="0.25">
      <c r="A5" s="2" t="str">
        <f>'[1]Processer - data'!$D418</f>
        <v>Korn</v>
      </c>
      <c r="B5" s="7"/>
      <c r="C5" s="216">
        <v>0.4</v>
      </c>
      <c r="D5" s="216">
        <v>0.4</v>
      </c>
    </row>
    <row r="6" spans="1:6" x14ac:dyDescent="0.25">
      <c r="A6" s="2" t="str">
        <f>'[1]Processer - data'!$D419</f>
        <v>Halm</v>
      </c>
      <c r="B6" s="7"/>
      <c r="C6" s="216"/>
      <c r="D6" s="216"/>
    </row>
    <row r="7" spans="1:6" x14ac:dyDescent="0.25">
      <c r="A7" s="2" t="str">
        <f>'[1]Processer - data'!$D420</f>
        <v>Kartofler</v>
      </c>
      <c r="B7" s="7"/>
      <c r="C7" s="216"/>
      <c r="D7" s="216"/>
    </row>
    <row r="8" spans="1:6" x14ac:dyDescent="0.25">
      <c r="A8" s="2" t="str">
        <f>'[1]Processer - data'!$D421</f>
        <v>Bælgsæd</v>
      </c>
      <c r="B8" s="7"/>
      <c r="C8" s="216"/>
      <c r="D8" s="216"/>
    </row>
    <row r="9" spans="1:6" x14ac:dyDescent="0.25">
      <c r="A9" s="2" t="str">
        <f>'[1]Processer - data'!$D422</f>
        <v>Roer</v>
      </c>
      <c r="B9" s="7"/>
      <c r="C9" s="216">
        <v>3.5000000000000003E-2</v>
      </c>
      <c r="D9" s="216">
        <v>3.5000000000000003E-2</v>
      </c>
    </row>
    <row r="10" spans="1:6" x14ac:dyDescent="0.25">
      <c r="A10" s="2" t="str">
        <f>'[1]Processer - data'!$D423</f>
        <v>Majs</v>
      </c>
      <c r="B10" s="7"/>
      <c r="C10" s="216">
        <v>0.04</v>
      </c>
      <c r="D10" s="216">
        <v>0.04</v>
      </c>
    </row>
    <row r="11" spans="1:6" x14ac:dyDescent="0.25">
      <c r="A11" s="2" t="str">
        <f>'[1]Processer - data'!$D424</f>
        <v>Rapskage</v>
      </c>
      <c r="B11" s="7"/>
      <c r="C11" s="216"/>
      <c r="D11" s="216"/>
    </row>
    <row r="12" spans="1:6" x14ac:dyDescent="0.25">
      <c r="A12" s="2" t="str">
        <f>'[1]Processer - data'!$D425</f>
        <v>Tang</v>
      </c>
      <c r="B12" s="7"/>
      <c r="C12" s="216">
        <v>0.01</v>
      </c>
      <c r="D12" s="216">
        <v>0.01</v>
      </c>
    </row>
    <row r="13" spans="1:6" x14ac:dyDescent="0.25">
      <c r="A13" s="2" t="str">
        <f>'[1]Processer - data'!$D426</f>
        <v>Muslinger</v>
      </c>
      <c r="B13" s="7"/>
      <c r="C13" s="216">
        <v>0.01</v>
      </c>
      <c r="D13" s="216">
        <v>0.01</v>
      </c>
    </row>
    <row r="14" spans="1:6" x14ac:dyDescent="0.25">
      <c r="A14" s="2" t="str">
        <f>'[1]Processer - data'!$D427</f>
        <v>Græs</v>
      </c>
      <c r="B14" s="7"/>
      <c r="C14" s="216"/>
      <c r="D14" s="216"/>
    </row>
    <row r="15" spans="1:6" x14ac:dyDescent="0.25">
      <c r="A15" s="2" t="str">
        <f>'[1]Processer - data'!$D428</f>
        <v>Mælk til foder</v>
      </c>
      <c r="B15" s="7"/>
      <c r="C15" s="216"/>
      <c r="D15" s="216"/>
    </row>
    <row r="16" spans="1:6" x14ac:dyDescent="0.25">
      <c r="A16" s="2" t="str">
        <f>'[1]Processer - data'!$D429</f>
        <v>Fiberfraktion</v>
      </c>
      <c r="B16" s="7"/>
      <c r="C16" s="114">
        <f>ROUND('[1]Processer - data'!I$469/'[1]Processer - data'!I$468*C17*'[1]Processer - data'!$H$429/'[1]Processer - data'!$H$430,4)</f>
        <v>9.5000000000000001E-2</v>
      </c>
      <c r="D16" s="114">
        <f>ROUND('[1]Processer - data'!J$469/'[1]Processer - data'!J$468*D17*'[1]Processer - data'!$H$429/'[1]Processer - data'!$H$430,4)</f>
        <v>9.5000000000000001E-2</v>
      </c>
      <c r="E16" s="1" t="s">
        <v>281</v>
      </c>
    </row>
    <row r="17" spans="1:10" x14ac:dyDescent="0.25">
      <c r="A17" s="2" t="str">
        <f>'[1]Processer - data'!$D430</f>
        <v>Græsprotein</v>
      </c>
      <c r="B17" s="7"/>
      <c r="C17" s="216">
        <v>0.41</v>
      </c>
      <c r="D17" s="216">
        <v>0.41</v>
      </c>
    </row>
    <row r="18" spans="1:10" x14ac:dyDescent="0.25">
      <c r="A18" s="2" t="str">
        <f>'[1]Processer - data'!$D431</f>
        <v>Slagteriaffald til foder</v>
      </c>
      <c r="B18" s="7"/>
      <c r="C18" s="216"/>
      <c r="D18" s="216"/>
    </row>
    <row r="19" spans="1:10" x14ac:dyDescent="0.25">
      <c r="A19" s="25" t="s">
        <v>316</v>
      </c>
      <c r="B19" s="255"/>
      <c r="C19" s="265">
        <f>SUM(C5:C18)</f>
        <v>1</v>
      </c>
      <c r="D19" s="265">
        <f>SUM(D5:D18)</f>
        <v>1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58" t="s">
        <v>108</v>
      </c>
      <c r="B21" s="259" t="str">
        <f>A5</f>
        <v>Korn</v>
      </c>
      <c r="C21" s="259" t="s">
        <v>137</v>
      </c>
      <c r="D21" s="120">
        <f>VLOOKUP($B21,[1]Foder!$A$2:$E$16,5,FALSE)</f>
        <v>0.39994582515067378</v>
      </c>
      <c r="E21" s="121">
        <v>0.41399999999999998</v>
      </c>
      <c r="F21" s="121">
        <f t="shared" ref="F21:F34" si="0">E21+IFERROR(VLOOKUP($B21,$A$5:$D$19,4,FALSE),0)*($C$3-$D$3)</f>
        <v>0.41399999999999998</v>
      </c>
      <c r="J21" s="260"/>
    </row>
    <row r="22" spans="1:10" x14ac:dyDescent="0.25">
      <c r="A22" s="261" t="s">
        <v>108</v>
      </c>
      <c r="B22" s="12" t="str">
        <f t="shared" ref="B22:B34" si="1">A6</f>
        <v>Halm</v>
      </c>
      <c r="C22" s="12" t="s">
        <v>137</v>
      </c>
      <c r="D22" s="121">
        <f>VLOOKUP($B22,[1]Foder!$A$2:$E$16,5,FALSE)</f>
        <v>1.1105844111871065E-2</v>
      </c>
      <c r="E22" s="121">
        <f t="shared" ref="E22:E34" si="2">D22+IFERROR(VLOOKUP($B22,$A$5:$D$19,3,FALSE),0)*($B$3-$C$3)</f>
        <v>1.1105844111871065E-2</v>
      </c>
      <c r="F22" s="121">
        <f t="shared" si="0"/>
        <v>1.1105844111871065E-2</v>
      </c>
      <c r="J22" s="260"/>
    </row>
    <row r="23" spans="1:10" x14ac:dyDescent="0.25">
      <c r="A23" s="261" t="s">
        <v>108</v>
      </c>
      <c r="B23" s="12" t="str">
        <f t="shared" si="1"/>
        <v>Kartofler</v>
      </c>
      <c r="C23" s="12" t="s">
        <v>137</v>
      </c>
      <c r="D23" s="121">
        <f>VLOOKUP($B23,[1]Foder!$A$2:$E$16,5,FALSE)</f>
        <v>0</v>
      </c>
      <c r="E23" s="121">
        <f t="shared" si="2"/>
        <v>0</v>
      </c>
      <c r="F23" s="121">
        <f t="shared" si="0"/>
        <v>0</v>
      </c>
      <c r="J23" s="260"/>
    </row>
    <row r="24" spans="1:10" x14ac:dyDescent="0.25">
      <c r="A24" s="261" t="s">
        <v>108</v>
      </c>
      <c r="B24" s="12" t="str">
        <f t="shared" si="1"/>
        <v>Bælgsæd</v>
      </c>
      <c r="C24" s="12" t="s">
        <v>137</v>
      </c>
      <c r="D24" s="121">
        <f>VLOOKUP($B24,[1]Foder!$A$2:$E$16,5,FALSE)</f>
        <v>5.2820478093045303E-3</v>
      </c>
      <c r="E24" s="121">
        <f t="shared" si="2"/>
        <v>5.2820478093045303E-3</v>
      </c>
      <c r="F24" s="121">
        <f t="shared" si="0"/>
        <v>5.2820478093045303E-3</v>
      </c>
      <c r="J24" s="260"/>
    </row>
    <row r="25" spans="1:10" x14ac:dyDescent="0.25">
      <c r="A25" s="261" t="s">
        <v>108</v>
      </c>
      <c r="B25" s="12" t="str">
        <f t="shared" si="1"/>
        <v>Roer</v>
      </c>
      <c r="C25" s="12" t="s">
        <v>137</v>
      </c>
      <c r="D25" s="121">
        <f>VLOOKUP($B25,[1]Foder!$A$2:$E$16,5,FALSE)</f>
        <v>9.683754317058306E-3</v>
      </c>
      <c r="E25" s="121">
        <v>0.01</v>
      </c>
      <c r="F25" s="121">
        <f>E25+IFERROR(VLOOKUP($B25,$A$5:$D$19,4,FALSE),0)*($C$3-$D$3)</f>
        <v>0.01</v>
      </c>
      <c r="J25" s="260"/>
    </row>
    <row r="26" spans="1:10" x14ac:dyDescent="0.25">
      <c r="A26" s="261" t="s">
        <v>108</v>
      </c>
      <c r="B26" s="12" t="str">
        <f t="shared" si="1"/>
        <v>Majs</v>
      </c>
      <c r="C26" s="12" t="s">
        <v>137</v>
      </c>
      <c r="D26" s="121">
        <f>VLOOKUP($B26,[1]Foder!$A$2:$E$16,5,FALSE)</f>
        <v>0.1132931536534164</v>
      </c>
      <c r="E26" s="121">
        <f t="shared" si="2"/>
        <v>0.11334437597345431</v>
      </c>
      <c r="F26" s="121">
        <f t="shared" si="0"/>
        <v>0.11334437597345431</v>
      </c>
      <c r="J26" s="260"/>
    </row>
    <row r="27" spans="1:10" x14ac:dyDescent="0.25">
      <c r="A27" s="261" t="s">
        <v>108</v>
      </c>
      <c r="B27" s="12" t="str">
        <f t="shared" si="1"/>
        <v>Rapskage</v>
      </c>
      <c r="C27" s="12" t="s">
        <v>137</v>
      </c>
      <c r="D27" s="121">
        <f>VLOOKUP($B27,[1]Foder!$A$2:$E$16,5,FALSE)</f>
        <v>1.6320173359517843E-2</v>
      </c>
      <c r="E27" s="121">
        <f t="shared" si="2"/>
        <v>1.6320173359517843E-2</v>
      </c>
      <c r="F27" s="121">
        <f t="shared" si="0"/>
        <v>1.6320173359517843E-2</v>
      </c>
      <c r="J27" s="260"/>
    </row>
    <row r="28" spans="1:10" x14ac:dyDescent="0.25">
      <c r="A28" s="261" t="s">
        <v>108</v>
      </c>
      <c r="B28" s="12" t="str">
        <f t="shared" si="1"/>
        <v>Tang</v>
      </c>
      <c r="C28" s="12" t="s">
        <v>137</v>
      </c>
      <c r="D28" s="121">
        <f>VLOOKUP($B28,[1]Foder!$A$2:$E$16,5,FALSE)</f>
        <v>0</v>
      </c>
      <c r="E28" s="121">
        <v>1E-3</v>
      </c>
      <c r="F28" s="121">
        <f t="shared" si="0"/>
        <v>1E-3</v>
      </c>
      <c r="J28" s="260"/>
    </row>
    <row r="29" spans="1:10" x14ac:dyDescent="0.25">
      <c r="A29" s="261" t="s">
        <v>108</v>
      </c>
      <c r="B29" s="12" t="str">
        <f t="shared" si="1"/>
        <v>Muslinger</v>
      </c>
      <c r="C29" s="12" t="s">
        <v>137</v>
      </c>
      <c r="D29" s="121">
        <f>VLOOKUP($B29,[1]Foder!$A$2:$E$16,5,FALSE)</f>
        <v>0</v>
      </c>
      <c r="E29" s="121">
        <v>5.0000000000000001E-3</v>
      </c>
      <c r="F29" s="121">
        <f t="shared" si="0"/>
        <v>5.0000000000000001E-3</v>
      </c>
      <c r="J29" s="260"/>
    </row>
    <row r="30" spans="1:10" x14ac:dyDescent="0.25">
      <c r="A30" s="261" t="s">
        <v>108</v>
      </c>
      <c r="B30" s="12" t="str">
        <f t="shared" si="1"/>
        <v>Græs</v>
      </c>
      <c r="C30" s="12" t="s">
        <v>137</v>
      </c>
      <c r="D30" s="121">
        <f>VLOOKUP($B30,[1]Foder!$A$2:$E$16,5,FALSE)</f>
        <v>0.15385657208640888</v>
      </c>
      <c r="E30" s="121">
        <v>0.13300000000000001</v>
      </c>
      <c r="F30" s="121">
        <f t="shared" si="0"/>
        <v>0.13300000000000001</v>
      </c>
    </row>
    <row r="31" spans="1:10" x14ac:dyDescent="0.25">
      <c r="A31" s="261" t="s">
        <v>108</v>
      </c>
      <c r="B31" s="12" t="str">
        <f t="shared" si="1"/>
        <v>Mælk til foder</v>
      </c>
      <c r="C31" s="12" t="s">
        <v>137</v>
      </c>
      <c r="D31" s="121">
        <f>VLOOKUP($B31,[1]Foder!$A$2:$E$16,5,FALSE)</f>
        <v>1.1038125550213313E-2</v>
      </c>
      <c r="E31" s="121">
        <f t="shared" si="2"/>
        <v>1.1038125550213313E-2</v>
      </c>
      <c r="F31" s="121">
        <f t="shared" si="0"/>
        <v>1.1038125550213313E-2</v>
      </c>
    </row>
    <row r="32" spans="1:10" x14ac:dyDescent="0.25">
      <c r="A32" s="261" t="s">
        <v>108</v>
      </c>
      <c r="B32" s="12" t="str">
        <f t="shared" si="1"/>
        <v>Fiberfraktion</v>
      </c>
      <c r="C32" s="12" t="s">
        <v>137</v>
      </c>
      <c r="D32" s="121">
        <f>VLOOKUP($B32,[1]Foder!$A$2:$E$16,5,FALSE)</f>
        <v>0</v>
      </c>
      <c r="E32" s="121">
        <f t="shared" si="2"/>
        <v>1.216530100900659E-4</v>
      </c>
      <c r="F32" s="121">
        <f t="shared" si="0"/>
        <v>1.216530100900659E-4</v>
      </c>
    </row>
    <row r="33" spans="1:6" x14ac:dyDescent="0.25">
      <c r="A33" s="261" t="s">
        <v>108</v>
      </c>
      <c r="B33" s="12" t="str">
        <f t="shared" si="1"/>
        <v>Græsprotein</v>
      </c>
      <c r="C33" s="12" t="s">
        <v>137</v>
      </c>
      <c r="D33" s="121">
        <f>VLOOKUP($B33,[1]Foder!$A$2:$E$16,5,FALSE)</f>
        <v>0</v>
      </c>
      <c r="E33" s="121">
        <f t="shared" si="2"/>
        <v>5.2502878038870545E-4</v>
      </c>
      <c r="F33" s="121">
        <f t="shared" si="0"/>
        <v>5.2502878038870545E-4</v>
      </c>
    </row>
    <row r="34" spans="1:6" x14ac:dyDescent="0.25">
      <c r="A34" s="262" t="s">
        <v>108</v>
      </c>
      <c r="B34" s="12" t="str">
        <f t="shared" si="1"/>
        <v>Slagteriaffald til foder</v>
      </c>
      <c r="C34" s="12" t="s">
        <v>137</v>
      </c>
      <c r="D34" s="121">
        <f>VLOOKUP($B34,[1]Foder!$A$2:$E$16,5,FALSE)</f>
        <v>8.1939459605877979E-3</v>
      </c>
      <c r="E34" s="121">
        <f t="shared" si="2"/>
        <v>8.1939459605877979E-3</v>
      </c>
      <c r="F34" s="121">
        <f t="shared" si="0"/>
        <v>8.1939459605877979E-3</v>
      </c>
    </row>
    <row r="35" spans="1:6" ht="15.75" thickBot="1" x14ac:dyDescent="0.3">
      <c r="A35" s="262" t="s">
        <v>108</v>
      </c>
      <c r="B35" s="12" t="s">
        <v>166</v>
      </c>
      <c r="C35" s="12" t="s">
        <v>137</v>
      </c>
      <c r="D35" s="121">
        <f>B3</f>
        <v>0.27128055800094808</v>
      </c>
      <c r="E35" s="121">
        <f>D35</f>
        <v>0.27128055800094808</v>
      </c>
      <c r="F35" s="121">
        <f>D35</f>
        <v>0.27128055800094808</v>
      </c>
    </row>
    <row r="36" spans="1:6" ht="15.75" thickBot="1" x14ac:dyDescent="0.3">
      <c r="A36" s="263" t="s">
        <v>108</v>
      </c>
      <c r="B36" s="264" t="s">
        <v>31</v>
      </c>
      <c r="C36" s="264" t="s">
        <v>137</v>
      </c>
      <c r="D36" s="122">
        <f>SUM(D21:D35)</f>
        <v>1</v>
      </c>
      <c r="E36" s="122">
        <f t="shared" ref="E36:F36" si="3">SUM(E21:E35)</f>
        <v>1.0002117525563756</v>
      </c>
      <c r="F36" s="123">
        <f t="shared" si="3"/>
        <v>1.0002117525563756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36" t="s">
        <v>295</v>
      </c>
    </row>
    <row r="2" spans="1:4" x14ac:dyDescent="0.25">
      <c r="A2" s="104" t="s">
        <v>263</v>
      </c>
    </row>
    <row r="3" spans="1:4" x14ac:dyDescent="0.25">
      <c r="A3" s="6" t="s">
        <v>190</v>
      </c>
      <c r="B3" s="1" t="s">
        <v>177</v>
      </c>
    </row>
    <row r="4" spans="1:4" x14ac:dyDescent="0.25">
      <c r="A4" s="6" t="s">
        <v>184</v>
      </c>
      <c r="B4" s="1" t="s">
        <v>178</v>
      </c>
    </row>
    <row r="5" spans="1:4" x14ac:dyDescent="0.25">
      <c r="A5" s="6" t="s">
        <v>185</v>
      </c>
      <c r="B5" s="1" t="s">
        <v>179</v>
      </c>
    </row>
    <row r="6" spans="1:4" x14ac:dyDescent="0.25">
      <c r="A6" s="6" t="s">
        <v>186</v>
      </c>
      <c r="B6" s="1" t="s">
        <v>194</v>
      </c>
    </row>
    <row r="7" spans="1:4" x14ac:dyDescent="0.25">
      <c r="A7" s="6" t="s">
        <v>187</v>
      </c>
      <c r="B7" s="1" t="s">
        <v>195</v>
      </c>
    </row>
    <row r="8" spans="1:4" x14ac:dyDescent="0.25">
      <c r="A8" s="6" t="s">
        <v>188</v>
      </c>
      <c r="B8" s="1" t="s">
        <v>196</v>
      </c>
    </row>
    <row r="9" spans="1:4" x14ac:dyDescent="0.25">
      <c r="A9" s="2" t="s">
        <v>306</v>
      </c>
      <c r="B9" s="2"/>
      <c r="C9" s="217">
        <v>5.0000000000000001E-3</v>
      </c>
      <c r="D9" s="4"/>
    </row>
    <row r="10" spans="1:4" x14ac:dyDescent="0.25">
      <c r="A10" s="81"/>
      <c r="B10" s="81"/>
      <c r="C10" s="81"/>
      <c r="D10" s="83"/>
    </row>
    <row r="11" spans="1:4" x14ac:dyDescent="0.25">
      <c r="A11" s="2" t="s">
        <v>305</v>
      </c>
      <c r="B11" s="2"/>
      <c r="C11" s="2"/>
      <c r="D11" s="2"/>
    </row>
    <row r="12" spans="1:4" x14ac:dyDescent="0.25">
      <c r="A12" s="2" t="s">
        <v>191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184</v>
      </c>
      <c r="B13" s="7">
        <v>0</v>
      </c>
      <c r="C13" s="8">
        <v>1</v>
      </c>
      <c r="D13" s="8">
        <v>1</v>
      </c>
    </row>
    <row r="14" spans="1:4" x14ac:dyDescent="0.25">
      <c r="A14" s="2" t="s">
        <v>185</v>
      </c>
      <c r="B14" s="7">
        <v>0</v>
      </c>
      <c r="C14" s="8">
        <v>0</v>
      </c>
      <c r="D14" s="8">
        <v>0</v>
      </c>
    </row>
    <row r="15" spans="1:4" x14ac:dyDescent="0.25">
      <c r="A15" s="2" t="s">
        <v>186</v>
      </c>
      <c r="B15" s="7">
        <v>0</v>
      </c>
      <c r="C15" s="8">
        <v>0</v>
      </c>
      <c r="D15" s="8">
        <v>0</v>
      </c>
    </row>
    <row r="16" spans="1:4" x14ac:dyDescent="0.25">
      <c r="A16" s="2" t="s">
        <v>187</v>
      </c>
      <c r="B16" s="7">
        <v>0</v>
      </c>
      <c r="C16" s="8">
        <v>0</v>
      </c>
      <c r="D16" s="8">
        <v>0</v>
      </c>
    </row>
    <row r="17" spans="1:13" x14ac:dyDescent="0.25">
      <c r="A17" s="2" t="s">
        <v>188</v>
      </c>
      <c r="B17" s="7">
        <v>0</v>
      </c>
      <c r="C17" s="8">
        <v>0</v>
      </c>
      <c r="D17" s="8">
        <v>0</v>
      </c>
    </row>
    <row r="18" spans="1:13" x14ac:dyDescent="0.25">
      <c r="A18" s="186" t="s">
        <v>31</v>
      </c>
      <c r="B18" s="187"/>
      <c r="C18" s="187">
        <f>SUM(C13:C17)</f>
        <v>1</v>
      </c>
      <c r="D18" s="187">
        <f>SUM(D13:D17)</f>
        <v>1</v>
      </c>
    </row>
    <row r="19" spans="1:13" x14ac:dyDescent="0.25">
      <c r="A19" s="2"/>
      <c r="B19" s="2"/>
      <c r="C19" s="2" t="s">
        <v>24</v>
      </c>
      <c r="D19" s="2" t="s">
        <v>24</v>
      </c>
      <c r="E19" s="2" t="s">
        <v>24</v>
      </c>
      <c r="F19" s="2" t="s">
        <v>25</v>
      </c>
      <c r="G19" s="2" t="s">
        <v>25</v>
      </c>
      <c r="H19" s="2" t="s">
        <v>25</v>
      </c>
    </row>
    <row r="20" spans="1:13" x14ac:dyDescent="0.25">
      <c r="A20" s="25" t="s">
        <v>192</v>
      </c>
      <c r="B20" s="188" t="s">
        <v>193</v>
      </c>
      <c r="C20" s="188">
        <f>År1</f>
        <v>2019</v>
      </c>
      <c r="D20" s="188">
        <f>År2</f>
        <v>2030</v>
      </c>
      <c r="E20" s="188">
        <f>År3</f>
        <v>2050</v>
      </c>
      <c r="F20" s="188">
        <f>År1</f>
        <v>2019</v>
      </c>
      <c r="G20" s="188">
        <f>År2</f>
        <v>2030</v>
      </c>
      <c r="H20" s="188">
        <f>År3</f>
        <v>2050</v>
      </c>
    </row>
    <row r="21" spans="1:13" x14ac:dyDescent="0.25">
      <c r="A21" s="2" t="s">
        <v>190</v>
      </c>
      <c r="B21" s="189" t="s">
        <v>189</v>
      </c>
      <c r="C21" s="110">
        <f>Arealanvendelse!J27</f>
        <v>434670</v>
      </c>
      <c r="D21" s="110">
        <f>C21*(1-$C$9)^(D20-C20)</f>
        <v>411351.94520750927</v>
      </c>
      <c r="E21" s="110">
        <f>D21*(1-$C$9)^(E20-D20)</f>
        <v>372113.28071606322</v>
      </c>
      <c r="F21" s="110">
        <f>Arealanvendelse!J37</f>
        <v>127230</v>
      </c>
      <c r="G21" s="110">
        <f>F21*(1-$C$9)^(G20-F20)</f>
        <v>120404.69318966437</v>
      </c>
      <c r="H21" s="110">
        <f>G21*(1-$C$9)^(H20-G20)</f>
        <v>108919.34733362029</v>
      </c>
    </row>
    <row r="22" spans="1:13" x14ac:dyDescent="0.25">
      <c r="A22" s="2" t="s">
        <v>184</v>
      </c>
      <c r="B22" s="190">
        <v>10</v>
      </c>
      <c r="C22" s="110">
        <v>0</v>
      </c>
      <c r="D22" s="110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505377.34838817694</v>
      </c>
      <c r="E22" s="110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36770.761974969733</v>
      </c>
      <c r="F22" s="110">
        <v>0</v>
      </c>
      <c r="G22" s="110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58389.343978028766</v>
      </c>
      <c r="H22" s="110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7591.2431987753007</v>
      </c>
    </row>
    <row r="23" spans="1:13" x14ac:dyDescent="0.25">
      <c r="A23" s="2" t="s">
        <v>184</v>
      </c>
      <c r="B23" s="190">
        <v>20</v>
      </c>
      <c r="C23" s="110">
        <v>0</v>
      </c>
      <c r="D23" s="110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50537.734838817691</v>
      </c>
      <c r="E23" s="110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36770.761974969733</v>
      </c>
      <c r="F23" s="110">
        <v>0</v>
      </c>
      <c r="G23" s="110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5838.9343978028764</v>
      </c>
      <c r="H23" s="110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7591.2431987753007</v>
      </c>
    </row>
    <row r="24" spans="1:13" x14ac:dyDescent="0.25">
      <c r="A24" s="2" t="s">
        <v>184</v>
      </c>
      <c r="B24" s="190">
        <v>30</v>
      </c>
      <c r="C24" s="110">
        <v>0</v>
      </c>
      <c r="D24" s="110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10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505377.34838817694</v>
      </c>
      <c r="F24" s="110">
        <v>0</v>
      </c>
      <c r="G24" s="110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10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58389.343978028766</v>
      </c>
    </row>
    <row r="25" spans="1:13" x14ac:dyDescent="0.25">
      <c r="A25" s="2" t="s">
        <v>184</v>
      </c>
      <c r="B25" s="191">
        <v>40</v>
      </c>
      <c r="C25" s="110">
        <v>0</v>
      </c>
      <c r="D25" s="110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10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50537.734838817691</v>
      </c>
      <c r="F25" s="110">
        <v>0</v>
      </c>
      <c r="G25" s="110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10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5838.9343978028764</v>
      </c>
    </row>
    <row r="26" spans="1:13" x14ac:dyDescent="0.25">
      <c r="A26" s="2" t="s">
        <v>185</v>
      </c>
      <c r="B26" s="190">
        <v>10</v>
      </c>
      <c r="C26" s="110">
        <v>0</v>
      </c>
      <c r="D26" s="110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10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10">
        <v>0</v>
      </c>
      <c r="G26" s="110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10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183</v>
      </c>
    </row>
    <row r="27" spans="1:13" x14ac:dyDescent="0.25">
      <c r="A27" s="2" t="s">
        <v>185</v>
      </c>
      <c r="B27" s="190">
        <v>20</v>
      </c>
      <c r="C27" s="110">
        <v>0</v>
      </c>
      <c r="D27" s="110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10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10">
        <v>0</v>
      </c>
      <c r="G27" s="110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10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25">
      <c r="A28" s="2" t="s">
        <v>185</v>
      </c>
      <c r="B28" s="190">
        <v>30</v>
      </c>
      <c r="C28" s="110">
        <v>0</v>
      </c>
      <c r="D28" s="110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10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10">
        <v>0</v>
      </c>
      <c r="G28" s="110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10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25">
      <c r="A29" s="2" t="s">
        <v>185</v>
      </c>
      <c r="B29" s="191">
        <v>40</v>
      </c>
      <c r="C29" s="110">
        <v>0</v>
      </c>
      <c r="D29" s="110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10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10">
        <v>0</v>
      </c>
      <c r="G29" s="110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10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25">
      <c r="A30" s="2" t="s">
        <v>186</v>
      </c>
      <c r="B30" s="190">
        <v>10</v>
      </c>
      <c r="C30" s="110">
        <v>0</v>
      </c>
      <c r="D30" s="110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10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10">
        <v>0</v>
      </c>
      <c r="G30" s="110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10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25">
      <c r="A31" s="2" t="s">
        <v>186</v>
      </c>
      <c r="B31" s="190">
        <v>20</v>
      </c>
      <c r="C31" s="110">
        <v>0</v>
      </c>
      <c r="D31" s="110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10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10">
        <v>0</v>
      </c>
      <c r="G31" s="110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10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25">
      <c r="A32" s="2" t="s">
        <v>186</v>
      </c>
      <c r="B32" s="190">
        <v>30</v>
      </c>
      <c r="C32" s="110">
        <v>0</v>
      </c>
      <c r="D32" s="110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10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10">
        <v>0</v>
      </c>
      <c r="G32" s="110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10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25">
      <c r="A33" s="2" t="s">
        <v>186</v>
      </c>
      <c r="B33" s="191">
        <v>40</v>
      </c>
      <c r="C33" s="110">
        <v>0</v>
      </c>
      <c r="D33" s="110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10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10">
        <v>0</v>
      </c>
      <c r="G33" s="110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10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25">
      <c r="A34" s="2" t="s">
        <v>187</v>
      </c>
      <c r="B34" s="190">
        <v>10</v>
      </c>
      <c r="C34" s="110">
        <v>0</v>
      </c>
      <c r="D34" s="110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10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10">
        <v>0</v>
      </c>
      <c r="G34" s="110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10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25">
      <c r="A35" s="2" t="s">
        <v>187</v>
      </c>
      <c r="B35" s="190">
        <v>20</v>
      </c>
      <c r="C35" s="110">
        <v>0</v>
      </c>
      <c r="D35" s="110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10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10">
        <v>0</v>
      </c>
      <c r="G35" s="110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10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25">
      <c r="A36" s="2" t="s">
        <v>187</v>
      </c>
      <c r="B36" s="190">
        <v>30</v>
      </c>
      <c r="C36" s="110">
        <v>0</v>
      </c>
      <c r="D36" s="110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10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10">
        <v>0</v>
      </c>
      <c r="G36" s="110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10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25">
      <c r="A37" s="2" t="s">
        <v>187</v>
      </c>
      <c r="B37" s="191">
        <v>40</v>
      </c>
      <c r="C37" s="110">
        <v>0</v>
      </c>
      <c r="D37" s="110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10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10">
        <v>0</v>
      </c>
      <c r="G37" s="110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10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25">
      <c r="A38" s="2" t="s">
        <v>188</v>
      </c>
      <c r="B38" s="190">
        <v>10</v>
      </c>
      <c r="C38" s="110">
        <v>0</v>
      </c>
      <c r="D38" s="110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10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10">
        <v>0</v>
      </c>
      <c r="G38" s="110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10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25">
      <c r="A39" s="2" t="s">
        <v>188</v>
      </c>
      <c r="B39" s="190">
        <v>20</v>
      </c>
      <c r="C39" s="110">
        <v>0</v>
      </c>
      <c r="D39" s="110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10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10">
        <v>0</v>
      </c>
      <c r="G39" s="110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10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25">
      <c r="A40" s="2" t="s">
        <v>188</v>
      </c>
      <c r="B40" s="190">
        <v>30</v>
      </c>
      <c r="C40" s="110">
        <v>0</v>
      </c>
      <c r="D40" s="110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10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10">
        <v>0</v>
      </c>
      <c r="G40" s="110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10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25">
      <c r="A41" s="2" t="s">
        <v>188</v>
      </c>
      <c r="B41" s="110">
        <v>40</v>
      </c>
      <c r="C41" s="110">
        <v>0</v>
      </c>
      <c r="D41" s="110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10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10">
        <v>0</v>
      </c>
      <c r="G41" s="110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10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25">
      <c r="B42" s="155"/>
    </row>
    <row r="43" spans="1:8" x14ac:dyDescent="0.25">
      <c r="B43" s="155"/>
    </row>
    <row r="44" spans="1:8" x14ac:dyDescent="0.25">
      <c r="B44" s="155"/>
    </row>
    <row r="46" spans="1:8" x14ac:dyDescent="0.25">
      <c r="A46" s="342" t="s">
        <v>314</v>
      </c>
      <c r="B46" s="2" t="s">
        <v>24</v>
      </c>
      <c r="C46" s="2"/>
      <c r="D46" s="2"/>
      <c r="E46" s="2" t="s">
        <v>25</v>
      </c>
      <c r="F46" s="2"/>
      <c r="G46" s="2"/>
    </row>
    <row r="47" spans="1:8" x14ac:dyDescent="0.25">
      <c r="A47" s="343"/>
      <c r="B47" s="188">
        <f>År1</f>
        <v>2019</v>
      </c>
      <c r="C47" s="188">
        <f>År2</f>
        <v>2030</v>
      </c>
      <c r="D47" s="188">
        <f>År3</f>
        <v>2050</v>
      </c>
      <c r="E47" s="188">
        <f>År1</f>
        <v>2019</v>
      </c>
      <c r="F47" s="188">
        <f>År2</f>
        <v>2030</v>
      </c>
      <c r="G47" s="188">
        <f>År3</f>
        <v>2050</v>
      </c>
    </row>
    <row r="48" spans="1:8" x14ac:dyDescent="0.25">
      <c r="A48" s="2" t="s">
        <v>190</v>
      </c>
      <c r="B48" s="110">
        <f t="shared" ref="B48:G53" si="0">SUMIF($A$21:$A$41,$A48,C$21:C$41)</f>
        <v>434670</v>
      </c>
      <c r="C48" s="110">
        <f t="shared" si="0"/>
        <v>411351.94520750927</v>
      </c>
      <c r="D48" s="110">
        <f t="shared" si="0"/>
        <v>372113.28071606322</v>
      </c>
      <c r="E48" s="110">
        <f t="shared" si="0"/>
        <v>127230</v>
      </c>
      <c r="F48" s="110">
        <f t="shared" si="0"/>
        <v>120404.69318966437</v>
      </c>
      <c r="G48" s="110">
        <f t="shared" si="0"/>
        <v>108919.34733362029</v>
      </c>
    </row>
    <row r="49" spans="1:7" x14ac:dyDescent="0.25">
      <c r="A49" s="2" t="s">
        <v>184</v>
      </c>
      <c r="B49" s="110">
        <f t="shared" si="0"/>
        <v>0</v>
      </c>
      <c r="C49" s="110">
        <f t="shared" si="0"/>
        <v>555915.08322699461</v>
      </c>
      <c r="D49" s="110">
        <f t="shared" si="0"/>
        <v>629456.60717693414</v>
      </c>
      <c r="E49" s="110">
        <f t="shared" si="0"/>
        <v>0</v>
      </c>
      <c r="F49" s="110">
        <f t="shared" si="0"/>
        <v>64228.278375831644</v>
      </c>
      <c r="G49" s="110">
        <f t="shared" si="0"/>
        <v>79410.764773382238</v>
      </c>
    </row>
    <row r="50" spans="1:7" x14ac:dyDescent="0.25">
      <c r="A50" s="2" t="s">
        <v>185</v>
      </c>
      <c r="B50" s="110">
        <f t="shared" si="0"/>
        <v>0</v>
      </c>
      <c r="C50" s="110">
        <f t="shared" si="0"/>
        <v>0</v>
      </c>
      <c r="D50" s="110">
        <f t="shared" si="0"/>
        <v>0</v>
      </c>
      <c r="E50" s="110">
        <f t="shared" si="0"/>
        <v>0</v>
      </c>
      <c r="F50" s="110">
        <f t="shared" si="0"/>
        <v>0</v>
      </c>
      <c r="G50" s="110">
        <f t="shared" si="0"/>
        <v>0</v>
      </c>
    </row>
    <row r="51" spans="1:7" x14ac:dyDescent="0.25">
      <c r="A51" s="2" t="s">
        <v>186</v>
      </c>
      <c r="B51" s="110">
        <f t="shared" si="0"/>
        <v>0</v>
      </c>
      <c r="C51" s="110">
        <f t="shared" si="0"/>
        <v>0</v>
      </c>
      <c r="D51" s="110">
        <f t="shared" si="0"/>
        <v>0</v>
      </c>
      <c r="E51" s="110">
        <f t="shared" si="0"/>
        <v>0</v>
      </c>
      <c r="F51" s="110">
        <f t="shared" si="0"/>
        <v>0</v>
      </c>
      <c r="G51" s="110">
        <f t="shared" si="0"/>
        <v>0</v>
      </c>
    </row>
    <row r="52" spans="1:7" x14ac:dyDescent="0.25">
      <c r="A52" s="2" t="s">
        <v>187</v>
      </c>
      <c r="B52" s="110">
        <f t="shared" si="0"/>
        <v>0</v>
      </c>
      <c r="C52" s="110">
        <f t="shared" si="0"/>
        <v>0</v>
      </c>
      <c r="D52" s="110">
        <f t="shared" si="0"/>
        <v>0</v>
      </c>
      <c r="E52" s="110">
        <f t="shared" si="0"/>
        <v>0</v>
      </c>
      <c r="F52" s="110">
        <f t="shared" si="0"/>
        <v>0</v>
      </c>
      <c r="G52" s="110">
        <f t="shared" si="0"/>
        <v>0</v>
      </c>
    </row>
    <row r="53" spans="1:7" x14ac:dyDescent="0.25">
      <c r="A53" s="2" t="s">
        <v>188</v>
      </c>
      <c r="B53" s="110">
        <f t="shared" si="0"/>
        <v>0</v>
      </c>
      <c r="C53" s="110">
        <f t="shared" si="0"/>
        <v>0</v>
      </c>
      <c r="D53" s="110">
        <f t="shared" si="0"/>
        <v>0</v>
      </c>
      <c r="E53" s="110">
        <f t="shared" si="0"/>
        <v>0</v>
      </c>
      <c r="F53" s="110">
        <f t="shared" si="0"/>
        <v>0</v>
      </c>
      <c r="G53" s="110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I39" sqref="I39"/>
    </sheetView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4" t="s">
        <v>295</v>
      </c>
      <c r="F1" s="75" t="s">
        <v>254</v>
      </c>
    </row>
    <row r="2" spans="1:7" x14ac:dyDescent="0.25">
      <c r="A2" s="2" t="s">
        <v>136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253</v>
      </c>
    </row>
    <row r="3" spans="1:7" x14ac:dyDescent="0.25">
      <c r="A3" s="109" t="s">
        <v>100</v>
      </c>
      <c r="B3" s="2" t="s">
        <v>24</v>
      </c>
      <c r="C3" s="110">
        <f>(502+3901)/10</f>
        <v>440.3</v>
      </c>
      <c r="D3" s="111">
        <f>E3-(121.4+13.5+218.5+5)*100</f>
        <v>72570.000000000029</v>
      </c>
      <c r="E3" s="111">
        <f>(9.6+43.4+265+84.7+55.6+112.4+6.1+10.5+121.4+27.4+89.4+13.5+12.6+0.4+218.5+0.9+3.9+3.4+5+0.4)*100</f>
        <v>108410.00000000003</v>
      </c>
      <c r="F3" t="s">
        <v>220</v>
      </c>
    </row>
    <row r="4" spans="1:7" x14ac:dyDescent="0.25">
      <c r="A4" s="109" t="s">
        <v>100</v>
      </c>
      <c r="B4" s="2" t="s">
        <v>25</v>
      </c>
      <c r="C4" s="110">
        <v>0.6</v>
      </c>
      <c r="D4" s="111">
        <f>E4-(207.3+47.4)*100</f>
        <v>1610</v>
      </c>
      <c r="E4" s="111">
        <f>(207.3+16.1+47.4)*100</f>
        <v>27080</v>
      </c>
      <c r="F4" t="s">
        <v>220</v>
      </c>
    </row>
    <row r="5" spans="1:7" x14ac:dyDescent="0.25">
      <c r="A5" s="109" t="s">
        <v>101</v>
      </c>
      <c r="B5" s="2" t="s">
        <v>24</v>
      </c>
      <c r="C5" s="110">
        <f>170/10</f>
        <v>17</v>
      </c>
      <c r="D5" s="111">
        <v>600</v>
      </c>
      <c r="E5" s="111">
        <f t="shared" ref="E5" si="0">D5</f>
        <v>600</v>
      </c>
      <c r="F5" t="s">
        <v>252</v>
      </c>
    </row>
    <row r="6" spans="1:7" x14ac:dyDescent="0.25">
      <c r="A6" s="109" t="s">
        <v>101</v>
      </c>
      <c r="B6" s="2" t="s">
        <v>25</v>
      </c>
      <c r="C6" s="110"/>
      <c r="D6" s="111">
        <v>200</v>
      </c>
      <c r="E6" s="111">
        <f t="shared" ref="E6" si="1">D6</f>
        <v>200</v>
      </c>
      <c r="F6"/>
    </row>
    <row r="10" spans="1:7" x14ac:dyDescent="0.25">
      <c r="B10" s="1" t="s">
        <v>24</v>
      </c>
      <c r="E10" s="1" t="s">
        <v>25</v>
      </c>
    </row>
    <row r="11" spans="1:7" x14ac:dyDescent="0.25">
      <c r="B11" s="156">
        <f>År1</f>
        <v>2019</v>
      </c>
      <c r="C11" s="156">
        <f>År2</f>
        <v>2030</v>
      </c>
      <c r="D11" s="156">
        <f>År3</f>
        <v>2050</v>
      </c>
      <c r="E11" s="156">
        <f>År1</f>
        <v>2019</v>
      </c>
      <c r="F11" s="156">
        <f>År2</f>
        <v>2030</v>
      </c>
      <c r="G11" s="156">
        <f>År3</f>
        <v>2050</v>
      </c>
    </row>
    <row r="12" spans="1:7" x14ac:dyDescent="0.25">
      <c r="A12" s="109" t="s">
        <v>100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09" t="s">
        <v>101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>
      <selection activeCell="F45" sqref="F45"/>
    </sheetView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23.42578125" style="1" customWidth="1"/>
    <col min="7" max="16384" width="9.140625" style="1"/>
  </cols>
  <sheetData>
    <row r="1" spans="1:9" x14ac:dyDescent="0.25">
      <c r="A1" s="236" t="s">
        <v>295</v>
      </c>
    </row>
    <row r="2" spans="1:9" ht="15.75" x14ac:dyDescent="0.25">
      <c r="A2" s="233" t="s">
        <v>26</v>
      </c>
    </row>
    <row r="3" spans="1:9" x14ac:dyDescent="0.25">
      <c r="A3" s="6" t="s">
        <v>331</v>
      </c>
    </row>
    <row r="4" spans="1:9" x14ac:dyDescent="0.25">
      <c r="A4" s="25" t="s">
        <v>160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162</v>
      </c>
      <c r="G4" s="84">
        <f>År1</f>
        <v>2019</v>
      </c>
      <c r="H4" s="84">
        <f>År2</f>
        <v>2030</v>
      </c>
      <c r="I4" s="84">
        <f>År3</f>
        <v>2050</v>
      </c>
    </row>
    <row r="5" spans="1:9" x14ac:dyDescent="0.25">
      <c r="A5" s="2" t="s">
        <v>232</v>
      </c>
      <c r="B5" s="87">
        <v>0</v>
      </c>
      <c r="C5" s="3"/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0</v>
      </c>
      <c r="I5" s="10">
        <f>D23*365.25/1000000*[1]Befolkningstal!D$4/(1-D$12)</f>
        <v>0</v>
      </c>
    </row>
    <row r="6" spans="1:9" x14ac:dyDescent="0.25">
      <c r="A6" s="2" t="s">
        <v>109</v>
      </c>
      <c r="B6" s="87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101</v>
      </c>
      <c r="B7" s="87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215</v>
      </c>
      <c r="B8" s="87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233</v>
      </c>
      <c r="B9" s="115"/>
      <c r="C9" s="115"/>
      <c r="D9" s="115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9" x14ac:dyDescent="0.25">
      <c r="A12" s="93" t="s">
        <v>210</v>
      </c>
      <c r="B12" s="87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22</v>
      </c>
    </row>
    <row r="13" spans="1:9" x14ac:dyDescent="0.25">
      <c r="A13" s="185" t="s">
        <v>297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5" t="s">
        <v>261</v>
      </c>
      <c r="B14" s="87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hidden="1" x14ac:dyDescent="0.25">
      <c r="A16" s="6" t="s">
        <v>159</v>
      </c>
      <c r="B16" s="6"/>
      <c r="C16" s="6"/>
      <c r="D16" s="6"/>
      <c r="F16" s="1" t="s">
        <v>96</v>
      </c>
    </row>
    <row r="17" spans="1:8" hidden="1" x14ac:dyDescent="0.25">
      <c r="A17" s="2" t="s">
        <v>16</v>
      </c>
      <c r="B17" s="84">
        <f>År1</f>
        <v>2019</v>
      </c>
      <c r="C17" s="84">
        <f>År2</f>
        <v>2030</v>
      </c>
      <c r="D17" s="84">
        <f>År3</f>
        <v>2050</v>
      </c>
    </row>
    <row r="18" spans="1:8" hidden="1" x14ac:dyDescent="0.25">
      <c r="A18" s="2" t="s">
        <v>49</v>
      </c>
      <c r="B18" s="110">
        <v>218</v>
      </c>
      <c r="C18" s="116">
        <f>B18</f>
        <v>218</v>
      </c>
      <c r="D18" s="116">
        <f>B18</f>
        <v>218</v>
      </c>
      <c r="H18" s="112"/>
    </row>
    <row r="19" spans="1:8" hidden="1" x14ac:dyDescent="0.25">
      <c r="A19" s="2" t="s">
        <v>6</v>
      </c>
      <c r="B19" s="110">
        <v>199</v>
      </c>
      <c r="C19" s="116">
        <f>B19</f>
        <v>199</v>
      </c>
      <c r="D19" s="116">
        <f>B19</f>
        <v>199</v>
      </c>
    </row>
    <row r="20" spans="1:8" hidden="1" x14ac:dyDescent="0.25">
      <c r="A20" s="2" t="s">
        <v>12</v>
      </c>
      <c r="B20" s="110">
        <v>91</v>
      </c>
      <c r="C20" s="116">
        <f>B20</f>
        <v>91</v>
      </c>
      <c r="D20" s="116">
        <f>B20</f>
        <v>91</v>
      </c>
    </row>
    <row r="21" spans="1:8" hidden="1" x14ac:dyDescent="0.25">
      <c r="A21" s="2" t="s">
        <v>13</v>
      </c>
      <c r="B21" s="116">
        <f>B33*B35</f>
        <v>89.78</v>
      </c>
      <c r="C21" s="116">
        <f>$B21*(1-SUM(C$5:C$8))</f>
        <v>89.78</v>
      </c>
      <c r="D21" s="116">
        <f>$B21*(1-SUM(D$5:D$8))</f>
        <v>89.78</v>
      </c>
    </row>
    <row r="22" spans="1:8" hidden="1" x14ac:dyDescent="0.25">
      <c r="A22" s="2" t="s">
        <v>14</v>
      </c>
      <c r="B22" s="116">
        <f>B33*B34</f>
        <v>44.22</v>
      </c>
      <c r="C22" s="116">
        <f>$B22*(1-SUM(C$5:C$8))</f>
        <v>44.22</v>
      </c>
      <c r="D22" s="116">
        <f>$B22*(1-SUM(D$5:D$8))</f>
        <v>44.22</v>
      </c>
    </row>
    <row r="23" spans="1:8" hidden="1" x14ac:dyDescent="0.25">
      <c r="A23" s="2" t="s">
        <v>50</v>
      </c>
      <c r="B23" s="116">
        <f>SUM($B$21:$B$22,$B$28)*B5</f>
        <v>0</v>
      </c>
      <c r="C23" s="116">
        <f t="shared" ref="C23:D23" si="2">SUM($B$21:$B$22,$B$28)*C5</f>
        <v>0</v>
      </c>
      <c r="D23" s="116">
        <f t="shared" si="2"/>
        <v>0</v>
      </c>
      <c r="F23" s="1" t="s">
        <v>214</v>
      </c>
    </row>
    <row r="24" spans="1:8" hidden="1" x14ac:dyDescent="0.25">
      <c r="A24" s="2" t="s">
        <v>109</v>
      </c>
      <c r="B24" s="116">
        <f>SUM($B$21:$B$22,$B$28)*B6</f>
        <v>0</v>
      </c>
      <c r="C24" s="116">
        <f t="shared" ref="C24:D26" si="3">SUM($B$21:$B$22,$B$28)*C6</f>
        <v>0</v>
      </c>
      <c r="D24" s="116">
        <f t="shared" si="3"/>
        <v>0</v>
      </c>
      <c r="F24" s="1" t="s">
        <v>216</v>
      </c>
    </row>
    <row r="25" spans="1:8" hidden="1" x14ac:dyDescent="0.25">
      <c r="A25" s="2" t="s">
        <v>101</v>
      </c>
      <c r="B25" s="116">
        <f>SUM($B$21:$B$22,$B$28)*B7</f>
        <v>0</v>
      </c>
      <c r="C25" s="116">
        <f t="shared" si="3"/>
        <v>0</v>
      </c>
      <c r="D25" s="116">
        <f t="shared" si="3"/>
        <v>0</v>
      </c>
    </row>
    <row r="26" spans="1:8" hidden="1" x14ac:dyDescent="0.25">
      <c r="A26" s="2" t="s">
        <v>215</v>
      </c>
      <c r="B26" s="116">
        <f>SUM($B$21:$B$22,$B$28)*B8</f>
        <v>0</v>
      </c>
      <c r="C26" s="116">
        <f t="shared" si="3"/>
        <v>0</v>
      </c>
      <c r="D26" s="116">
        <f t="shared" si="3"/>
        <v>0</v>
      </c>
    </row>
    <row r="27" spans="1:8" hidden="1" x14ac:dyDescent="0.25">
      <c r="A27" s="2" t="s">
        <v>119</v>
      </c>
      <c r="B27" s="110">
        <f>304+44</f>
        <v>348</v>
      </c>
      <c r="C27" s="116">
        <f>B27</f>
        <v>348</v>
      </c>
      <c r="D27" s="116">
        <f>B27</f>
        <v>348</v>
      </c>
      <c r="F27" s="1" t="s">
        <v>343</v>
      </c>
    </row>
    <row r="28" spans="1:8" hidden="1" x14ac:dyDescent="0.25">
      <c r="A28" s="2" t="s">
        <v>98</v>
      </c>
      <c r="B28" s="110">
        <v>26</v>
      </c>
      <c r="C28" s="116">
        <f>$B28*(1-SUM(C$5:C$8))</f>
        <v>26</v>
      </c>
      <c r="D28" s="116">
        <f>$B28*(1-SUM(D$5:D$8))</f>
        <v>26</v>
      </c>
    </row>
    <row r="29" spans="1:8" hidden="1" x14ac:dyDescent="0.25">
      <c r="A29" s="2" t="s">
        <v>15</v>
      </c>
      <c r="B29" s="110">
        <v>24</v>
      </c>
      <c r="C29" s="116">
        <f>B29</f>
        <v>24</v>
      </c>
      <c r="D29" s="116">
        <f>B29</f>
        <v>24</v>
      </c>
    </row>
    <row r="30" spans="1:8" hidden="1" x14ac:dyDescent="0.25">
      <c r="A30" s="2" t="s">
        <v>55</v>
      </c>
      <c r="B30" s="110">
        <v>190</v>
      </c>
      <c r="C30" s="116">
        <f>B30</f>
        <v>190</v>
      </c>
      <c r="D30" s="116">
        <f>B30</f>
        <v>190</v>
      </c>
    </row>
    <row r="31" spans="1:8" hidden="1" x14ac:dyDescent="0.25">
      <c r="A31" s="2" t="s">
        <v>19</v>
      </c>
      <c r="B31" s="110">
        <v>37</v>
      </c>
      <c r="C31" s="117">
        <f>B31</f>
        <v>37</v>
      </c>
      <c r="D31" s="117">
        <f>B31</f>
        <v>37</v>
      </c>
    </row>
    <row r="32" spans="1:8" hidden="1" x14ac:dyDescent="0.25">
      <c r="A32" s="332" t="s">
        <v>31</v>
      </c>
      <c r="B32" s="331">
        <f>SUM(B18:B31)</f>
        <v>1267</v>
      </c>
      <c r="C32" s="331">
        <f>SUM(C18:C31)</f>
        <v>1267</v>
      </c>
      <c r="D32" s="331">
        <f>SUM(D18:D31)</f>
        <v>1267</v>
      </c>
    </row>
    <row r="33" spans="1:4" hidden="1" x14ac:dyDescent="0.25">
      <c r="A33" s="4" t="s">
        <v>18</v>
      </c>
      <c r="B33" s="103">
        <v>134</v>
      </c>
      <c r="C33" s="115"/>
    </row>
    <row r="34" spans="1:4" hidden="1" x14ac:dyDescent="0.25">
      <c r="A34" s="4" t="s">
        <v>20</v>
      </c>
      <c r="B34" s="106">
        <v>0.33</v>
      </c>
      <c r="C34" s="115" t="s">
        <v>158</v>
      </c>
    </row>
    <row r="35" spans="1:4" hidden="1" x14ac:dyDescent="0.25">
      <c r="A35" s="5" t="s">
        <v>21</v>
      </c>
      <c r="B35" s="118">
        <v>0.67</v>
      </c>
      <c r="C35" s="115"/>
    </row>
    <row r="36" spans="1:4" x14ac:dyDescent="0.25">
      <c r="A36" s="12"/>
      <c r="B36" s="12"/>
      <c r="C36" s="12"/>
      <c r="D36" s="12"/>
    </row>
    <row r="37" spans="1:4" x14ac:dyDescent="0.25">
      <c r="A37" s="12"/>
      <c r="B37" s="12"/>
      <c r="C37" s="105"/>
      <c r="D37" s="105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D22" sqref="D22:E22"/>
    </sheetView>
  </sheetViews>
  <sheetFormatPr defaultColWidth="9.140625" defaultRowHeight="12" x14ac:dyDescent="0.2"/>
  <cols>
    <col min="1" max="1" width="15.85546875" style="127" customWidth="1"/>
    <col min="2" max="2" width="10.140625" style="127" bestFit="1" customWidth="1"/>
    <col min="3" max="3" width="10.140625" style="127" customWidth="1"/>
    <col min="4" max="4" width="11.85546875" style="127" bestFit="1" customWidth="1"/>
    <col min="5" max="5" width="11" style="127" customWidth="1"/>
    <col min="6" max="6" width="13.42578125" style="127" customWidth="1"/>
    <col min="7" max="7" width="22.140625" style="127" customWidth="1"/>
    <col min="8" max="8" width="10" style="127" hidden="1" customWidth="1"/>
    <col min="9" max="12" width="9.28515625" style="127" hidden="1" customWidth="1"/>
    <col min="13" max="13" width="24.28515625" style="127" hidden="1" customWidth="1"/>
    <col min="14" max="14" width="12.7109375" style="127" hidden="1" customWidth="1"/>
    <col min="15" max="15" width="9.28515625" style="127" hidden="1" customWidth="1"/>
    <col min="16" max="16" width="9.85546875" style="127" hidden="1" customWidth="1"/>
    <col min="17" max="23" width="0" style="127" hidden="1" customWidth="1"/>
    <col min="24" max="16384" width="9.140625" style="127"/>
  </cols>
  <sheetData>
    <row r="1" spans="1:29" ht="12.75" thickBot="1" x14ac:dyDescent="0.25">
      <c r="A1" s="235" t="s">
        <v>295</v>
      </c>
    </row>
    <row r="2" spans="1:29" ht="46.5" customHeight="1" x14ac:dyDescent="0.2">
      <c r="A2" s="239" t="s">
        <v>144</v>
      </c>
      <c r="B2" s="239">
        <f>År1</f>
        <v>2019</v>
      </c>
      <c r="C2" s="239">
        <f>År2</f>
        <v>2030</v>
      </c>
      <c r="D2" s="239">
        <f>År3</f>
        <v>2050</v>
      </c>
      <c r="E2" s="125"/>
      <c r="F2" s="347" t="s">
        <v>323</v>
      </c>
      <c r="G2" s="348"/>
      <c r="M2" s="126"/>
      <c r="Z2" s="124" t="s">
        <v>156</v>
      </c>
      <c r="AA2" s="125">
        <f>År1</f>
        <v>2019</v>
      </c>
      <c r="AB2" s="125">
        <f>År2</f>
        <v>2030</v>
      </c>
      <c r="AC2" s="125">
        <f>År3</f>
        <v>2050</v>
      </c>
    </row>
    <row r="3" spans="1:29" x14ac:dyDescent="0.2">
      <c r="A3" s="182" t="s">
        <v>141</v>
      </c>
      <c r="B3" s="240">
        <f>N12/SUMIFS('Resultater - Danmark'!H$3:H$482,'Resultater - Danmark'!$F$3:$F$482,$A3)</f>
        <v>0.16508293217043288</v>
      </c>
      <c r="C3" s="183">
        <v>0.65</v>
      </c>
      <c r="D3" s="183">
        <v>0.8</v>
      </c>
      <c r="E3" s="160"/>
      <c r="F3" s="176" t="s">
        <v>105</v>
      </c>
      <c r="G3" s="177">
        <v>0.9</v>
      </c>
      <c r="H3" s="152"/>
      <c r="N3" s="268"/>
      <c r="Z3" s="127" t="s">
        <v>113</v>
      </c>
      <c r="AA3" s="128">
        <f>SUM(C12:C14)/SUM(C12:C15)</f>
        <v>0.73155031690147754</v>
      </c>
      <c r="AB3" s="128">
        <f>SUM(D12:D14)/SUM(D12:D15)</f>
        <v>0.8562403001615112</v>
      </c>
      <c r="AC3" s="128">
        <f>SUM(E12:E14)/SUM(E12:E15)</f>
        <v>0.79833278792694418</v>
      </c>
    </row>
    <row r="4" spans="1:29" x14ac:dyDescent="0.2">
      <c r="A4" s="182" t="s">
        <v>142</v>
      </c>
      <c r="B4" s="240">
        <f>N13/SUMIFS('Resultater - Danmark'!H$3:H$482,'Resultater - Danmark'!$F$3:$F$482,$A4)</f>
        <v>0.30985833926453143</v>
      </c>
      <c r="C4" s="183">
        <v>0.76</v>
      </c>
      <c r="D4" s="183">
        <v>0.8</v>
      </c>
      <c r="E4" s="160"/>
      <c r="F4" s="176" t="s">
        <v>104</v>
      </c>
      <c r="G4" s="177">
        <v>0.9</v>
      </c>
      <c r="N4" s="268"/>
      <c r="Z4" s="126" t="s">
        <v>211</v>
      </c>
    </row>
    <row r="5" spans="1:29" x14ac:dyDescent="0.2">
      <c r="A5" s="182" t="s">
        <v>143</v>
      </c>
      <c r="B5" s="240">
        <v>0.5</v>
      </c>
      <c r="C5" s="183">
        <v>0.65</v>
      </c>
      <c r="D5" s="183">
        <v>0.8</v>
      </c>
      <c r="E5" s="160"/>
      <c r="F5" s="176"/>
      <c r="G5" s="177"/>
      <c r="H5" s="129"/>
      <c r="N5" s="268"/>
      <c r="Z5" s="127" t="s">
        <v>141</v>
      </c>
      <c r="AA5" s="149">
        <f t="shared" ref="AA5:AC6" si="0">C12/C$29</f>
        <v>0.22267199142680771</v>
      </c>
      <c r="AB5" s="149">
        <f t="shared" si="0"/>
        <v>0.38096837821052559</v>
      </c>
      <c r="AC5" s="149">
        <f t="shared" si="0"/>
        <v>0.38312434038790183</v>
      </c>
    </row>
    <row r="6" spans="1:29" x14ac:dyDescent="0.2">
      <c r="A6" s="182" t="s">
        <v>146</v>
      </c>
      <c r="B6" s="240">
        <f>N15/SUMIFS('Resultater - Danmark'!H$3:H$482,'Resultater - Danmark'!$F$3:$F$482,$A6)</f>
        <v>0.37924884410556858</v>
      </c>
      <c r="C6" s="183">
        <v>0.5</v>
      </c>
      <c r="D6" s="183">
        <v>0.8</v>
      </c>
      <c r="E6" s="160"/>
      <c r="F6" s="176"/>
      <c r="G6" s="177"/>
      <c r="H6" s="130"/>
      <c r="Z6" s="131" t="s">
        <v>142</v>
      </c>
      <c r="AA6" s="149">
        <f t="shared" si="0"/>
        <v>0.33257225498473725</v>
      </c>
      <c r="AB6" s="149">
        <f t="shared" si="0"/>
        <v>0.35890651532579887</v>
      </c>
      <c r="AC6" s="149">
        <f t="shared" si="0"/>
        <v>0.31627894090452613</v>
      </c>
    </row>
    <row r="7" spans="1:29" x14ac:dyDescent="0.2">
      <c r="A7" s="182" t="s">
        <v>103</v>
      </c>
      <c r="B7" s="240">
        <f>N16/SUMIFS('Resultater - Danmark'!H$3:H$482,'Resultater - Danmark'!$F$3:$F$482,$A7)</f>
        <v>0.25812101313640656</v>
      </c>
      <c r="C7" s="183">
        <v>0.75</v>
      </c>
      <c r="D7" s="183">
        <v>0.8</v>
      </c>
      <c r="F7" s="176"/>
      <c r="G7" s="178"/>
      <c r="N7" s="161"/>
    </row>
    <row r="8" spans="1:29" ht="12.75" thickBot="1" x14ac:dyDescent="0.25">
      <c r="A8" s="182" t="s">
        <v>217</v>
      </c>
      <c r="B8" s="240">
        <v>0</v>
      </c>
      <c r="C8" s="183">
        <v>0.5</v>
      </c>
      <c r="D8" s="183">
        <v>0.8</v>
      </c>
      <c r="F8" s="179"/>
      <c r="G8" s="180"/>
      <c r="I8" s="161"/>
    </row>
    <row r="10" spans="1:29" ht="23.45" customHeight="1" x14ac:dyDescent="0.2">
      <c r="A10" s="131"/>
      <c r="B10" s="132"/>
      <c r="C10" s="345" t="s">
        <v>222</v>
      </c>
      <c r="D10" s="345"/>
      <c r="E10" s="345"/>
      <c r="F10" s="344" t="s">
        <v>221</v>
      </c>
      <c r="G10" s="344"/>
      <c r="J10" s="346" t="s">
        <v>223</v>
      </c>
      <c r="K10" s="346"/>
      <c r="L10" s="346"/>
    </row>
    <row r="11" spans="1:29" x14ac:dyDescent="0.2">
      <c r="C11" s="133">
        <f>År1</f>
        <v>2019</v>
      </c>
      <c r="D11" s="133">
        <f>År2</f>
        <v>2030</v>
      </c>
      <c r="E11" s="133">
        <f>År3</f>
        <v>2050</v>
      </c>
      <c r="F11" s="133">
        <v>2030</v>
      </c>
      <c r="G11" s="133">
        <v>2050</v>
      </c>
      <c r="H11" s="133" t="s">
        <v>107</v>
      </c>
      <c r="I11" s="133" t="s">
        <v>150</v>
      </c>
      <c r="J11" s="133">
        <f>År1</f>
        <v>2019</v>
      </c>
      <c r="K11" s="133">
        <f>År2</f>
        <v>2030</v>
      </c>
      <c r="L11" s="133">
        <f>År3</f>
        <v>2050</v>
      </c>
      <c r="M11" s="126" t="s">
        <v>226</v>
      </c>
    </row>
    <row r="12" spans="1:29" x14ac:dyDescent="0.2">
      <c r="A12" s="134" t="s">
        <v>141</v>
      </c>
      <c r="B12" s="134" t="s">
        <v>145</v>
      </c>
      <c r="C12" s="135">
        <f>SUMIFS('Resultater - Danmark'!H$3:H$482,'Resultater - Danmark'!$F$3:$F$482,$A12)*B3</f>
        <v>2914869.3333333335</v>
      </c>
      <c r="D12" s="135">
        <f>SUMIFS('Resultater - Danmark'!I$3:I$482,'Resultater - Danmark'!$F$3:$F$482,$A12)*C3</f>
        <v>11218436.459050544</v>
      </c>
      <c r="E12" s="135">
        <f>SUMIFS('Resultater - Danmark'!J$3:J$482,'Resultater - Danmark'!$F$3:$F$482,$A12)*D3</f>
        <v>13218791.367373466</v>
      </c>
      <c r="F12" s="252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6040696.5548733696</v>
      </c>
      <c r="G12" s="252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3304697.8418433648</v>
      </c>
      <c r="H12" s="136">
        <f>VLOOKUP(A12,[1]Biogasudbytte!$A$2:$C$18,3,FALSE)</f>
        <v>0.05</v>
      </c>
      <c r="I12" s="137">
        <f>VLOOKUP(A12,[1]Biogasudbytte!$A$2:$C$18,2,FALSE)*IFERROR(VLOOKUP(A12,$F$3:$G$8,2,FALSE),1)</f>
        <v>12</v>
      </c>
      <c r="J12" s="136">
        <f t="shared" ref="J12:J28" si="1">C12/C$29</f>
        <v>0.22267199142680771</v>
      </c>
      <c r="K12" s="136">
        <f t="shared" ref="K12:K28" si="2">D12/D$29</f>
        <v>0.38096837821052559</v>
      </c>
      <c r="L12" s="136">
        <f t="shared" ref="L12:L28" si="3">E12/E$29</f>
        <v>0.38312434038790183</v>
      </c>
      <c r="M12" s="127" t="s">
        <v>224</v>
      </c>
      <c r="N12" s="127">
        <f>S12+2/3*T12</f>
        <v>2914869.3333333335</v>
      </c>
      <c r="O12" s="154">
        <f t="shared" ref="O12:O16" si="4">N12-C12</f>
        <v>0</v>
      </c>
      <c r="P12" s="143">
        <f>C12*I12</f>
        <v>34978432</v>
      </c>
      <c r="Q12" s="127">
        <f>P12*35.9/1000000000</f>
        <v>1.2557257088</v>
      </c>
      <c r="S12" s="127">
        <v>2517134</v>
      </c>
      <c r="T12" s="127">
        <v>596603</v>
      </c>
    </row>
    <row r="13" spans="1:29" x14ac:dyDescent="0.2">
      <c r="A13" s="129" t="s">
        <v>142</v>
      </c>
      <c r="B13" s="129" t="s">
        <v>145</v>
      </c>
      <c r="C13" s="138">
        <f>SUMIFS('Resultater - Danmark'!H$3:H$482,'Resultater - Danmark'!$F$3:$F$482,$A13)*B4</f>
        <v>4353509.666666667</v>
      </c>
      <c r="D13" s="138">
        <f>SUMIFS('Resultater - Danmark'!I$3:I$482,'Resultater - Danmark'!$F$3:$F$482,$A13)*C4</f>
        <v>10568777.271841515</v>
      </c>
      <c r="E13" s="138">
        <f>SUMIFS('Resultater - Danmark'!J$3:J$482,'Resultater - Danmark'!$F$3:$F$482,$A13)*D4</f>
        <v>10912450.327425852</v>
      </c>
      <c r="F13" s="253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53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2728112.5818564612</v>
      </c>
      <c r="H13" s="139">
        <f>VLOOKUP(A13,[1]Biogasudbytte!$A$2:$C$18,3,FALSE)</f>
        <v>7.5999999999999998E-2</v>
      </c>
      <c r="I13" s="140">
        <f>VLOOKUP(A13,[1]Biogasudbytte!$A$2:$C$18,2,FALSE)*IFERROR(VLOOKUP(A13,$F$3:$G$8,2,FALSE),1)</f>
        <v>14.1</v>
      </c>
      <c r="J13" s="139">
        <f t="shared" si="1"/>
        <v>0.33257225498473725</v>
      </c>
      <c r="K13" s="139">
        <f t="shared" si="2"/>
        <v>0.35890651532579887</v>
      </c>
      <c r="L13" s="139">
        <f t="shared" si="3"/>
        <v>0.31627894090452613</v>
      </c>
      <c r="M13" s="127" t="s">
        <v>225</v>
      </c>
      <c r="N13" s="127">
        <f>S13+1/3*T13</f>
        <v>4353509.666666667</v>
      </c>
      <c r="O13" s="154">
        <f t="shared" si="4"/>
        <v>0</v>
      </c>
      <c r="P13" s="143">
        <f t="shared" ref="P13:P28" si="5">C13*I13</f>
        <v>61384486.300000004</v>
      </c>
      <c r="Q13" s="127">
        <f t="shared" ref="Q13:Q28" si="6">P13*35.9/1000000000</f>
        <v>2.2037030581699999</v>
      </c>
      <c r="S13" s="127">
        <v>4154642</v>
      </c>
      <c r="T13" s="127">
        <v>596603</v>
      </c>
    </row>
    <row r="14" spans="1:29" x14ac:dyDescent="0.2">
      <c r="A14" s="129" t="s">
        <v>143</v>
      </c>
      <c r="B14" s="129" t="s">
        <v>145</v>
      </c>
      <c r="C14" s="138">
        <f>SUMIFS('Resultater - Danmark'!H$3:H$482,'Resultater - Danmark'!$F$3:$F$482,$A14)*B5</f>
        <v>4441.5</v>
      </c>
      <c r="D14" s="138">
        <f>SUMIFS('Resultater - Danmark'!I$3:I$482,'Resultater - Danmark'!$F$3:$F$482,$A14)*C5</f>
        <v>5877.9032394539199</v>
      </c>
      <c r="E14" s="138">
        <f>SUMIFS('Resultater - Danmark'!J$3:J$482,'Resultater - Danmark'!$F$3:$F$482,$A14)*D5</f>
        <v>7470.9040958807809</v>
      </c>
      <c r="F14" s="253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3165.0248212444176</v>
      </c>
      <c r="G14" s="253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1867.7260239701927</v>
      </c>
      <c r="H14" s="139">
        <f>VLOOKUP(A14,[1]Biogasudbytte!$A$2:$C$18,3,FALSE)</f>
        <v>6.3E-2</v>
      </c>
      <c r="I14" s="140">
        <f>VLOOKUP(A14,[1]Biogasudbytte!$A$2:$C$18,2,FALSE)*IFERROR(VLOOKUP(A14,$F$3:$G$8,2,FALSE),1)</f>
        <v>13.1</v>
      </c>
      <c r="J14" s="139">
        <f t="shared" si="1"/>
        <v>3.3929399119623192E-4</v>
      </c>
      <c r="K14" s="139">
        <f t="shared" si="2"/>
        <v>1.9960849915110846E-4</v>
      </c>
      <c r="L14" s="139">
        <f t="shared" si="3"/>
        <v>2.1653153637784704E-4</v>
      </c>
      <c r="M14" s="131" t="s">
        <v>151</v>
      </c>
      <c r="N14" s="132">
        <v>11417</v>
      </c>
      <c r="O14" s="154">
        <f t="shared" si="4"/>
        <v>6975.5</v>
      </c>
      <c r="P14" s="143">
        <f t="shared" si="5"/>
        <v>58183.65</v>
      </c>
      <c r="Q14" s="127">
        <f t="shared" si="6"/>
        <v>2.0887930350000001E-3</v>
      </c>
    </row>
    <row r="15" spans="1:29" x14ac:dyDescent="0.2">
      <c r="A15" s="129" t="s">
        <v>146</v>
      </c>
      <c r="B15" s="129" t="s">
        <v>145</v>
      </c>
      <c r="C15" s="138">
        <f>SUMIFS('Resultater - Danmark'!H$3:H$482,'Resultater - Danmark'!$F$3:$F$482,$A15)*B6</f>
        <v>2668834</v>
      </c>
      <c r="D15" s="138">
        <f>SUMIFS('Resultater - Danmark'!I$3:I$482,'Resultater - Danmark'!$F$3:$F$482,$A15)*C6</f>
        <v>3658982.5441344664</v>
      </c>
      <c r="E15" s="138">
        <f>SUMIFS('Resultater - Danmark'!J$3:J$482,'Resultater - Danmark'!$F$3:$F$482,$A15)*D6</f>
        <v>6097691.2716973526</v>
      </c>
      <c r="F15" s="253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3658982.5441344674</v>
      </c>
      <c r="G15" s="253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1524422.8179243375</v>
      </c>
      <c r="H15" s="139">
        <f>VLOOKUP(A15,[1]Biogasudbytte!$A$2:$C$18,3,FALSE)</f>
        <v>0.06</v>
      </c>
      <c r="I15" s="140">
        <f>VLOOKUP(A15,[1]Biogasudbytte!$A$2:$C$18,2,FALSE)*IFERROR(VLOOKUP(A15,$F$3:$G$8,2,FALSE),1)</f>
        <v>13.9</v>
      </c>
      <c r="J15" s="139">
        <f t="shared" si="1"/>
        <v>0.20387691989197443</v>
      </c>
      <c r="K15" s="139">
        <f t="shared" si="2"/>
        <v>0.12425587565858585</v>
      </c>
      <c r="L15" s="139">
        <f t="shared" si="3"/>
        <v>0.17673128211435757</v>
      </c>
      <c r="M15" s="141" t="s">
        <v>319</v>
      </c>
      <c r="N15" s="142">
        <f>SUM(S15:Z15)</f>
        <v>2668834</v>
      </c>
      <c r="O15" s="154">
        <f t="shared" si="4"/>
        <v>0</v>
      </c>
      <c r="P15" s="143">
        <f>C15*I15</f>
        <v>37096792.600000001</v>
      </c>
      <c r="Q15" s="127">
        <f t="shared" si="6"/>
        <v>1.3317748543399999</v>
      </c>
      <c r="S15" s="169">
        <v>2666649</v>
      </c>
      <c r="T15" s="127">
        <v>2185</v>
      </c>
      <c r="U15" s="169" t="s">
        <v>321</v>
      </c>
      <c r="V15" s="131"/>
      <c r="W15" s="131"/>
    </row>
    <row r="16" spans="1:29" x14ac:dyDescent="0.2">
      <c r="A16" s="129" t="s">
        <v>103</v>
      </c>
      <c r="B16" s="129" t="s">
        <v>145</v>
      </c>
      <c r="C16" s="138">
        <f>SUMIFS('Resultater - Danmark'!H$3:H$482,'Resultater - Danmark'!$F$3:$F$482,$A16)*B7</f>
        <v>757087</v>
      </c>
      <c r="D16" s="138">
        <f>SUMIFS('Resultater - Danmark'!I$3:I$482,'Resultater - Danmark'!$F$3:$F$482,$A16)*C7</f>
        <v>2258235.6960382708</v>
      </c>
      <c r="E16" s="138">
        <f>SUMIFS('Resultater - Danmark'!J$3:J$482,'Resultater - Danmark'!$F$3:$F$482,$A16)*D7</f>
        <v>2524028.6677636597</v>
      </c>
      <c r="F16" s="253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752745.2320127571</v>
      </c>
      <c r="G16" s="253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631007.16694091586</v>
      </c>
      <c r="H16" s="139">
        <f>VLOOKUP(A16,[1]Biogasudbytte!$A$2:$C$18,3,FALSE)</f>
        <v>0.3</v>
      </c>
      <c r="I16" s="140">
        <f>VLOOKUP(A16,[1]Biogasudbytte!$A$2:$C$18,2,FALSE)*IFERROR(VLOOKUP(A16,$F$3:$G$8,2,FALSE),1)</f>
        <v>60</v>
      </c>
      <c r="J16" s="139">
        <f t="shared" si="1"/>
        <v>5.7835206554718369E-2</v>
      </c>
      <c r="K16" s="139">
        <f t="shared" si="2"/>
        <v>7.6687726839398535E-2</v>
      </c>
      <c r="L16" s="139">
        <f t="shared" si="3"/>
        <v>7.3154707687110576E-2</v>
      </c>
      <c r="M16" s="266" t="s">
        <v>163</v>
      </c>
      <c r="N16" s="267">
        <v>757087</v>
      </c>
      <c r="O16" s="154">
        <f t="shared" si="4"/>
        <v>0</v>
      </c>
      <c r="P16" s="143">
        <f t="shared" si="5"/>
        <v>45425220</v>
      </c>
      <c r="Q16" s="127">
        <f t="shared" si="6"/>
        <v>1.6307653980000001</v>
      </c>
    </row>
    <row r="17" spans="1:23" x14ac:dyDescent="0.2">
      <c r="A17" s="130" t="s">
        <v>217</v>
      </c>
      <c r="B17" s="129" t="s">
        <v>145</v>
      </c>
      <c r="C17" s="138">
        <f>SUMIFS('Resultater - Danmark'!H$3:H$482,'Resultater - Danmark'!$F$3:$F$482,$A17)*B8</f>
        <v>0</v>
      </c>
      <c r="D17" s="138">
        <f>SUMIFS('Resultater - Danmark'!I$3:I$482,'Resultater - Danmark'!$F$3:$F$482,$A17)*C8</f>
        <v>4144.2619618098342</v>
      </c>
      <c r="E17" s="138">
        <f>SUMIFS('Resultater - Danmark'!J$3:J$482,'Resultater - Danmark'!$F$3:$F$482,$A17)*D8</f>
        <v>6630.8191388957348</v>
      </c>
      <c r="F17" s="253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4144.2619618098342</v>
      </c>
      <c r="G17" s="253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1657.7047847239337</v>
      </c>
      <c r="H17" s="139">
        <f>VLOOKUP(A17,[1]Biogasudbytte!$A$2:$C$18,3,FALSE)</f>
        <v>4.2763387558472386E-2</v>
      </c>
      <c r="I17" s="140">
        <f>VLOOKUP(A17,[1]Biogasudbytte!$A$2:$C$18,2,FALSE)*IFERROR(VLOOKUP(A17,$F$3:$G$8,2,FALSE),1)</f>
        <v>15.822453396634783</v>
      </c>
      <c r="J17" s="139">
        <f t="shared" si="1"/>
        <v>0</v>
      </c>
      <c r="K17" s="139">
        <f t="shared" si="2"/>
        <v>1.4073554405137539E-4</v>
      </c>
      <c r="L17" s="139">
        <f t="shared" si="3"/>
        <v>1.9218309285757936E-4</v>
      </c>
      <c r="M17" s="127" t="s">
        <v>155</v>
      </c>
      <c r="N17" s="143"/>
      <c r="O17" s="154"/>
      <c r="P17" s="143">
        <f t="shared" si="5"/>
        <v>0</v>
      </c>
      <c r="Q17" s="127">
        <f t="shared" si="6"/>
        <v>0</v>
      </c>
    </row>
    <row r="18" spans="1:23" x14ac:dyDescent="0.2">
      <c r="A18" s="129" t="s">
        <v>104</v>
      </c>
      <c r="B18" s="129" t="s">
        <v>145</v>
      </c>
      <c r="C18" s="269">
        <f t="shared" ref="C18" si="7">N18</f>
        <v>729134</v>
      </c>
      <c r="D18" s="270">
        <v>363995</v>
      </c>
      <c r="E18" s="270">
        <v>369777</v>
      </c>
      <c r="F18" s="253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3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9">
        <f>VLOOKUP(A18,[1]Biogasudbytte!$A$2:$C$18,3,FALSE)</f>
        <v>0.28000000000000003</v>
      </c>
      <c r="I18" s="140">
        <f>VLOOKUP(A18,[1]Biogasudbytte!$A$2:$C$18,2,FALSE)*IFERROR(VLOOKUP(A18,$F$3:$G$8,2,FALSE),1)</f>
        <v>85.410000000000011</v>
      </c>
      <c r="J18" s="139">
        <f t="shared" si="1"/>
        <v>5.5699827755684647E-2</v>
      </c>
      <c r="K18" s="139">
        <f t="shared" si="2"/>
        <v>1.2360954695684611E-2</v>
      </c>
      <c r="L18" s="139">
        <f t="shared" si="3"/>
        <v>1.0717361767679271E-2</v>
      </c>
      <c r="M18" s="163" t="s">
        <v>317</v>
      </c>
      <c r="N18" s="164">
        <f>SUM(S18:Z18)</f>
        <v>729134</v>
      </c>
      <c r="O18" s="154">
        <f>N18-C18</f>
        <v>0</v>
      </c>
      <c r="P18" s="143">
        <f>C18*I18</f>
        <v>62275334.940000005</v>
      </c>
      <c r="Q18" s="127">
        <f>P18*35.9/1000000000</f>
        <v>2.2356845243460004</v>
      </c>
      <c r="S18" s="127">
        <v>338470</v>
      </c>
      <c r="T18" s="127">
        <v>199809</v>
      </c>
      <c r="U18" s="127">
        <v>60011</v>
      </c>
      <c r="V18" s="127">
        <v>44821</v>
      </c>
      <c r="W18" s="127">
        <v>86023</v>
      </c>
    </row>
    <row r="19" spans="1:23" x14ac:dyDescent="0.2">
      <c r="A19" s="129" t="s">
        <v>105</v>
      </c>
      <c r="B19" s="129" t="s">
        <v>145</v>
      </c>
      <c r="C19" s="269">
        <f>N19</f>
        <v>995654</v>
      </c>
      <c r="D19" s="270">
        <v>725968</v>
      </c>
      <c r="E19" s="270">
        <v>723032</v>
      </c>
      <c r="F19" s="253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53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9">
        <f>VLOOKUP(A19,[1]Biogasudbytte!$A$2:$C$18,3,FALSE)</f>
        <v>0.42</v>
      </c>
      <c r="I19" s="140">
        <f>VLOOKUP(A19,[1]Biogasudbytte!$A$2:$C$18,2,FALSE)*IFERROR(VLOOKUP(A19,$F$3:$G$8,2,FALSE),1)</f>
        <v>108.63000000000001</v>
      </c>
      <c r="J19" s="139">
        <f t="shared" si="1"/>
        <v>7.6059758980185313E-2</v>
      </c>
      <c r="K19" s="139">
        <f t="shared" si="2"/>
        <v>2.4653244024002433E-2</v>
      </c>
      <c r="L19" s="139">
        <f t="shared" si="3"/>
        <v>2.0955861272087442E-2</v>
      </c>
      <c r="M19" s="165" t="s">
        <v>318</v>
      </c>
      <c r="N19" s="166">
        <f>SUM(S19:Z19)</f>
        <v>995654</v>
      </c>
      <c r="O19" s="154">
        <f>N19-C19</f>
        <v>0</v>
      </c>
      <c r="P19" s="143">
        <f>C19*I19</f>
        <v>108157894.02000001</v>
      </c>
      <c r="Q19" s="127">
        <f>P19*35.9/1000000000</f>
        <v>3.8828683953180003</v>
      </c>
      <c r="S19" s="127">
        <v>995654</v>
      </c>
    </row>
    <row r="20" spans="1:23" x14ac:dyDescent="0.2">
      <c r="A20" s="129" t="s">
        <v>69</v>
      </c>
      <c r="B20" s="129" t="s">
        <v>145</v>
      </c>
      <c r="C20" s="269">
        <f>N20</f>
        <v>75934</v>
      </c>
      <c r="D20" s="270"/>
      <c r="E20" s="270"/>
      <c r="F20" s="253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1194658.5897973231</v>
      </c>
      <c r="G20" s="253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1197903.9490783783</v>
      </c>
      <c r="H20" s="139">
        <f>VLOOKUP(A20,[1]Biogasudbytte!$A$2:$C$18,3,FALSE)</f>
        <v>0.85</v>
      </c>
      <c r="I20" s="140">
        <f>VLOOKUP(A20,[1]Biogasudbytte!$A$2:$C$18,2,FALSE)*IFERROR(VLOOKUP(A20,$F$3:$G$8,2,FALSE),1)</f>
        <v>160.6</v>
      </c>
      <c r="J20" s="139">
        <f t="shared" si="1"/>
        <v>5.8007317184497744E-3</v>
      </c>
      <c r="K20" s="139">
        <f t="shared" si="2"/>
        <v>0</v>
      </c>
      <c r="L20" s="139">
        <f t="shared" si="3"/>
        <v>0</v>
      </c>
      <c r="M20" s="127" t="s">
        <v>152</v>
      </c>
      <c r="N20" s="143">
        <v>75934</v>
      </c>
      <c r="O20" s="154">
        <f t="shared" ref="O20:O28" si="8">N20-C20</f>
        <v>0</v>
      </c>
      <c r="P20" s="143">
        <f t="shared" si="5"/>
        <v>12195000.4</v>
      </c>
      <c r="Q20" s="127">
        <f t="shared" si="6"/>
        <v>0.43780051436</v>
      </c>
    </row>
    <row r="21" spans="1:23" x14ac:dyDescent="0.2">
      <c r="A21" s="129" t="s">
        <v>49</v>
      </c>
      <c r="B21" s="129" t="s">
        <v>145</v>
      </c>
      <c r="C21" s="269">
        <f t="shared" ref="C21:C28" si="9">N21</f>
        <v>3786</v>
      </c>
      <c r="D21" s="270"/>
      <c r="E21" s="270"/>
      <c r="F21" s="253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20688.370813857182</v>
      </c>
      <c r="G21" s="253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316.79332798311953</v>
      </c>
      <c r="H21" s="139">
        <f>VLOOKUP(A21,[1]Biogasudbytte!$A$2:$C$18,3,FALSE)</f>
        <v>0.31</v>
      </c>
      <c r="I21" s="140">
        <f>VLOOKUP(A21,[1]Biogasudbytte!$A$2:$C$18,2,FALSE)*IFERROR(VLOOKUP(A21,$F$3:$G$8,2,FALSE),1)</f>
        <v>95.4</v>
      </c>
      <c r="J21" s="139">
        <f t="shared" si="1"/>
        <v>2.8921919411661239E-4</v>
      </c>
      <c r="K21" s="139">
        <f t="shared" si="2"/>
        <v>0</v>
      </c>
      <c r="L21" s="139">
        <f t="shared" si="3"/>
        <v>0</v>
      </c>
      <c r="M21" s="127" t="s">
        <v>164</v>
      </c>
      <c r="N21" s="143">
        <v>3786</v>
      </c>
      <c r="O21" s="154">
        <f t="shared" si="8"/>
        <v>0</v>
      </c>
      <c r="P21" s="143">
        <f t="shared" si="5"/>
        <v>361184.4</v>
      </c>
      <c r="Q21" s="127">
        <f t="shared" si="6"/>
        <v>1.2966519960000001E-2</v>
      </c>
    </row>
    <row r="22" spans="1:23" x14ac:dyDescent="0.2">
      <c r="A22" s="129" t="s">
        <v>52</v>
      </c>
      <c r="B22" s="129" t="s">
        <v>145</v>
      </c>
      <c r="C22" s="269">
        <f t="shared" si="9"/>
        <v>85677</v>
      </c>
      <c r="D22" s="270"/>
      <c r="E22" s="270"/>
      <c r="F22" s="253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61456.208007046953</v>
      </c>
      <c r="G22" s="253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256694.90946254507</v>
      </c>
      <c r="H22" s="139">
        <f>VLOOKUP(A22,[1]Biogasudbytte!$A$2:$C$18,3,FALSE)</f>
        <v>0.28000000000000003</v>
      </c>
      <c r="I22" s="140">
        <f>VLOOKUP(A22,[1]Biogasudbytte!$A$2:$C$18,2,FALSE)*IFERROR(VLOOKUP(A22,$F$3:$G$8,2,FALSE),1)</f>
        <v>51.25</v>
      </c>
      <c r="J22" s="139">
        <f t="shared" si="1"/>
        <v>6.5450166123425784E-3</v>
      </c>
      <c r="K22" s="139">
        <f t="shared" si="2"/>
        <v>0</v>
      </c>
      <c r="L22" s="139">
        <f t="shared" si="3"/>
        <v>0</v>
      </c>
      <c r="M22" s="167" t="s">
        <v>320</v>
      </c>
      <c r="N22" s="168">
        <f>SUM(S22:Z22)</f>
        <v>85677</v>
      </c>
      <c r="O22" s="154">
        <f t="shared" si="8"/>
        <v>0</v>
      </c>
      <c r="P22" s="143">
        <f t="shared" si="5"/>
        <v>4390946.25</v>
      </c>
      <c r="Q22" s="127">
        <f t="shared" si="6"/>
        <v>0.15763497037499999</v>
      </c>
      <c r="S22" s="127">
        <v>66010</v>
      </c>
      <c r="T22" s="127">
        <v>2139</v>
      </c>
      <c r="U22" s="127">
        <v>14273</v>
      </c>
      <c r="V22" s="127">
        <v>3255</v>
      </c>
    </row>
    <row r="23" spans="1:23" x14ac:dyDescent="0.2">
      <c r="A23" s="129" t="s">
        <v>54</v>
      </c>
      <c r="B23" s="129" t="s">
        <v>145</v>
      </c>
      <c r="C23" s="269">
        <f t="shared" si="9"/>
        <v>330026</v>
      </c>
      <c r="D23" s="270"/>
      <c r="E23" s="270"/>
      <c r="F23" s="253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-561962.44405162055</v>
      </c>
      <c r="G23" s="253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-295363.07582411077</v>
      </c>
      <c r="H23" s="139">
        <f>VLOOKUP(A23,[1]Biogasudbytte!$A$2:$C$18,3,FALSE)</f>
        <v>0.3</v>
      </c>
      <c r="I23" s="140">
        <f>VLOOKUP(A23,[1]Biogasudbytte!$A$2:$C$18,2,FALSE)*IFERROR(VLOOKUP(A23,$F$3:$G$8,2,FALSE),1)</f>
        <v>100</v>
      </c>
      <c r="J23" s="139">
        <f t="shared" si="1"/>
        <v>2.5211266180012976E-2</v>
      </c>
      <c r="K23" s="139">
        <f t="shared" si="2"/>
        <v>0</v>
      </c>
      <c r="L23" s="139">
        <f t="shared" si="3"/>
        <v>0</v>
      </c>
      <c r="M23" s="127" t="s">
        <v>153</v>
      </c>
      <c r="N23" s="143">
        <v>330026</v>
      </c>
      <c r="O23" s="154">
        <f t="shared" si="8"/>
        <v>0</v>
      </c>
      <c r="P23" s="143">
        <f t="shared" si="5"/>
        <v>33002600</v>
      </c>
      <c r="Q23" s="127">
        <f t="shared" si="6"/>
        <v>1.1847933399999999</v>
      </c>
    </row>
    <row r="24" spans="1:23" x14ac:dyDescent="0.2">
      <c r="A24" s="129" t="s">
        <v>53</v>
      </c>
      <c r="B24" s="129" t="s">
        <v>145</v>
      </c>
      <c r="C24" s="269">
        <f t="shared" si="9"/>
        <v>28645</v>
      </c>
      <c r="D24" s="270"/>
      <c r="E24" s="270"/>
      <c r="F24" s="253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1434089.1049770473</v>
      </c>
      <c r="G24" s="253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1428486.5239850583</v>
      </c>
      <c r="H24" s="139">
        <f>VLOOKUP(A24,[1]Biogasudbytte!$A$2:$C$18,3,FALSE)</f>
        <v>0.2</v>
      </c>
      <c r="I24" s="140">
        <f>VLOOKUP(A24,[1]Biogasudbytte!$A$2:$C$18,2,FALSE)*IFERROR(VLOOKUP(A24,$F$3:$G$8,2,FALSE),1)</f>
        <v>75.599999999999994</v>
      </c>
      <c r="J24" s="139">
        <f t="shared" si="1"/>
        <v>2.1882418952642265E-3</v>
      </c>
      <c r="K24" s="139">
        <f t="shared" si="2"/>
        <v>0</v>
      </c>
      <c r="L24" s="139">
        <f t="shared" si="3"/>
        <v>0</v>
      </c>
      <c r="M24" s="127" t="s">
        <v>154</v>
      </c>
      <c r="N24" s="143">
        <v>28645</v>
      </c>
      <c r="O24" s="154">
        <f t="shared" si="8"/>
        <v>0</v>
      </c>
      <c r="P24" s="143">
        <f t="shared" si="5"/>
        <v>2165562</v>
      </c>
      <c r="Q24" s="127">
        <f t="shared" si="6"/>
        <v>7.7743675799999995E-2</v>
      </c>
    </row>
    <row r="25" spans="1:23" x14ac:dyDescent="0.2">
      <c r="A25" s="130" t="s">
        <v>169</v>
      </c>
      <c r="B25" s="129" t="s">
        <v>145</v>
      </c>
      <c r="C25" s="269">
        <f t="shared" si="9"/>
        <v>78</v>
      </c>
      <c r="D25" s="270">
        <v>500000</v>
      </c>
      <c r="E25" s="270">
        <v>500000</v>
      </c>
      <c r="F25" s="253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482809</v>
      </c>
      <c r="G25" s="253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482809</v>
      </c>
      <c r="H25" s="139">
        <f>VLOOKUP(A25,[1]Biogasudbytte!$A$2:$C$18,3,FALSE)</f>
        <v>0.3</v>
      </c>
      <c r="I25" s="140">
        <f>VLOOKUP(A25,[1]Biogasudbytte!$A$2:$C$18,2,FALSE)*IFERROR(VLOOKUP(A25,$F$3:$G$8,2,FALSE),1)</f>
        <v>47.3</v>
      </c>
      <c r="J25" s="139">
        <f t="shared" si="1"/>
        <v>5.9585570895657067E-6</v>
      </c>
      <c r="K25" s="139">
        <f t="shared" si="2"/>
        <v>1.6979566608998214E-2</v>
      </c>
      <c r="L25" s="139">
        <f t="shared" si="3"/>
        <v>1.4491655467591643E-2</v>
      </c>
      <c r="M25" s="127" t="s">
        <v>170</v>
      </c>
      <c r="N25" s="143">
        <v>78</v>
      </c>
      <c r="O25" s="154">
        <f t="shared" si="8"/>
        <v>0</v>
      </c>
      <c r="P25" s="143">
        <f t="shared" si="5"/>
        <v>3689.3999999999996</v>
      </c>
      <c r="Q25" s="127">
        <f t="shared" si="6"/>
        <v>1.3244945999999998E-4</v>
      </c>
    </row>
    <row r="26" spans="1:23" x14ac:dyDescent="0.2">
      <c r="A26" s="130" t="s">
        <v>165</v>
      </c>
      <c r="B26" s="130" t="s">
        <v>145</v>
      </c>
      <c r="C26" s="269">
        <f t="shared" si="9"/>
        <v>142742</v>
      </c>
      <c r="D26" s="270">
        <v>142742</v>
      </c>
      <c r="E26" s="270">
        <v>142742</v>
      </c>
      <c r="F26" s="253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3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9">
        <f>VLOOKUP(A26,[1]Biogasudbytte!$A$2:$C$18,3,FALSE)</f>
        <v>0.9</v>
      </c>
      <c r="I26" s="140">
        <f>VLOOKUP(A26,[1]Biogasudbytte!$A$2:$C$18,2,FALSE)*IFERROR(VLOOKUP(A26,$F$3:$G$8,2,FALSE),1)</f>
        <v>423.36</v>
      </c>
      <c r="J26" s="139">
        <f t="shared" si="1"/>
        <v>1.090431225742036E-2</v>
      </c>
      <c r="K26" s="139">
        <f t="shared" si="2"/>
        <v>4.8473945938032467E-3</v>
      </c>
      <c r="L26" s="139">
        <f t="shared" si="3"/>
        <v>4.1371357695099325E-3</v>
      </c>
      <c r="M26" s="127" t="s">
        <v>168</v>
      </c>
      <c r="N26" s="127">
        <v>142742</v>
      </c>
      <c r="O26" s="154">
        <f t="shared" si="8"/>
        <v>0</v>
      </c>
      <c r="P26" s="143">
        <f t="shared" si="5"/>
        <v>60431253.120000005</v>
      </c>
      <c r="Q26" s="127">
        <f t="shared" si="6"/>
        <v>2.169481987008</v>
      </c>
    </row>
    <row r="27" spans="1:23" x14ac:dyDescent="0.2">
      <c r="A27" s="129" t="s">
        <v>109</v>
      </c>
      <c r="B27" s="129" t="s">
        <v>145</v>
      </c>
      <c r="C27" s="269">
        <f t="shared" si="9"/>
        <v>0</v>
      </c>
      <c r="D27" s="270">
        <v>0</v>
      </c>
      <c r="E27" s="270">
        <v>0</v>
      </c>
      <c r="F27" s="253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95406.837717421964</v>
      </c>
      <c r="G27" s="253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217790.44170925685</v>
      </c>
      <c r="H27" s="139">
        <f>VLOOKUP(A27,[1]Biogasudbytte!$A$2:$C$18,3,FALSE)</f>
        <v>0.15</v>
      </c>
      <c r="I27" s="140">
        <f>VLOOKUP(A27,[1]Biogasudbytte!$A$2:$C$18,2,FALSE)*IFERROR(VLOOKUP(A27,$F$3:$G$8,2,FALSE),1)</f>
        <v>25</v>
      </c>
      <c r="J27" s="139">
        <f t="shared" si="1"/>
        <v>0</v>
      </c>
      <c r="K27" s="139">
        <f t="shared" si="2"/>
        <v>0</v>
      </c>
      <c r="L27" s="139">
        <f t="shared" si="3"/>
        <v>0</v>
      </c>
      <c r="M27" s="127" t="s">
        <v>155</v>
      </c>
      <c r="O27" s="154">
        <f t="shared" si="8"/>
        <v>0</v>
      </c>
      <c r="P27" s="143">
        <f t="shared" si="5"/>
        <v>0</v>
      </c>
      <c r="Q27" s="127">
        <f t="shared" si="6"/>
        <v>0</v>
      </c>
    </row>
    <row r="28" spans="1:23" ht="12.75" thickBot="1" x14ac:dyDescent="0.25">
      <c r="A28" s="144" t="s">
        <v>101</v>
      </c>
      <c r="B28" s="144" t="s">
        <v>145</v>
      </c>
      <c r="C28" s="271">
        <f t="shared" si="9"/>
        <v>0</v>
      </c>
      <c r="D28" s="272">
        <v>0</v>
      </c>
      <c r="E28" s="272">
        <v>0</v>
      </c>
      <c r="F28" s="254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7079.3130418235305</v>
      </c>
      <c r="G28" s="254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7079.3130418235305</v>
      </c>
      <c r="H28" s="145">
        <f>VLOOKUP(A28,[1]Biogasudbytte!$A$2:$C$18,3,FALSE)</f>
        <v>0.15</v>
      </c>
      <c r="I28" s="146">
        <f>VLOOKUP(A28,[1]Biogasudbytte!$A$2:$C$18,2,FALSE)*IFERROR(VLOOKUP(A28,$F$3:$G$8,2,FALSE),1)</f>
        <v>25</v>
      </c>
      <c r="J28" s="145">
        <f t="shared" si="1"/>
        <v>0</v>
      </c>
      <c r="K28" s="145">
        <f t="shared" si="2"/>
        <v>0</v>
      </c>
      <c r="L28" s="145">
        <f t="shared" si="3"/>
        <v>0</v>
      </c>
      <c r="M28" s="127" t="s">
        <v>155</v>
      </c>
      <c r="O28" s="154">
        <f t="shared" si="8"/>
        <v>0</v>
      </c>
      <c r="P28" s="143">
        <f t="shared" si="5"/>
        <v>0</v>
      </c>
      <c r="Q28" s="127">
        <f t="shared" si="6"/>
        <v>0</v>
      </c>
    </row>
    <row r="29" spans="1:23" x14ac:dyDescent="0.2">
      <c r="A29" s="127" t="s">
        <v>106</v>
      </c>
      <c r="B29" s="127" t="s">
        <v>145</v>
      </c>
      <c r="C29" s="147">
        <f>SUM(C12:C28)</f>
        <v>13090417.5</v>
      </c>
      <c r="D29" s="147">
        <f>SUM(D12:D28)</f>
        <v>29447159.136266064</v>
      </c>
      <c r="E29" s="147">
        <f>SUM(E12:E28)</f>
        <v>34502614.357495114</v>
      </c>
      <c r="F29" s="147"/>
      <c r="G29" s="147"/>
      <c r="H29" s="148"/>
      <c r="I29" s="148"/>
      <c r="J29" s="149">
        <f>SUM(J12:J28)</f>
        <v>1</v>
      </c>
      <c r="K29" s="149">
        <f>SUM(K12:K28)</f>
        <v>0.99999999999999989</v>
      </c>
      <c r="L29" s="149">
        <f>SUM(L12:L28)</f>
        <v>1</v>
      </c>
      <c r="N29" s="127">
        <f>SUM(N12:N28)</f>
        <v>13097393</v>
      </c>
      <c r="P29" s="143">
        <f>SUM(P12:P28)</f>
        <v>461926579.07999992</v>
      </c>
      <c r="Q29" s="127">
        <f>P29*35.9/1000000000</f>
        <v>16.583164188971995</v>
      </c>
    </row>
    <row r="30" spans="1:23" x14ac:dyDescent="0.2">
      <c r="A30" s="150" t="s">
        <v>126</v>
      </c>
      <c r="C30" s="151">
        <f>SUMPRODUCT(C12:C28,$H$12:$H$28)/C29</f>
        <v>0.13822427556900557</v>
      </c>
      <c r="D30" s="151">
        <f>SUMPRODUCT(D12:D28,$H$12:$H$28)/D29</f>
        <v>0.10007753325267686</v>
      </c>
      <c r="E30" s="151">
        <f>SUMPRODUCT(E12:E28,$H$12:$H$28)/E29</f>
        <v>9.5638807510070908E-2</v>
      </c>
      <c r="F30" s="162"/>
      <c r="G30" s="162"/>
    </row>
    <row r="31" spans="1:23" x14ac:dyDescent="0.2">
      <c r="A31" s="150" t="s">
        <v>167</v>
      </c>
      <c r="C31" s="151">
        <f>SUM(C21:C24)/C29</f>
        <v>3.4233743881736389E-2</v>
      </c>
      <c r="D31" s="151">
        <f>SUM(D21:D24)/D29</f>
        <v>0</v>
      </c>
      <c r="E31" s="151">
        <f>SUM(E21:E24)/E29</f>
        <v>0</v>
      </c>
      <c r="F31" s="162"/>
      <c r="G31" s="162"/>
    </row>
    <row r="32" spans="1:23" x14ac:dyDescent="0.2">
      <c r="A32" s="127" t="s">
        <v>148</v>
      </c>
      <c r="B32" s="127" t="s">
        <v>149</v>
      </c>
      <c r="C32" s="127">
        <f>SUMPRODUCT(C12:C28,$I$12:$I$28)</f>
        <v>461926579.07999992</v>
      </c>
      <c r="D32" s="127">
        <f>SUMPRODUCT(D12:D28,$I$12:$I$28)</f>
        <v>664169539.00152826</v>
      </c>
      <c r="E32" s="127">
        <f>SUMPRODUCT(E12:E28,$I$12:$I$28)</f>
        <v>743100332.28806162</v>
      </c>
    </row>
    <row r="33" spans="1:15" x14ac:dyDescent="0.2">
      <c r="A33" s="127" t="s">
        <v>148</v>
      </c>
      <c r="B33" s="127" t="s">
        <v>125</v>
      </c>
      <c r="C33" s="334">
        <f>C32*[1]Energiindhold!$C$10</f>
        <v>16.583164188971999</v>
      </c>
      <c r="D33" s="334">
        <f>D32*[1]Energiindhold!$C$10</f>
        <v>23.843686450154866</v>
      </c>
      <c r="E33" s="334">
        <f>E32*[1]Energiindhold!$C$10</f>
        <v>26.677301929141414</v>
      </c>
    </row>
    <row r="34" spans="1:15" x14ac:dyDescent="0.2">
      <c r="C34" s="273"/>
    </row>
    <row r="35" spans="1:15" x14ac:dyDescent="0.2">
      <c r="A35" s="182"/>
      <c r="B35" s="182" t="s">
        <v>28</v>
      </c>
      <c r="C35" s="182" t="s">
        <v>29</v>
      </c>
    </row>
    <row r="36" spans="1:15" x14ac:dyDescent="0.2">
      <c r="A36" s="182" t="s">
        <v>165</v>
      </c>
      <c r="B36" s="183">
        <v>0.8</v>
      </c>
      <c r="C36" s="183">
        <v>0.2</v>
      </c>
    </row>
    <row r="38" spans="1:15" hidden="1" x14ac:dyDescent="0.2">
      <c r="C38" s="133">
        <f>År1</f>
        <v>2019</v>
      </c>
      <c r="D38" s="133">
        <f>År2</f>
        <v>2030</v>
      </c>
      <c r="E38" s="133">
        <f>År3</f>
        <v>2050</v>
      </c>
      <c r="F38" s="133" t="s">
        <v>107</v>
      </c>
      <c r="G38" s="133" t="s">
        <v>150</v>
      </c>
      <c r="K38" s="133">
        <f>År1</f>
        <v>2019</v>
      </c>
      <c r="L38" s="133">
        <f>År2</f>
        <v>2030</v>
      </c>
      <c r="M38" s="133">
        <f>År3</f>
        <v>2050</v>
      </c>
      <c r="N38" s="133" t="s">
        <v>107</v>
      </c>
      <c r="O38" s="133" t="s">
        <v>150</v>
      </c>
    </row>
    <row r="39" spans="1:15" hidden="1" x14ac:dyDescent="0.2">
      <c r="A39" s="134" t="str">
        <f t="shared" ref="A39:A55" si="10">A12</f>
        <v>Svinegylle</v>
      </c>
      <c r="B39" s="134" t="s">
        <v>145</v>
      </c>
      <c r="C39" s="135">
        <f>SUMIFS('Resultater - Vestdanmark'!H$3:H$482,'Resultater - Vestdanmark'!$F$3:$F$482,$A39)*B3</f>
        <v>2534442.072977222</v>
      </c>
      <c r="D39" s="135">
        <f>SUMIFS('Resultater - Vestdanmark'!I$3:I$482,'Resultater - Vestdanmark'!$F$3:$F$482,$A39)*C3</f>
        <v>9798641.5643226951</v>
      </c>
      <c r="E39" s="135">
        <f>SUMIFS('Resultater - Vestdanmark'!J$3:J$482,'Resultater - Vestdanmark'!$F$3:$F$482,$A39)*D3</f>
        <v>11545833.414063649</v>
      </c>
      <c r="F39" s="136">
        <f>VLOOKUP(A39,[1]Biogasudbytte!$A$2:$C$18,3,FALSE)</f>
        <v>0.05</v>
      </c>
      <c r="G39" s="137">
        <f t="shared" ref="G39:G55" si="11">I12</f>
        <v>12</v>
      </c>
      <c r="I39" s="134" t="str">
        <f>A39</f>
        <v>Svinegylle</v>
      </c>
      <c r="J39" s="134" t="s">
        <v>145</v>
      </c>
      <c r="K39" s="135">
        <f>SUMIFS('Resultater - Østdanmark'!H$3:H$482,'Resultater - Østdanmark'!$F$3:$F$482,$A39)*B3</f>
        <v>380427.26035611134</v>
      </c>
      <c r="L39" s="135">
        <f>SUMIFS('Resultater - Østdanmark'!I$3:I$482,'Resultater - Østdanmark'!$F$3:$F$482,$A39)*C3</f>
        <v>1419794.8947278499</v>
      </c>
      <c r="M39" s="135">
        <f>SUMIFS('Resultater - Østdanmark'!J$3:J$482,'Resultater - Østdanmark'!$F$3:$F$482,$A39)*D3</f>
        <v>1672957.9533098158</v>
      </c>
      <c r="N39" s="136">
        <f>VLOOKUP(I39,[1]Biogasudbytte!$A$2:$C$18,3,FALSE)</f>
        <v>0.05</v>
      </c>
      <c r="O39" s="137">
        <f t="shared" ref="O39:O55" si="12">I12</f>
        <v>12</v>
      </c>
    </row>
    <row r="40" spans="1:15" hidden="1" x14ac:dyDescent="0.2">
      <c r="A40" s="129" t="str">
        <f t="shared" si="10"/>
        <v>Kvæggylle</v>
      </c>
      <c r="B40" s="129" t="s">
        <v>145</v>
      </c>
      <c r="C40" s="138">
        <f>SUMIFS('Resultater - Vestdanmark'!H$3:H$482,'Resultater - Vestdanmark'!$F$3:$F$482,$A40)*B4</f>
        <v>4066864.6068164087</v>
      </c>
      <c r="D40" s="138">
        <f>SUMIFS('Resultater - Vestdanmark'!I$3:I$482,'Resultater - Vestdanmark'!$F$3:$F$482,$A40)*C4</f>
        <v>9867457.5006151944</v>
      </c>
      <c r="E40" s="138">
        <f>SUMIFS('Resultater - Vestdanmark'!J$3:J$482,'Resultater - Vestdanmark'!$F$3:$F$482,$A40)*D4</f>
        <v>10188325.20203986</v>
      </c>
      <c r="F40" s="139">
        <f>VLOOKUP(A40,[1]Biogasudbytte!$A$2:$C$18,3,FALSE)</f>
        <v>7.5999999999999998E-2</v>
      </c>
      <c r="G40" s="140">
        <f t="shared" si="11"/>
        <v>14.1</v>
      </c>
      <c r="I40" s="129" t="str">
        <f t="shared" ref="I40:I55" si="13">A40</f>
        <v>Kvæggylle</v>
      </c>
      <c r="J40" s="129" t="s">
        <v>145</v>
      </c>
      <c r="K40" s="138">
        <f>SUMIFS('Resultater - Østdanmark'!H$3:H$482,'Resultater - Østdanmark'!$F$3:$F$482,$A40)*B4</f>
        <v>286645.05985025823</v>
      </c>
      <c r="L40" s="138">
        <f>SUMIFS('Resultater - Østdanmark'!I$3:I$482,'Resultater - Østdanmark'!$F$3:$F$482,$A40)*C4</f>
        <v>701319.77122631879</v>
      </c>
      <c r="M40" s="138">
        <f>SUMIFS('Resultater - Østdanmark'!J$3:J$482,'Resultater - Østdanmark'!$F$3:$F$482,$A40)*D4</f>
        <v>724125.12538599269</v>
      </c>
      <c r="N40" s="139">
        <f>VLOOKUP(I40,[1]Biogasudbytte!$A$2:$C$18,3,FALSE)</f>
        <v>7.5999999999999998E-2</v>
      </c>
      <c r="O40" s="140">
        <f t="shared" si="12"/>
        <v>14.1</v>
      </c>
    </row>
    <row r="41" spans="1:15" hidden="1" x14ac:dyDescent="0.2">
      <c r="A41" s="129" t="str">
        <f t="shared" si="10"/>
        <v>Fjerkrægylle</v>
      </c>
      <c r="B41" s="129" t="s">
        <v>145</v>
      </c>
      <c r="C41" s="138">
        <f>SUMIFS('Resultater - Vestdanmark'!H$3:H$482,'Resultater - Vestdanmark'!$F$3:$F$482,$A41)*B5</f>
        <v>4103.8061780475591</v>
      </c>
      <c r="D41" s="138">
        <f>SUMIFS('Resultater - Vestdanmark'!I$3:I$482,'Resultater - Vestdanmark'!$F$3:$F$482,$A41)*C5</f>
        <v>5422.7719881045641</v>
      </c>
      <c r="E41" s="138">
        <f>SUMIFS('Resultater - Vestdanmark'!J$3:J$482,'Resultater - Vestdanmark'!$F$3:$F$482,$A41)*D5</f>
        <v>6892.4253779859373</v>
      </c>
      <c r="F41" s="139">
        <f>VLOOKUP(A41,[1]Biogasudbytte!$A$2:$C$18,3,FALSE)</f>
        <v>6.3E-2</v>
      </c>
      <c r="G41" s="140">
        <f t="shared" si="11"/>
        <v>13.1</v>
      </c>
      <c r="I41" s="129" t="str">
        <f t="shared" si="13"/>
        <v>Fjerkrægylle</v>
      </c>
      <c r="J41" s="129" t="s">
        <v>145</v>
      </c>
      <c r="K41" s="138">
        <f>SUMIFS('Resultater - Østdanmark'!H$3:H$482,'Resultater - Østdanmark'!$F$3:$F$482,$A41)*B5</f>
        <v>337.693821952441</v>
      </c>
      <c r="L41" s="138">
        <f>SUMIFS('Resultater - Østdanmark'!I$3:I$482,'Resultater - Østdanmark'!$F$3:$F$482,$A41)*C5</f>
        <v>455.13125134935552</v>
      </c>
      <c r="M41" s="138">
        <f>SUMIFS('Resultater - Østdanmark'!J$3:J$482,'Resultater - Østdanmark'!$F$3:$F$482,$A41)*D5</f>
        <v>578.47871789484259</v>
      </c>
      <c r="N41" s="139">
        <f>VLOOKUP(I41,[1]Biogasudbytte!$A$2:$C$18,3,FALSE)</f>
        <v>6.3E-2</v>
      </c>
      <c r="O41" s="140">
        <f t="shared" si="12"/>
        <v>13.1</v>
      </c>
    </row>
    <row r="42" spans="1:15" hidden="1" x14ac:dyDescent="0.2">
      <c r="A42" s="129" t="str">
        <f t="shared" si="10"/>
        <v>Spildevandsslam</v>
      </c>
      <c r="B42" s="129" t="s">
        <v>145</v>
      </c>
      <c r="C42" s="138">
        <f>SUMIFS('Resultater - Vestdanmark'!H$3:H$482,'Resultater - Vestdanmark'!$F$3:$F$482,$A42)*B6</f>
        <v>1460182.5874658169</v>
      </c>
      <c r="D42" s="138">
        <f>SUMIFS('Resultater - Vestdanmark'!I$3:I$482,'Resultater - Vestdanmark'!$F$3:$F$482,$A42)*C6</f>
        <v>1986955.49875235</v>
      </c>
      <c r="E42" s="138">
        <f>SUMIFS('Resultater - Vestdanmark'!J$3:J$482,'Resultater - Vestdanmark'!$F$3:$F$482,$A42)*D6</f>
        <v>3297466.0782270324</v>
      </c>
      <c r="F42" s="139">
        <f>VLOOKUP(A42,[1]Biogasudbytte!$A$2:$C$18,3,FALSE)</f>
        <v>0.06</v>
      </c>
      <c r="G42" s="140">
        <f t="shared" si="11"/>
        <v>13.9</v>
      </c>
      <c r="I42" s="129" t="str">
        <f t="shared" si="13"/>
        <v>Spildevandsslam</v>
      </c>
      <c r="J42" s="129" t="s">
        <v>145</v>
      </c>
      <c r="K42" s="138">
        <f>SUMIFS('Resultater - Østdanmark'!H$3:H$482,'Resultater - Østdanmark'!$F$3:$F$482,$A42)*B6</f>
        <v>1208651.4125341829</v>
      </c>
      <c r="L42" s="138">
        <f>SUMIFS('Resultater - Østdanmark'!I$3:I$482,'Resultater - Østdanmark'!$F$3:$F$482,$A42)*C6</f>
        <v>1672027.0453821167</v>
      </c>
      <c r="M42" s="138">
        <f>SUMIFS('Resultater - Østdanmark'!J$3:J$482,'Resultater - Østdanmark'!$F$3:$F$482,$A42)*D6</f>
        <v>2800225.1934703197</v>
      </c>
      <c r="N42" s="139">
        <f>VLOOKUP(I42,[1]Biogasudbytte!$A$2:$C$18,3,FALSE)</f>
        <v>0.06</v>
      </c>
      <c r="O42" s="140">
        <f t="shared" si="12"/>
        <v>13.9</v>
      </c>
    </row>
    <row r="43" spans="1:15" hidden="1" x14ac:dyDescent="0.2">
      <c r="A43" s="129" t="str">
        <f t="shared" si="10"/>
        <v>Dybstrøelse</v>
      </c>
      <c r="B43" s="129" t="s">
        <v>145</v>
      </c>
      <c r="C43" s="138">
        <f>SUMIFS('Resultater - Vestdanmark'!H$3:H$482,'Resultater - Vestdanmark'!$F$3:$F$482,$A43)*B7</f>
        <v>671194.67155029252</v>
      </c>
      <c r="D43" s="138">
        <f>SUMIFS('Resultater - Vestdanmark'!I$3:I$482,'Resultater - Vestdanmark'!$F$3:$F$482,$A43)*C7</f>
        <v>1989694.3638441348</v>
      </c>
      <c r="E43" s="138">
        <f>SUMIFS('Resultater - Vestdanmark'!J$3:J$482,'Resultater - Vestdanmark'!$F$3:$F$482,$A43)*D7</f>
        <v>2222382.1821508608</v>
      </c>
      <c r="F43" s="139">
        <f>VLOOKUP(A43,[1]Biogasudbytte!$A$2:$C$18,3,FALSE)</f>
        <v>0.3</v>
      </c>
      <c r="G43" s="140">
        <f t="shared" si="11"/>
        <v>60</v>
      </c>
      <c r="I43" s="129" t="str">
        <f t="shared" si="13"/>
        <v>Dybstrøelse</v>
      </c>
      <c r="J43" s="129" t="s">
        <v>145</v>
      </c>
      <c r="K43" s="138">
        <f>SUMIFS('Resultater - Østdanmark'!H$3:H$482,'Resultater - Østdanmark'!$F$3:$F$482,$A43)*B7</f>
        <v>85892.328449707566</v>
      </c>
      <c r="L43" s="138">
        <f>SUMIFS('Resultater - Østdanmark'!I$3:I$482,'Resultater - Østdanmark'!$F$3:$F$482,$A43)*C7</f>
        <v>268541.33219413611</v>
      </c>
      <c r="M43" s="138">
        <f>SUMIFS('Resultater - Østdanmark'!J$3:J$482,'Resultater - Østdanmark'!$F$3:$F$482,$A43)*D7</f>
        <v>301646.48561279994</v>
      </c>
      <c r="N43" s="139">
        <f>VLOOKUP(I43,[1]Biogasudbytte!$A$2:$C$18,3,FALSE)</f>
        <v>0.3</v>
      </c>
      <c r="O43" s="140">
        <f t="shared" si="12"/>
        <v>60</v>
      </c>
    </row>
    <row r="44" spans="1:15" hidden="1" x14ac:dyDescent="0.2">
      <c r="A44" s="130" t="str">
        <f t="shared" si="10"/>
        <v>Brun saft</v>
      </c>
      <c r="B44" s="129" t="s">
        <v>145</v>
      </c>
      <c r="C44" s="138">
        <f>SUMIFS('Resultater - Vestdanmark'!H$3:H$482,'Resultater - Vestdanmark'!$F$3:$F$482,$A44)*B8</f>
        <v>0</v>
      </c>
      <c r="D44" s="138">
        <f>SUMIFS('Resultater - Vestdanmark'!I$3:I$482,'Resultater - Vestdanmark'!$F$3:$F$482,$A44)*C8</f>
        <v>3691.1998628894726</v>
      </c>
      <c r="E44" s="138">
        <f>SUMIFS('Resultater - Vestdanmark'!J$3:J$482,'Resultater - Vestdanmark'!$F$3:$F$482,$A44)*D8</f>
        <v>5905.9197806231568</v>
      </c>
      <c r="F44" s="139">
        <f>VLOOKUP(A44,[1]Biogasudbytte!$A$2:$C$18,3,FALSE)</f>
        <v>4.2763387558472386E-2</v>
      </c>
      <c r="G44" s="140">
        <f t="shared" si="11"/>
        <v>15.822453396634783</v>
      </c>
      <c r="I44" s="130" t="str">
        <f t="shared" si="13"/>
        <v>Brun saft</v>
      </c>
      <c r="J44" s="129" t="s">
        <v>145</v>
      </c>
      <c r="K44" s="138">
        <f>SUMIFS('Resultater - Østdanmark'!H$3:H$482,'Resultater - Østdanmark'!$F$3:$F$482,$A44)*B8</f>
        <v>0</v>
      </c>
      <c r="L44" s="138">
        <f>SUMIFS('Resultater - Østdanmark'!I$3:I$482,'Resultater - Østdanmark'!$F$3:$F$482,$A44)*C8</f>
        <v>453.06209892036168</v>
      </c>
      <c r="M44" s="138">
        <f>SUMIFS('Resultater - Østdanmark'!J$3:J$482,'Resultater - Østdanmark'!$F$3:$F$482,$A44)*D8</f>
        <v>724.89935827257864</v>
      </c>
      <c r="N44" s="139">
        <f>VLOOKUP(I44,[1]Biogasudbytte!$A$2:$C$18,3,FALSE)</f>
        <v>4.2763387558472386E-2</v>
      </c>
      <c r="O44" s="140">
        <f t="shared" si="12"/>
        <v>15.822453396634783</v>
      </c>
    </row>
    <row r="45" spans="1:15" hidden="1" x14ac:dyDescent="0.2">
      <c r="A45" s="129" t="str">
        <f t="shared" si="10"/>
        <v>Bioaffald</v>
      </c>
      <c r="B45" s="129" t="s">
        <v>145</v>
      </c>
      <c r="C45" s="138">
        <f ca="1">SUMIFS('Resultater - Vestdanmark'!H$3:H$482,'Resultater - Vestdanmark'!$F$3:$F$482,$A45)/SUMIFS('Resultater - Danmark'!H$3:H$482,'Resultater - Danmark'!$F$3:$F$482,$A45)*C18</f>
        <v>393543.64426779439</v>
      </c>
      <c r="D45" s="138">
        <f ca="1">SUMIFS('Resultater - Vestdanmark'!I$3:I$482,'Resultater - Vestdanmark'!$F$3:$F$482,$A45)/SUMIFS('Resultater - Danmark'!I$3:I$482,'Resultater - Danmark'!$F$3:$F$482,$A45)*D18</f>
        <v>195082.24112879002</v>
      </c>
      <c r="E45" s="138">
        <f ca="1">SUMIFS('Resultater - Vestdanmark'!J$3:J$482,'Resultater - Vestdanmark'!$F$3:$F$482,$A45)/SUMIFS('Resultater - Danmark'!J$3:J$482,'Resultater - Danmark'!$F$3:$F$482,$A45)*E18</f>
        <v>197484.23354298095</v>
      </c>
      <c r="F45" s="139">
        <f>VLOOKUP(A45,[1]Biogasudbytte!$A$2:$C$18,3,FALSE)</f>
        <v>0.28000000000000003</v>
      </c>
      <c r="G45" s="140">
        <f t="shared" si="11"/>
        <v>85.410000000000011</v>
      </c>
      <c r="I45" s="129" t="str">
        <f t="shared" si="13"/>
        <v>Bioaffald</v>
      </c>
      <c r="J45" s="129" t="s">
        <v>145</v>
      </c>
      <c r="K45" s="138">
        <f ca="1">SUMIFS('Resultater - Østdanmark'!H$3:H$482,'Resultater - Østdanmark'!$F$3:$F$482,$A45)/SUMIFS('Resultater - Danmark'!H$3:H$482,'Resultater - Danmark'!$F$3:$F$482,$A45)*C18</f>
        <v>335590.35573220561</v>
      </c>
      <c r="L45" s="138">
        <f ca="1">SUMIFS('Resultater - Østdanmark'!I$3:I$482,'Resultater - Østdanmark'!$F$3:$F$482,$A45)/SUMIFS('Resultater - Danmark'!I$3:I$482,'Resultater - Danmark'!$F$3:$F$482,$A45)*D18</f>
        <v>168912.75887120995</v>
      </c>
      <c r="M45" s="138">
        <f ca="1">SUMIFS('Resultater - Østdanmark'!J$3:J$482,'Resultater - Østdanmark'!$F$3:$F$482,$A45)/SUMIFS('Resultater - Danmark'!J$3:J$482,'Resultater - Danmark'!$F$3:$F$482,$A45)*E18</f>
        <v>172292.76645701908</v>
      </c>
      <c r="N45" s="139">
        <f>VLOOKUP(I45,[1]Biogasudbytte!$A$2:$C$18,3,FALSE)</f>
        <v>0.28000000000000003</v>
      </c>
      <c r="O45" s="140">
        <f t="shared" si="12"/>
        <v>85.410000000000011</v>
      </c>
    </row>
    <row r="46" spans="1:15" hidden="1" x14ac:dyDescent="0.2">
      <c r="A46" s="129" t="str">
        <f t="shared" si="10"/>
        <v>Industriaffald</v>
      </c>
      <c r="B46" s="129" t="s">
        <v>145</v>
      </c>
      <c r="C46" s="138">
        <f>SUMIFS('Resultater - Vestdanmark'!H$3:H$482,'Resultater - Vestdanmark'!$F$3:$F$482,$A46)/SUMIFS('Resultater - Danmark'!H$3:H$482,'Resultater - Danmark'!$F$3:$F$482,$A46)*C19</f>
        <v>716103.75203569303</v>
      </c>
      <c r="D46" s="138">
        <f>SUMIFS('Resultater - Vestdanmark'!I$3:I$482,'Resultater - Vestdanmark'!$F$3:$F$482,$A46)/SUMIFS('Resultater - Danmark'!I$3:I$482,'Resultater - Danmark'!$F$3:$F$482,$A46)*D19</f>
        <v>523057.13098607323</v>
      </c>
      <c r="E46" s="138">
        <f>SUMIFS('Resultater - Vestdanmark'!J$3:J$482,'Resultater - Vestdanmark'!$F$3:$F$482,$A46)/SUMIFS('Resultater - Danmark'!J$3:J$482,'Resultater - Danmark'!$F$3:$F$482,$A46)*E19</f>
        <v>519697.15308066551</v>
      </c>
      <c r="F46" s="139">
        <f>VLOOKUP(A46,[1]Biogasudbytte!$A$2:$C$18,3,FALSE)</f>
        <v>0.42</v>
      </c>
      <c r="G46" s="140">
        <f t="shared" si="11"/>
        <v>108.63000000000001</v>
      </c>
      <c r="I46" s="129" t="str">
        <f t="shared" si="13"/>
        <v>Industriaffald</v>
      </c>
      <c r="J46" s="129" t="s">
        <v>145</v>
      </c>
      <c r="K46" s="138">
        <f>SUMIFS('Resultater - Østdanmark'!H$3:H$482,'Resultater - Østdanmark'!$F$3:$F$482,$A46)/SUMIFS('Resultater - Danmark'!H$3:H$482,'Resultater - Danmark'!$F$3:$F$482,$A46)*C19</f>
        <v>279550.24796430691</v>
      </c>
      <c r="L46" s="138">
        <f>SUMIFS('Resultater - Østdanmark'!I$3:I$482,'Resultater - Østdanmark'!$F$3:$F$482,$A46)/SUMIFS('Resultater - Danmark'!I$3:I$482,'Resultater - Danmark'!$F$3:$F$482,$A46)*D19</f>
        <v>202910.8690139266</v>
      </c>
      <c r="M46" s="138">
        <f>SUMIFS('Resultater - Østdanmark'!J$3:J$482,'Resultater - Østdanmark'!$F$3:$F$482,$A46)/SUMIFS('Resultater - Danmark'!J$3:J$482,'Resultater - Danmark'!$F$3:$F$482,$A46)*E19</f>
        <v>203334.8469193347</v>
      </c>
      <c r="N46" s="139">
        <f>VLOOKUP(I46,[1]Biogasudbytte!$A$2:$C$18,3,FALSE)</f>
        <v>0.42</v>
      </c>
      <c r="O46" s="140">
        <f t="shared" si="12"/>
        <v>108.63000000000001</v>
      </c>
    </row>
    <row r="47" spans="1:15" hidden="1" x14ac:dyDescent="0.2">
      <c r="A47" s="129" t="str">
        <f t="shared" si="10"/>
        <v>Halm</v>
      </c>
      <c r="B47" s="129" t="s">
        <v>145</v>
      </c>
      <c r="C47" s="138">
        <f>SUMIFS('Resultater - Vestdanmark'!H$3:H$482,'Resultater - Vestdanmark'!$F$3:$F$482,$A47)/SUMIFS('Resultater - Danmark'!H$3:H$482,'Resultater - Danmark'!$F$3:$F$482,$A47)*C20</f>
        <v>53138.892747161146</v>
      </c>
      <c r="D47" s="138">
        <f>SUMIFS('Resultater - Vestdanmark'!I$3:I$482,'Resultater - Vestdanmark'!$F$3:$F$482,$A47)/SUMIFS('Resultater - Danmark'!I$3:I$482,'Resultater - Danmark'!$F$3:$F$482,$A47)*D20</f>
        <v>0</v>
      </c>
      <c r="E47" s="138">
        <f>SUMIFS('Resultater - Vestdanmark'!J$3:J$482,'Resultater - Vestdanmark'!$F$3:$F$482,$A47)/SUMIFS('Resultater - Danmark'!J$3:J$482,'Resultater - Danmark'!$F$3:$F$482,$A47)*E20</f>
        <v>0</v>
      </c>
      <c r="F47" s="139">
        <f>VLOOKUP(A47,[1]Biogasudbytte!$A$2:$C$18,3,FALSE)</f>
        <v>0.85</v>
      </c>
      <c r="G47" s="140">
        <f t="shared" si="11"/>
        <v>160.6</v>
      </c>
      <c r="I47" s="129" t="str">
        <f t="shared" si="13"/>
        <v>Halm</v>
      </c>
      <c r="J47" s="129" t="s">
        <v>145</v>
      </c>
      <c r="K47" s="138">
        <f>SUMIFS('Resultater - Østdanmark'!H$3:H$482,'Resultater - Østdanmark'!$F$3:$F$482,$A47)/SUMIFS('Resultater - Danmark'!H$3:H$482,'Resultater - Danmark'!$F$3:$F$482,$A47)*C20</f>
        <v>22795.107252838847</v>
      </c>
      <c r="L47" s="138">
        <f>SUMIFS('Resultater - Østdanmark'!I$3:I$482,'Resultater - Østdanmark'!$F$3:$F$482,$A47)/SUMIFS('Resultater - Danmark'!I$3:I$482,'Resultater - Danmark'!$F$3:$F$482,$A47)*D20</f>
        <v>0</v>
      </c>
      <c r="M47" s="138">
        <f>SUMIFS('Resultater - Østdanmark'!J$3:J$482,'Resultater - Østdanmark'!$F$3:$F$482,$A47)/SUMIFS('Resultater - Danmark'!J$3:J$482,'Resultater - Danmark'!$F$3:$F$482,$A47)*E20</f>
        <v>0</v>
      </c>
      <c r="N47" s="139">
        <f>VLOOKUP(I47,[1]Biogasudbytte!$A$2:$C$18,3,FALSE)</f>
        <v>0.85</v>
      </c>
      <c r="O47" s="140">
        <f t="shared" si="12"/>
        <v>160.6</v>
      </c>
    </row>
    <row r="48" spans="1:15" hidden="1" x14ac:dyDescent="0.2">
      <c r="A48" s="129" t="str">
        <f t="shared" si="10"/>
        <v>Korn</v>
      </c>
      <c r="B48" s="129" t="s">
        <v>145</v>
      </c>
      <c r="C48" s="138">
        <f>SUMIFS('Resultater - Vestdanmark'!H$3:H$482,'Resultater - Vestdanmark'!$F$3:$F$482,$A48)/SUMIFS('Resultater - Danmark'!H$3:H$482,'Resultater - Danmark'!$F$3:$F$482,$A48)*C21</f>
        <v>2840.1853290986264</v>
      </c>
      <c r="D48" s="138">
        <f>SUMIFS('Resultater - Vestdanmark'!I$3:I$482,'Resultater - Vestdanmark'!$F$3:$F$482,$A48)/SUMIFS('Resultater - Danmark'!I$3:I$482,'Resultater - Danmark'!$F$3:$F$482,$A48)*D21</f>
        <v>0</v>
      </c>
      <c r="E48" s="138">
        <f>SUMIFS('Resultater - Vestdanmark'!J$3:J$482,'Resultater - Vestdanmark'!$F$3:$F$482,$A48)/SUMIFS('Resultater - Danmark'!J$3:J$482,'Resultater - Danmark'!$F$3:$F$482,$A48)*E21</f>
        <v>0</v>
      </c>
      <c r="F48" s="139">
        <f>VLOOKUP(A48,[1]Biogasudbytte!$A$2:$C$18,3,FALSE)</f>
        <v>0.31</v>
      </c>
      <c r="G48" s="140">
        <f t="shared" si="11"/>
        <v>95.4</v>
      </c>
      <c r="I48" s="129" t="str">
        <f t="shared" si="13"/>
        <v>Korn</v>
      </c>
      <c r="J48" s="129" t="s">
        <v>145</v>
      </c>
      <c r="K48" s="138">
        <f>SUMIFS('Resultater - Østdanmark'!H$3:H$482,'Resultater - Østdanmark'!$F$3:$F$482,$A48)/SUMIFS('Resultater - Danmark'!H$3:H$482,'Resultater - Danmark'!$F$3:$F$482,$A48)*C21</f>
        <v>945.81467090137289</v>
      </c>
      <c r="L48" s="138">
        <f>SUMIFS('Resultater - Østdanmark'!I$3:I$482,'Resultater - Østdanmark'!$F$3:$F$482,$A48)/SUMIFS('Resultater - Danmark'!I$3:I$482,'Resultater - Danmark'!$F$3:$F$482,$A48)*D21</f>
        <v>0</v>
      </c>
      <c r="M48" s="138">
        <f>SUMIFS('Resultater - Østdanmark'!J$3:J$482,'Resultater - Østdanmark'!$F$3:$F$482,$A48)/SUMIFS('Resultater - Danmark'!J$3:J$482,'Resultater - Danmark'!$F$3:$F$482,$A48)*E21</f>
        <v>0</v>
      </c>
      <c r="N48" s="139">
        <f>VLOOKUP(I48,[1]Biogasudbytte!$A$2:$C$18,3,FALSE)</f>
        <v>0.31</v>
      </c>
      <c r="O48" s="140">
        <f t="shared" si="12"/>
        <v>95.4</v>
      </c>
    </row>
    <row r="49" spans="1:15" hidden="1" x14ac:dyDescent="0.2">
      <c r="A49" s="129" t="str">
        <f t="shared" si="10"/>
        <v>Græs</v>
      </c>
      <c r="B49" s="129" t="s">
        <v>145</v>
      </c>
      <c r="C49" s="138">
        <f>SUMIFS('Resultater - Vestdanmark'!H$3:H$482,'Resultater - Vestdanmark'!$F$3:$F$482,$A49)/SUMIFS('Resultater - Danmark'!H$3:H$482,'Resultater - Danmark'!$F$3:$F$482,$A49)*C22</f>
        <v>75746.163899662715</v>
      </c>
      <c r="D49" s="138">
        <f>SUMIFS('Resultater - Vestdanmark'!I$3:I$482,'Resultater - Vestdanmark'!$F$3:$F$482,$A49)/SUMIFS('Resultater - Danmark'!I$3:I$482,'Resultater - Danmark'!$F$3:$F$482,$A49)*D22</f>
        <v>0</v>
      </c>
      <c r="E49" s="138">
        <f>SUMIFS('Resultater - Vestdanmark'!J$3:J$482,'Resultater - Vestdanmark'!$F$3:$F$482,$A49)/SUMIFS('Resultater - Danmark'!J$3:J$482,'Resultater - Danmark'!$F$3:$F$482,$A49)*E22</f>
        <v>0</v>
      </c>
      <c r="F49" s="139">
        <f>VLOOKUP(A49,[1]Biogasudbytte!$A$2:$C$18,3,FALSE)</f>
        <v>0.28000000000000003</v>
      </c>
      <c r="G49" s="140">
        <f t="shared" si="11"/>
        <v>51.25</v>
      </c>
      <c r="I49" s="129" t="str">
        <f t="shared" si="13"/>
        <v>Græs</v>
      </c>
      <c r="J49" s="129" t="s">
        <v>145</v>
      </c>
      <c r="K49" s="138">
        <f>SUMIFS('Resultater - Østdanmark'!H$3:H$482,'Resultater - Østdanmark'!$F$3:$F$482,$A49)/SUMIFS('Resultater - Danmark'!H$3:H$482,'Resultater - Danmark'!$F$3:$F$482,$A49)*C22</f>
        <v>9930.836100337272</v>
      </c>
      <c r="L49" s="138">
        <f>SUMIFS('Resultater - Østdanmark'!I$3:I$482,'Resultater - Østdanmark'!$F$3:$F$482,$A49)/SUMIFS('Resultater - Danmark'!I$3:I$482,'Resultater - Danmark'!$F$3:$F$482,$A49)*D22</f>
        <v>0</v>
      </c>
      <c r="M49" s="138">
        <f>SUMIFS('Resultater - Østdanmark'!J$3:J$482,'Resultater - Østdanmark'!$F$3:$F$482,$A49)/SUMIFS('Resultater - Danmark'!J$3:J$482,'Resultater - Danmark'!$F$3:$F$482,$A49)*E22</f>
        <v>0</v>
      </c>
      <c r="N49" s="139">
        <f>VLOOKUP(I49,[1]Biogasudbytte!$A$2:$C$18,3,FALSE)</f>
        <v>0.28000000000000003</v>
      </c>
      <c r="O49" s="140">
        <f t="shared" si="12"/>
        <v>51.25</v>
      </c>
    </row>
    <row r="50" spans="1:15" hidden="1" x14ac:dyDescent="0.2">
      <c r="A50" s="129" t="str">
        <f t="shared" si="10"/>
        <v>Majs</v>
      </c>
      <c r="B50" s="129" t="s">
        <v>145</v>
      </c>
      <c r="C50" s="138">
        <f>SUMIFS('Resultater - Vestdanmark'!H$3:H$482,'Resultater - Vestdanmark'!$F$3:$F$482,$A50)/SUMIFS('Resultater - Danmark'!H$3:H$482,'Resultater - Danmark'!$F$3:$F$482,$A50)*C23</f>
        <v>314821.43493156106</v>
      </c>
      <c r="D50" s="138">
        <f>SUMIFS('Resultater - Vestdanmark'!I$3:I$482,'Resultater - Vestdanmark'!$F$3:$F$482,$A50)/SUMIFS('Resultater - Danmark'!I$3:I$482,'Resultater - Danmark'!$F$3:$F$482,$A50)*D23</f>
        <v>0</v>
      </c>
      <c r="E50" s="138">
        <f>SUMIFS('Resultater - Vestdanmark'!J$3:J$482,'Resultater - Vestdanmark'!$F$3:$F$482,$A50)/SUMIFS('Resultater - Danmark'!J$3:J$482,'Resultater - Danmark'!$F$3:$F$482,$A50)*E23</f>
        <v>0</v>
      </c>
      <c r="F50" s="139">
        <f>VLOOKUP(A50,[1]Biogasudbytte!$A$2:$C$18,3,FALSE)</f>
        <v>0.3</v>
      </c>
      <c r="G50" s="140">
        <f t="shared" si="11"/>
        <v>100</v>
      </c>
      <c r="I50" s="129" t="str">
        <f t="shared" si="13"/>
        <v>Majs</v>
      </c>
      <c r="J50" s="129" t="s">
        <v>145</v>
      </c>
      <c r="K50" s="138">
        <f>SUMIFS('Resultater - Østdanmark'!H$3:H$482,'Resultater - Østdanmark'!$F$3:$F$482,$A50)/SUMIFS('Resultater - Danmark'!H$3:H$482,'Resultater - Danmark'!$F$3:$F$482,$A50)*C23</f>
        <v>15204.565068438918</v>
      </c>
      <c r="L50" s="138">
        <f>SUMIFS('Resultater - Østdanmark'!I$3:I$482,'Resultater - Østdanmark'!$F$3:$F$482,$A50)/SUMIFS('Resultater - Danmark'!I$3:I$482,'Resultater - Danmark'!$F$3:$F$482,$A50)*D23</f>
        <v>0</v>
      </c>
      <c r="M50" s="138">
        <f>SUMIFS('Resultater - Østdanmark'!J$3:J$482,'Resultater - Østdanmark'!$F$3:$F$482,$A50)/SUMIFS('Resultater - Danmark'!J$3:J$482,'Resultater - Danmark'!$F$3:$F$482,$A50)*E23</f>
        <v>0</v>
      </c>
      <c r="N50" s="139">
        <f>VLOOKUP(I50,[1]Biogasudbytte!$A$2:$C$18,3,FALSE)</f>
        <v>0.3</v>
      </c>
      <c r="O50" s="140">
        <f t="shared" si="12"/>
        <v>100</v>
      </c>
    </row>
    <row r="51" spans="1:15" hidden="1" x14ac:dyDescent="0.2">
      <c r="A51" s="129" t="str">
        <f t="shared" si="10"/>
        <v>Roer</v>
      </c>
      <c r="B51" s="129" t="s">
        <v>145</v>
      </c>
      <c r="C51" s="138">
        <f>SUMIFS('Resultater - Vestdanmark'!H$3:H$482,'Resultater - Vestdanmark'!$F$3:$F$482,$A51)/SUMIFS('Resultater - Danmark'!H$3:H$482,'Resultater - Danmark'!$F$3:$F$482,$A51)*C24</f>
        <v>4101.0489241972273</v>
      </c>
      <c r="D51" s="138">
        <f>SUMIFS('Resultater - Vestdanmark'!I$3:I$482,'Resultater - Vestdanmark'!$F$3:$F$482,$A51)/SUMIFS('Resultater - Danmark'!I$3:I$482,'Resultater - Danmark'!$F$3:$F$482,$A51)*D24</f>
        <v>0</v>
      </c>
      <c r="E51" s="138">
        <f>SUMIFS('Resultater - Vestdanmark'!J$3:J$482,'Resultater - Vestdanmark'!$F$3:$F$482,$A51)/SUMIFS('Resultater - Danmark'!J$3:J$482,'Resultater - Danmark'!$F$3:$F$482,$A51)*E24</f>
        <v>0</v>
      </c>
      <c r="F51" s="139">
        <f>VLOOKUP(A51,[1]Biogasudbytte!$A$2:$C$18,3,FALSE)</f>
        <v>0.2</v>
      </c>
      <c r="G51" s="140">
        <f t="shared" si="11"/>
        <v>75.599999999999994</v>
      </c>
      <c r="I51" s="129" t="str">
        <f t="shared" si="13"/>
        <v>Roer</v>
      </c>
      <c r="J51" s="129" t="s">
        <v>145</v>
      </c>
      <c r="K51" s="138">
        <f>SUMIFS('Resultater - Østdanmark'!H$3:H$482,'Resultater - Østdanmark'!$F$3:$F$482,$A51)/SUMIFS('Resultater - Danmark'!H$3:H$482,'Resultater - Danmark'!$F$3:$F$482,$A51)*C24</f>
        <v>24543.951075802775</v>
      </c>
      <c r="L51" s="138">
        <f>SUMIFS('Resultater - Østdanmark'!I$3:I$482,'Resultater - Østdanmark'!$F$3:$F$482,$A51)/SUMIFS('Resultater - Danmark'!I$3:I$482,'Resultater - Danmark'!$F$3:$F$482,$A51)*D24</f>
        <v>0</v>
      </c>
      <c r="M51" s="138">
        <f>SUMIFS('Resultater - Østdanmark'!J$3:J$482,'Resultater - Østdanmark'!$F$3:$F$482,$A51)/SUMIFS('Resultater - Danmark'!J$3:J$482,'Resultater - Danmark'!$F$3:$F$482,$A51)*E24</f>
        <v>0</v>
      </c>
      <c r="N51" s="139">
        <f>VLOOKUP(I51,[1]Biogasudbytte!$A$2:$C$18,3,FALSE)</f>
        <v>0.2</v>
      </c>
      <c r="O51" s="140">
        <f t="shared" si="12"/>
        <v>75.599999999999994</v>
      </c>
    </row>
    <row r="52" spans="1:15" hidden="1" x14ac:dyDescent="0.2">
      <c r="A52" s="129" t="str">
        <f t="shared" si="10"/>
        <v>Have/parkaffald</v>
      </c>
      <c r="B52" s="129" t="s">
        <v>145</v>
      </c>
      <c r="C52" s="138">
        <f>SUMIFS('Resultater - Vestdanmark'!H$3:H$482,'Resultater - Vestdanmark'!$F$3:$F$482,$A52)/SUMIFS('Resultater - Danmark'!H$3:H$482,'Resultater - Danmark'!$F$3:$F$482,$A52)*C25</f>
        <v>42.099811904105366</v>
      </c>
      <c r="D52" s="138">
        <f>SUMIFS('Resultater - Vestdanmark'!I$3:I$482,'Resultater - Vestdanmark'!$F$3:$F$482,$A52)/SUMIFS('Resultater - Danmark'!I$3:I$482,'Resultater - Danmark'!$F$3:$F$482,$A52)*D25</f>
        <v>267973.79239933251</v>
      </c>
      <c r="E52" s="138">
        <f>SUMIFS('Resultater - Vestdanmark'!J$3:J$482,'Resultater - Vestdanmark'!$F$3:$F$482,$A52)/SUMIFS('Resultater - Danmark'!J$3:J$482,'Resultater - Danmark'!$F$3:$F$482,$A52)*E25</f>
        <v>267031.5264916165</v>
      </c>
      <c r="F52" s="139">
        <f>VLOOKUP(A52,[1]Biogasudbytte!$A$2:$C$18,3,FALSE)</f>
        <v>0.3</v>
      </c>
      <c r="G52" s="140">
        <f t="shared" si="11"/>
        <v>47.3</v>
      </c>
      <c r="I52" s="129" t="str">
        <f t="shared" si="13"/>
        <v>Have/parkaffald</v>
      </c>
      <c r="J52" s="129" t="s">
        <v>145</v>
      </c>
      <c r="K52" s="138">
        <f>SUMIFS('Resultater - Østdanmark'!H$3:H$482,'Resultater - Østdanmark'!$F$3:$F$482,$A52)/SUMIFS('Resultater - Danmark'!H$3:H$482,'Resultater - Danmark'!$F$3:$F$482,$A52)*C25</f>
        <v>35.900188095894634</v>
      </c>
      <c r="L52" s="138">
        <f>SUMIFS('Resultater - Østdanmark'!I$3:I$482,'Resultater - Østdanmark'!$F$3:$F$482,$A52)/SUMIFS('Resultater - Danmark'!I$3:I$482,'Resultater - Danmark'!$F$3:$F$482,$A52)*D25</f>
        <v>232026.20760066749</v>
      </c>
      <c r="M52" s="138">
        <f>SUMIFS('Resultater - Østdanmark'!J$3:J$482,'Resultater - Østdanmark'!$F$3:$F$482,$A52)/SUMIFS('Resultater - Danmark'!J$3:J$482,'Resultater - Danmark'!$F$3:$F$482,$A52)*E25</f>
        <v>232968.47350838353</v>
      </c>
      <c r="N52" s="139">
        <f>VLOOKUP(I52,[1]Biogasudbytte!$A$2:$C$18,3,FALSE)</f>
        <v>0.3</v>
      </c>
      <c r="O52" s="140">
        <f t="shared" si="12"/>
        <v>47.3</v>
      </c>
    </row>
    <row r="53" spans="1:15" hidden="1" x14ac:dyDescent="0.2">
      <c r="A53" s="130" t="str">
        <f t="shared" si="10"/>
        <v>Glycerin</v>
      </c>
      <c r="B53" s="130" t="s">
        <v>145</v>
      </c>
      <c r="C53" s="138">
        <f>C26*$B$36</f>
        <v>114193.60000000001</v>
      </c>
      <c r="D53" s="138">
        <f>D26*$B$36</f>
        <v>114193.60000000001</v>
      </c>
      <c r="E53" s="138">
        <f>E26*$B$36</f>
        <v>114193.60000000001</v>
      </c>
      <c r="F53" s="139">
        <f>VLOOKUP(A53,[1]Biogasudbytte!$A$2:$C$18,3,FALSE)</f>
        <v>0.9</v>
      </c>
      <c r="G53" s="140">
        <f t="shared" si="11"/>
        <v>423.36</v>
      </c>
      <c r="I53" s="130" t="str">
        <f t="shared" si="13"/>
        <v>Glycerin</v>
      </c>
      <c r="J53" s="130" t="s">
        <v>145</v>
      </c>
      <c r="K53" s="138">
        <f>C26*$C$36</f>
        <v>28548.400000000001</v>
      </c>
      <c r="L53" s="138">
        <f>D26*$C$36</f>
        <v>28548.400000000001</v>
      </c>
      <c r="M53" s="138">
        <f>E26*$C$36</f>
        <v>28548.400000000001</v>
      </c>
      <c r="N53" s="139">
        <f>VLOOKUP(I53,[1]Biogasudbytte!$A$2:$C$18,3,FALSE)</f>
        <v>0.9</v>
      </c>
      <c r="O53" s="140">
        <f t="shared" si="12"/>
        <v>423.36</v>
      </c>
    </row>
    <row r="54" spans="1:15" hidden="1" x14ac:dyDescent="0.2">
      <c r="A54" s="129" t="str">
        <f t="shared" si="10"/>
        <v>Muslinger</v>
      </c>
      <c r="B54" s="129" t="s">
        <v>145</v>
      </c>
      <c r="C54" s="138">
        <f>SUMIFS('Resultater - Vestdanmark'!H$3:H$482,'Resultater - Vestdanmark'!$F$3:$F$482,$A54)/SUMIFS('Resultater - Danmark'!H$3:H$482,'Resultater - Danmark'!$F$3:$F$482,$A54)*C27</f>
        <v>0</v>
      </c>
      <c r="D54" s="138">
        <f>SUMIFS('Resultater - Vestdanmark'!I$3:I$482,'Resultater - Vestdanmark'!$F$3:$F$482,$A54)/SUMIFS('Resultater - Danmark'!I$3:I$482,'Resultater - Danmark'!$F$3:$F$482,$A54)*D27</f>
        <v>0</v>
      </c>
      <c r="E54" s="138">
        <f>SUMIFS('Resultater - Vestdanmark'!J$3:J$482,'Resultater - Vestdanmark'!$F$3:$F$482,$A54)/SUMIFS('Resultater - Danmark'!J$3:J$482,'Resultater - Danmark'!$F$3:$F$482,$A54)*E27</f>
        <v>0</v>
      </c>
      <c r="F54" s="139">
        <f>VLOOKUP(A54,[1]Biogasudbytte!$A$2:$C$18,3,FALSE)</f>
        <v>0.15</v>
      </c>
      <c r="G54" s="140">
        <f t="shared" si="11"/>
        <v>25</v>
      </c>
      <c r="I54" s="129" t="str">
        <f t="shared" si="13"/>
        <v>Muslinger</v>
      </c>
      <c r="J54" s="129" t="s">
        <v>145</v>
      </c>
      <c r="K54" s="138">
        <f>SUMIFS('Resultater - Østdanmark'!H$3:H$482,'Resultater - Østdanmark'!$F$3:$F$482,$A54)/SUMIFS('Resultater - Danmark'!H$3:H$482,'Resultater - Danmark'!$F$3:$F$482,$A54)*C27</f>
        <v>0</v>
      </c>
      <c r="L54" s="138">
        <f>SUMIFS('Resultater - Østdanmark'!I$3:I$482,'Resultater - Østdanmark'!$F$3:$F$482,$A54)/SUMIFS('Resultater - Danmark'!I$3:I$482,'Resultater - Danmark'!$F$3:$F$482,$A54)*D27</f>
        <v>0</v>
      </c>
      <c r="M54" s="138">
        <f>SUMIFS('Resultater - Østdanmark'!J$3:J$482,'Resultater - Østdanmark'!$F$3:$F$482,$A54)/SUMIFS('Resultater - Danmark'!J$3:J$482,'Resultater - Danmark'!$F$3:$F$482,$A54)*E27</f>
        <v>0</v>
      </c>
      <c r="N54" s="139">
        <f>VLOOKUP(I54,[1]Biogasudbytte!$A$2:$C$18,3,FALSE)</f>
        <v>0.15</v>
      </c>
      <c r="O54" s="140">
        <f t="shared" si="12"/>
        <v>25</v>
      </c>
    </row>
    <row r="55" spans="1:15" ht="12.75" hidden="1" thickBot="1" x14ac:dyDescent="0.25">
      <c r="A55" s="144" t="str">
        <f t="shared" si="10"/>
        <v>Tang</v>
      </c>
      <c r="B55" s="144" t="s">
        <v>145</v>
      </c>
      <c r="C55" s="181">
        <f>SUMIFS('Resultater - Vestdanmark'!H$3:H$482,'Resultater - Vestdanmark'!$F$3:$F$482,$A55)/SUMIFS('Resultater - Danmark'!H$3:H$482,'Resultater - Danmark'!$F$3:$F$482,$A55)*C28</f>
        <v>0</v>
      </c>
      <c r="D55" s="181">
        <f>SUMIFS('Resultater - Vestdanmark'!I$3:I$482,'Resultater - Vestdanmark'!$F$3:$F$482,$A55)/SUMIFS('Resultater - Danmark'!I$3:I$482,'Resultater - Danmark'!$F$3:$F$482,$A55)*D28</f>
        <v>0</v>
      </c>
      <c r="E55" s="181">
        <f>SUMIFS('Resultater - Vestdanmark'!J$3:J$482,'Resultater - Vestdanmark'!$F$3:$F$482,$A55)/SUMIFS('Resultater - Danmark'!J$3:J$482,'Resultater - Danmark'!$F$3:$F$482,$A55)*E28</f>
        <v>0</v>
      </c>
      <c r="F55" s="145">
        <f>VLOOKUP(A55,[1]Biogasudbytte!$A$2:$C$18,3,FALSE)</f>
        <v>0.15</v>
      </c>
      <c r="G55" s="146">
        <f t="shared" si="11"/>
        <v>25</v>
      </c>
      <c r="I55" s="144" t="str">
        <f t="shared" si="13"/>
        <v>Tang</v>
      </c>
      <c r="J55" s="144" t="s">
        <v>145</v>
      </c>
      <c r="K55" s="181">
        <f>SUMIFS('Resultater - Østdanmark'!H$3:H$482,'Resultater - Østdanmark'!$F$3:$F$482,$A55)/SUMIFS('Resultater - Danmark'!H$3:H$482,'Resultater - Danmark'!$F$3:$F$482,$A55)*C28</f>
        <v>0</v>
      </c>
      <c r="L55" s="181">
        <f>SUMIFS('Resultater - Østdanmark'!I$3:I$482,'Resultater - Østdanmark'!$F$3:$F$482,$A55)/SUMIFS('Resultater - Danmark'!I$3:I$482,'Resultater - Danmark'!$F$3:$F$482,$A55)*D28</f>
        <v>0</v>
      </c>
      <c r="M55" s="181">
        <f>SUMIFS('Resultater - Østdanmark'!J$3:J$482,'Resultater - Østdanmark'!$F$3:$F$482,$A55)/SUMIFS('Resultater - Danmark'!J$3:J$482,'Resultater - Danmark'!$F$3:$F$482,$A55)*E28</f>
        <v>0</v>
      </c>
      <c r="N55" s="145">
        <f>VLOOKUP(I55,[1]Biogasudbytte!$A$2:$C$18,3,FALSE)</f>
        <v>0.15</v>
      </c>
      <c r="O55" s="146">
        <f t="shared" si="12"/>
        <v>25</v>
      </c>
    </row>
    <row r="56" spans="1:15" hidden="1" x14ac:dyDescent="0.2">
      <c r="A56" s="127" t="s">
        <v>106</v>
      </c>
      <c r="B56" s="127" t="s">
        <v>145</v>
      </c>
      <c r="C56" s="147">
        <f ca="1">SUM(C39:C55)</f>
        <v>10411318.566934858</v>
      </c>
      <c r="D56" s="147">
        <f ca="1">SUM(D39:D55)</f>
        <v>24752169.663899567</v>
      </c>
      <c r="E56" s="147">
        <f ca="1">SUM(E39:E55)</f>
        <v>28365211.734755274</v>
      </c>
      <c r="F56" s="148"/>
      <c r="G56" s="148"/>
      <c r="I56" s="127" t="s">
        <v>106</v>
      </c>
      <c r="J56" s="127" t="s">
        <v>145</v>
      </c>
      <c r="K56" s="147">
        <f ca="1">SUM(K39:K55)</f>
        <v>2679098.9330651397</v>
      </c>
      <c r="L56" s="147">
        <f ca="1">SUM(L39:L55)</f>
        <v>4694989.472366496</v>
      </c>
      <c r="M56" s="147">
        <f ca="1">SUM(M39:M55)</f>
        <v>6137402.6227398328</v>
      </c>
      <c r="N56" s="148"/>
      <c r="O56" s="148"/>
    </row>
    <row r="57" spans="1:15" hidden="1" x14ac:dyDescent="0.2">
      <c r="A57" s="150" t="s">
        <v>126</v>
      </c>
      <c r="C57" s="151">
        <f ca="1">SUMPRODUCT(C39:C55,$F$39:$F$55)/C56</f>
        <v>0.13459375485410555</v>
      </c>
      <c r="D57" s="151">
        <f ca="1">SUMPRODUCT(D39:D55,$F$39:$F$55)/D56</f>
        <v>9.7525081769196331E-2</v>
      </c>
      <c r="E57" s="151">
        <f ca="1">SUMPRODUCT(E39:E55,$F$39:$F$55)/E56</f>
        <v>9.4245933997038678E-2</v>
      </c>
      <c r="I57" s="150" t="s">
        <v>126</v>
      </c>
      <c r="K57" s="151">
        <f ca="1">SUMPRODUCT(K39:K55,$N$39:$N$55)/K56</f>
        <v>0.15233293996365566</v>
      </c>
      <c r="L57" s="151">
        <f ca="1">SUMPRODUCT(L39:L55,$N$39:$N$55)/L56</f>
        <v>0.11353415813966242</v>
      </c>
      <c r="M57" s="151">
        <f ca="1">SUMPRODUCT(M39:M55,$N$39:$N$55)/M56</f>
        <v>0.10207624603993158</v>
      </c>
    </row>
    <row r="58" spans="1:15" hidden="1" x14ac:dyDescent="0.2">
      <c r="A58" s="150" t="s">
        <v>167</v>
      </c>
      <c r="C58" s="151">
        <f ca="1">SUM(C48:C51)/C56</f>
        <v>3.8180450490388568E-2</v>
      </c>
      <c r="D58" s="151">
        <f ca="1">SUM(D48:D51)/D56</f>
        <v>0</v>
      </c>
      <c r="E58" s="151">
        <f ca="1">SUM(E48:E51)/E56</f>
        <v>0</v>
      </c>
      <c r="I58" s="150" t="s">
        <v>167</v>
      </c>
      <c r="K58" s="151">
        <f ca="1">SUM(K48:K51)/K56</f>
        <v>1.8896340963997331E-2</v>
      </c>
      <c r="L58" s="151">
        <f ca="1">SUM(L48:L51)/L56</f>
        <v>0</v>
      </c>
      <c r="M58" s="151">
        <f ca="1">SUM(M48:M51)/M56</f>
        <v>0</v>
      </c>
    </row>
    <row r="59" spans="1:15" hidden="1" x14ac:dyDescent="0.2">
      <c r="A59" s="127" t="s">
        <v>148</v>
      </c>
      <c r="B59" s="127" t="s">
        <v>149</v>
      </c>
      <c r="C59" s="127">
        <f ca="1">SUMPRODUCT(C39:C55,$I$12:$I$28)</f>
        <v>352607214.55648887</v>
      </c>
      <c r="D59" s="127">
        <f ca="1">SUMPRODUCT(D39:D55,$I$12:$I$28)</f>
        <v>538346468.17502034</v>
      </c>
      <c r="E59" s="127">
        <f ca="1">SUMPRODUCT(E39:E55,$I$12:$I$28)</f>
        <v>595864256.47199035</v>
      </c>
      <c r="I59" s="127" t="s">
        <v>148</v>
      </c>
      <c r="J59" s="127" t="s">
        <v>149</v>
      </c>
      <c r="K59" s="127">
        <f ca="1">SUMPRODUCT(K39:K55,$I$12:$I$28)</f>
        <v>109319364.52351122</v>
      </c>
      <c r="L59" s="127">
        <f ca="1">SUMPRODUCT(L39:L55,$I$12:$I$28)</f>
        <v>125823070.82650797</v>
      </c>
      <c r="M59" s="127">
        <f ca="1">SUMPRODUCT(M39:M55,$I$12:$I$28)</f>
        <v>147236075.81607157</v>
      </c>
    </row>
    <row r="60" spans="1:15" hidden="1" x14ac:dyDescent="0.2">
      <c r="A60" s="127" t="s">
        <v>148</v>
      </c>
      <c r="B60" s="127" t="s">
        <v>125</v>
      </c>
      <c r="C60" s="127">
        <f ca="1">C59*[1]Energiindhold!$C$10</f>
        <v>12.658599002577953</v>
      </c>
      <c r="D60" s="127">
        <f ca="1">D59*[1]Energiindhold!$C$10</f>
        <v>19.326638207483231</v>
      </c>
      <c r="E60" s="127">
        <f ca="1">E59*[1]Energiindhold!$C$10</f>
        <v>21.391526807344455</v>
      </c>
      <c r="I60" s="127" t="s">
        <v>148</v>
      </c>
      <c r="J60" s="127" t="s">
        <v>125</v>
      </c>
      <c r="K60" s="127">
        <f ca="1">K59*[1]Energiindhold!$C$10</f>
        <v>3.9245651863940529</v>
      </c>
      <c r="L60" s="127">
        <f ca="1">L59*[1]Energiindhold!$C$10</f>
        <v>4.5170482426716365</v>
      </c>
      <c r="M60" s="127">
        <f ca="1">M59*[1]Energiindhold!$C$10</f>
        <v>5.28577512179697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D4" sqref="D4"/>
    </sheetView>
  </sheetViews>
  <sheetFormatPr defaultColWidth="9.140625" defaultRowHeight="15" x14ac:dyDescent="0.25"/>
  <cols>
    <col min="1" max="1" width="20" style="1" customWidth="1"/>
    <col min="2" max="2" width="9.140625" style="1"/>
    <col min="3" max="4" width="13.7109375" style="1" bestFit="1" customWidth="1"/>
    <col min="5" max="16384" width="9.140625" style="1"/>
  </cols>
  <sheetData>
    <row r="1" spans="1:5" x14ac:dyDescent="0.25">
      <c r="A1" s="236" t="s">
        <v>295</v>
      </c>
    </row>
    <row r="2" spans="1:5" ht="15.75" x14ac:dyDescent="0.25">
      <c r="A2" s="233" t="s">
        <v>338</v>
      </c>
    </row>
    <row r="3" spans="1:5" x14ac:dyDescent="0.25">
      <c r="A3" s="2" t="s">
        <v>145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69</v>
      </c>
      <c r="B4" s="110">
        <v>0</v>
      </c>
      <c r="C4" s="333">
        <f>1380000-220000+35000</f>
        <v>1195000</v>
      </c>
      <c r="D4" s="333">
        <f>1350000-220000+57000</f>
        <v>1187000</v>
      </c>
    </row>
    <row r="5" spans="1:5" x14ac:dyDescent="0.25">
      <c r="A5" s="329"/>
    </row>
    <row r="6" spans="1:5" x14ac:dyDescent="0.25">
      <c r="A6" s="329"/>
    </row>
    <row r="7" spans="1:5" ht="15.75" x14ac:dyDescent="0.25">
      <c r="A7" s="233" t="s">
        <v>322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7"/>
      <c r="C10" s="3">
        <v>0</v>
      </c>
      <c r="D10" s="3">
        <v>0</v>
      </c>
      <c r="E10" s="1" t="s">
        <v>259</v>
      </c>
    </row>
    <row r="11" spans="1:5" x14ac:dyDescent="0.25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25">
      <c r="A16" s="2" t="s">
        <v>262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0">
        <f>SUMIFS('Forbrug af biomasse'!$E$2:$E$403,'Forbrug af biomasse'!$D$2:$D$403,'Forbrug til andet'!B$16,'Forbrug af biomasse'!$C$2:$C$403,'Forbrug til andet'!$A17,'Forbrug af biomasse'!$A$2:$A$403,"Materialer")</f>
        <v>0</v>
      </c>
      <c r="C17" s="110">
        <f>SUMIFS('Forbrug af biomasse'!$E$2:$E$403,'Forbrug af biomasse'!$D$2:$D$403,'Forbrug til andet'!C$16,'Forbrug af biomasse'!$C$2:$C$403,'Forbrug til andet'!$A17,'Forbrug af biomasse'!$A$2:$A$403,"Materialer")</f>
        <v>0</v>
      </c>
      <c r="D17" s="110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0">
        <f>SUMIFS('Forbrug af biomasse'!$E$2:$E$403,'Forbrug af biomasse'!$D$2:$D$403,'Forbrug til andet'!B$16,'Forbrug af biomasse'!$C$2:$C$403,'Forbrug til andet'!$A18,'Forbrug af biomasse'!$A$2:$A$403,"Materialer")</f>
        <v>0</v>
      </c>
      <c r="C18" s="110">
        <f>SUMIFS('Forbrug af biomasse'!$E$2:$E$403,'Forbrug af biomasse'!$D$2:$D$403,'Forbrug til andet'!C$16,'Forbrug af biomasse'!$C$2:$C$403,'Forbrug til andet'!$A18,'Forbrug af biomasse'!$A$2:$A$403,"Materialer")</f>
        <v>0</v>
      </c>
      <c r="D18" s="110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0">
        <f>SUMIFS('Forbrug af biomasse'!$E$2:$E$403,'Forbrug af biomasse'!$D$2:$D$403,'Forbrug til andet'!B$16,'Forbrug af biomasse'!$C$2:$C$403,'Forbrug til andet'!$A19,'Forbrug af biomasse'!$A$2:$A$403,"Materialer")</f>
        <v>0</v>
      </c>
      <c r="C19" s="110">
        <f>SUMIFS('Forbrug af biomasse'!$E$2:$E$403,'Forbrug af biomasse'!$D$2:$D$403,'Forbrug til andet'!C$16,'Forbrug af biomasse'!$C$2:$C$403,'Forbrug til andet'!$A19,'Forbrug af biomasse'!$A$2:$A$403,"Materialer")</f>
        <v>0</v>
      </c>
      <c r="D19" s="110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0">
        <f>SUMIFS('Forbrug af biomasse'!$E$2:$E$403,'Forbrug af biomasse'!$D$2:$D$403,'Forbrug til andet'!B$16,'Forbrug af biomasse'!$C$2:$C$403,'Forbrug til andet'!$A20,'Forbrug af biomasse'!$A$2:$A$403,"Materialer")</f>
        <v>0</v>
      </c>
      <c r="C20" s="110">
        <f>SUMIFS('Forbrug af biomasse'!$E$2:$E$403,'Forbrug af biomasse'!$D$2:$D$403,'Forbrug til andet'!C$16,'Forbrug af biomasse'!$C$2:$C$403,'Forbrug til andet'!$A20,'Forbrug af biomasse'!$A$2:$A$403,"Materialer")</f>
        <v>0</v>
      </c>
      <c r="D20" s="110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0">
        <f>SUMIFS('Forbrug af biomasse'!$E$2:$E$403,'Forbrug af biomasse'!$D$2:$D$403,'Forbrug til andet'!B$16,'Forbrug af biomasse'!$C$2:$C$403,'Forbrug til andet'!$A21,'Forbrug af biomasse'!$A$2:$A$403,"Materialer")</f>
        <v>0</v>
      </c>
      <c r="C21" s="110">
        <f>SUMIFS('Forbrug af biomasse'!$E$2:$E$403,'Forbrug af biomasse'!$D$2:$D$403,'Forbrug til andet'!C$16,'Forbrug af biomasse'!$C$2:$C$403,'Forbrug til andet'!$A21,'Forbrug af biomasse'!$A$2:$A$403,"Materialer")</f>
        <v>0</v>
      </c>
      <c r="D21" s="110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0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0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0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3"/>
  </cols>
  <sheetData>
    <row r="1" spans="1:1" x14ac:dyDescent="0.25">
      <c r="A1" s="6" t="s">
        <v>264</v>
      </c>
    </row>
    <row r="2" spans="1:1" x14ac:dyDescent="0.25">
      <c r="A2" s="93" t="s">
        <v>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G171" sqref="G171"/>
    </sheetView>
  </sheetViews>
  <sheetFormatPr defaultRowHeight="15" x14ac:dyDescent="0.25"/>
  <cols>
    <col min="6" max="6" width="21.28515625" customWidth="1"/>
  </cols>
  <sheetData>
    <row r="1" spans="1:9" x14ac:dyDescent="0.25">
      <c r="A1" s="96"/>
      <c r="B1" s="96"/>
      <c r="C1" s="96"/>
      <c r="D1" s="96"/>
      <c r="E1" s="96"/>
      <c r="F1" s="96"/>
      <c r="G1" s="96" t="s">
        <v>87</v>
      </c>
      <c r="H1" s="96"/>
      <c r="I1" s="96"/>
    </row>
    <row r="2" spans="1:9" x14ac:dyDescent="0.25">
      <c r="A2" s="96" t="s">
        <v>65</v>
      </c>
      <c r="B2" s="96" t="s">
        <v>58</v>
      </c>
      <c r="C2" s="96" t="s">
        <v>60</v>
      </c>
      <c r="D2" s="96" t="s">
        <v>64</v>
      </c>
      <c r="E2" s="96"/>
      <c r="F2" s="96" t="s">
        <v>99</v>
      </c>
      <c r="G2" s="96">
        <f>År1</f>
        <v>2019</v>
      </c>
      <c r="H2" s="96">
        <f>År2</f>
        <v>2030</v>
      </c>
      <c r="I2" s="96">
        <f>År3</f>
        <v>2050</v>
      </c>
    </row>
    <row r="3" spans="1:9" hidden="1" x14ac:dyDescent="0.25">
      <c r="A3" t="s">
        <v>24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7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7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623601.64762370673</v>
      </c>
      <c r="I3" s="97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582945.73538311059</v>
      </c>
    </row>
    <row r="4" spans="1:9" hidden="1" x14ac:dyDescent="0.25">
      <c r="A4" t="s">
        <v>24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7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7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40924.577321691744</v>
      </c>
      <c r="I4" s="97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38013.824730586261</v>
      </c>
    </row>
    <row r="5" spans="1:9" hidden="1" x14ac:dyDescent="0.25">
      <c r="A5" t="s">
        <v>24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7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7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68820.453158838543</v>
      </c>
      <c r="I5" s="97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63925.611832109302</v>
      </c>
    </row>
    <row r="6" spans="1:9" hidden="1" x14ac:dyDescent="0.25">
      <c r="A6" t="s">
        <v>24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7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7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139749.16893583816</v>
      </c>
      <c r="I6" s="97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136676.5701338283</v>
      </c>
    </row>
    <row r="7" spans="1:9" hidden="1" x14ac:dyDescent="0.25">
      <c r="A7" t="s">
        <v>24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7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7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5077.8752938785101</v>
      </c>
      <c r="I7" s="97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4716.7124026216434</v>
      </c>
    </row>
    <row r="8" spans="1:9" hidden="1" x14ac:dyDescent="0.25">
      <c r="A8" t="s">
        <v>24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7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7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-3871.2915336419205</v>
      </c>
      <c r="I8" s="97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-3595.9466773249751</v>
      </c>
    </row>
    <row r="9" spans="1:9" hidden="1" x14ac:dyDescent="0.25">
      <c r="A9" t="s">
        <v>24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7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7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2952.9863644105094</v>
      </c>
      <c r="I9" s="97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2742.955784396403</v>
      </c>
    </row>
    <row r="10" spans="1:9" hidden="1" x14ac:dyDescent="0.25">
      <c r="A10" t="s">
        <v>24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7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7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101123.85284779611</v>
      </c>
      <c r="I10" s="97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99213.772063429395</v>
      </c>
    </row>
    <row r="11" spans="1:9" hidden="1" x14ac:dyDescent="0.25">
      <c r="A11" t="s">
        <v>24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7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7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1858.178728641436</v>
      </c>
      <c r="I11" s="97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1726.0161284851893</v>
      </c>
    </row>
    <row r="12" spans="1:9" hidden="1" x14ac:dyDescent="0.25">
      <c r="A12" t="s">
        <v>24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7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7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10116.339515882988</v>
      </c>
      <c r="I12" s="97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9396.8168381801825</v>
      </c>
    </row>
    <row r="13" spans="1:9" hidden="1" x14ac:dyDescent="0.25">
      <c r="A13" t="s">
        <v>24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7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7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34569.580912712976</v>
      </c>
      <c r="I13" s="97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32110.826203430366</v>
      </c>
    </row>
    <row r="14" spans="1:9" hidden="1" x14ac:dyDescent="0.25">
      <c r="A14" t="s">
        <v>24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7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7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9319.7772503881351</v>
      </c>
      <c r="I14" s="97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8656.9099086718306</v>
      </c>
    </row>
    <row r="15" spans="1:9" hidden="1" x14ac:dyDescent="0.25">
      <c r="A15" t="s">
        <v>24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7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7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3428.1130965615221</v>
      </c>
      <c r="I15" s="97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3184.28922026384</v>
      </c>
    </row>
    <row r="16" spans="1:9" hidden="1" x14ac:dyDescent="0.25">
      <c r="A16" t="s">
        <v>24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7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7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99690.053010526652</v>
      </c>
      <c r="I16" s="97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76752.616746360844</v>
      </c>
    </row>
    <row r="17" spans="1:9" hidden="1" x14ac:dyDescent="0.25">
      <c r="A17" t="s">
        <v>24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7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7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0</v>
      </c>
      <c r="I17" s="97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0</v>
      </c>
    </row>
    <row r="18" spans="1:9" hidden="1" x14ac:dyDescent="0.25">
      <c r="A18" t="s">
        <v>24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7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7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0</v>
      </c>
      <c r="I18" s="97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0</v>
      </c>
    </row>
    <row r="19" spans="1:9" hidden="1" x14ac:dyDescent="0.25">
      <c r="A19" t="s">
        <v>24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7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7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0</v>
      </c>
      <c r="I19" s="97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0</v>
      </c>
    </row>
    <row r="20" spans="1:9" hidden="1" x14ac:dyDescent="0.25">
      <c r="A20" t="s">
        <v>24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7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7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0</v>
      </c>
      <c r="I20" s="97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0</v>
      </c>
    </row>
    <row r="21" spans="1:9" hidden="1" x14ac:dyDescent="0.25">
      <c r="A21" t="s">
        <v>24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7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7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0</v>
      </c>
      <c r="I21" s="97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0</v>
      </c>
    </row>
    <row r="22" spans="1:9" hidden="1" x14ac:dyDescent="0.25">
      <c r="A22" t="s">
        <v>24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7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7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0</v>
      </c>
      <c r="I22" s="97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0</v>
      </c>
    </row>
    <row r="23" spans="1:9" hidden="1" x14ac:dyDescent="0.25">
      <c r="A23" t="s">
        <v>24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7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7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0</v>
      </c>
      <c r="I23" s="97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0</v>
      </c>
    </row>
    <row r="24" spans="1:9" hidden="1" x14ac:dyDescent="0.25">
      <c r="A24" t="s">
        <v>24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7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7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0</v>
      </c>
      <c r="I24" s="97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0</v>
      </c>
    </row>
    <row r="25" spans="1:9" hidden="1" x14ac:dyDescent="0.25">
      <c r="A25" t="s">
        <v>24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7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7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0</v>
      </c>
      <c r="I25" s="97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0</v>
      </c>
    </row>
    <row r="26" spans="1:9" hidden="1" x14ac:dyDescent="0.25">
      <c r="A26" t="s">
        <v>24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7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7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0</v>
      </c>
      <c r="I26" s="97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0</v>
      </c>
    </row>
    <row r="27" spans="1:9" hidden="1" x14ac:dyDescent="0.25">
      <c r="A27" t="s">
        <v>24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7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7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0</v>
      </c>
      <c r="I27" s="97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0</v>
      </c>
    </row>
    <row r="28" spans="1:9" hidden="1" x14ac:dyDescent="0.25">
      <c r="A28" t="s">
        <v>24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7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7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0</v>
      </c>
      <c r="I28" s="97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0</v>
      </c>
    </row>
    <row r="29" spans="1:9" hidden="1" x14ac:dyDescent="0.25">
      <c r="A29" t="s">
        <v>24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7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7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0</v>
      </c>
      <c r="I29" s="97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0</v>
      </c>
    </row>
    <row r="30" spans="1:9" hidden="1" x14ac:dyDescent="0.25">
      <c r="A30" t="s">
        <v>24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7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7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0</v>
      </c>
      <c r="I30" s="97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0</v>
      </c>
    </row>
    <row r="31" spans="1:9" hidden="1" x14ac:dyDescent="0.25">
      <c r="A31" t="s">
        <v>24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7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7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0</v>
      </c>
      <c r="I31" s="97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0</v>
      </c>
    </row>
    <row r="32" spans="1:9" hidden="1" x14ac:dyDescent="0.25">
      <c r="A32" t="s">
        <v>24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7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7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0</v>
      </c>
      <c r="I32" s="97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0</v>
      </c>
    </row>
    <row r="33" spans="1:9" hidden="1" x14ac:dyDescent="0.25">
      <c r="A33" t="s">
        <v>24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7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7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0</v>
      </c>
      <c r="I33" s="97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0</v>
      </c>
    </row>
    <row r="34" spans="1:9" hidden="1" x14ac:dyDescent="0.25">
      <c r="A34" t="s">
        <v>24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7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7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0</v>
      </c>
      <c r="I34" s="97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0</v>
      </c>
    </row>
    <row r="35" spans="1:9" hidden="1" x14ac:dyDescent="0.25">
      <c r="A35" t="s">
        <v>24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7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7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0</v>
      </c>
      <c r="I35" s="97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0</v>
      </c>
    </row>
    <row r="36" spans="1:9" hidden="1" x14ac:dyDescent="0.25">
      <c r="A36" t="s">
        <v>24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7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7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0</v>
      </c>
      <c r="I36" s="97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0</v>
      </c>
    </row>
    <row r="37" spans="1:9" hidden="1" x14ac:dyDescent="0.25">
      <c r="A37" t="s">
        <v>24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7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7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0</v>
      </c>
      <c r="I37" s="97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0</v>
      </c>
    </row>
    <row r="38" spans="1:9" hidden="1" x14ac:dyDescent="0.25">
      <c r="A38" t="s">
        <v>24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7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7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0</v>
      </c>
      <c r="I38" s="97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0</v>
      </c>
    </row>
    <row r="39" spans="1:9" hidden="1" x14ac:dyDescent="0.25">
      <c r="A39" t="s">
        <v>24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7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7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0</v>
      </c>
      <c r="I39" s="97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0</v>
      </c>
    </row>
    <row r="40" spans="1:9" hidden="1" x14ac:dyDescent="0.25">
      <c r="A40" t="s">
        <v>24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7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7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0</v>
      </c>
      <c r="I40" s="97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0</v>
      </c>
    </row>
    <row r="41" spans="1:9" hidden="1" x14ac:dyDescent="0.25">
      <c r="A41" t="s">
        <v>24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7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7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0</v>
      </c>
      <c r="I41" s="97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0</v>
      </c>
    </row>
    <row r="42" spans="1:9" hidden="1" x14ac:dyDescent="0.25">
      <c r="A42" t="s">
        <v>24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7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7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0</v>
      </c>
      <c r="I42" s="97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0</v>
      </c>
    </row>
    <row r="43" spans="1:9" hidden="1" x14ac:dyDescent="0.25">
      <c r="A43" t="s">
        <v>24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7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7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0</v>
      </c>
      <c r="I43" s="97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0</v>
      </c>
    </row>
    <row r="44" spans="1:9" hidden="1" x14ac:dyDescent="0.25">
      <c r="A44" t="s">
        <v>24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7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7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0</v>
      </c>
      <c r="I44" s="97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0</v>
      </c>
    </row>
    <row r="45" spans="1:9" hidden="1" x14ac:dyDescent="0.25">
      <c r="A45" t="s">
        <v>24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7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7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97325.112634913778</v>
      </c>
      <c r="I45" s="97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123655.15599035678</v>
      </c>
    </row>
    <row r="46" spans="1:9" hidden="1" x14ac:dyDescent="0.25">
      <c r="A46" t="s">
        <v>24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7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7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6387.072761188886</v>
      </c>
      <c r="I46" s="97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8063.5385792152683</v>
      </c>
    </row>
    <row r="47" spans="1:9" hidden="1" x14ac:dyDescent="0.25">
      <c r="A47" t="s">
        <v>24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7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7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10740.764365830293</v>
      </c>
      <c r="I47" s="97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13559.978267417126</v>
      </c>
    </row>
    <row r="48" spans="1:9" hidden="1" x14ac:dyDescent="0.25">
      <c r="A48" t="s">
        <v>24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7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7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21810.563937963179</v>
      </c>
      <c r="I48" s="97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28991.999725357517</v>
      </c>
    </row>
    <row r="49" spans="1:9" hidden="1" x14ac:dyDescent="0.25">
      <c r="A49" t="s">
        <v>24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7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7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792.50076840878489</v>
      </c>
      <c r="I49" s="97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1000.5147520712576</v>
      </c>
    </row>
    <row r="50" spans="1:9" hidden="1" x14ac:dyDescent="0.25">
      <c r="A50" t="s">
        <v>24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7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7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-604.19000814064668</v>
      </c>
      <c r="I50" s="97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-762.77656791741902</v>
      </c>
    </row>
    <row r="51" spans="1:9" hidden="1" x14ac:dyDescent="0.25">
      <c r="A51" t="s">
        <v>24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7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7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460.87070427216048</v>
      </c>
      <c r="I51" s="97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581.8391057810552</v>
      </c>
    </row>
    <row r="52" spans="1:9" hidden="1" x14ac:dyDescent="0.25">
      <c r="A52" t="s">
        <v>24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7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7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15782.335415551994</v>
      </c>
      <c r="I52" s="97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21045.345589212295</v>
      </c>
    </row>
    <row r="53" spans="1:9" hidden="1" x14ac:dyDescent="0.25">
      <c r="A53" t="s">
        <v>24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7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7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290.00477267814318</v>
      </c>
      <c r="I53" s="97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366.12463331504017</v>
      </c>
    </row>
    <row r="54" spans="1:9" hidden="1" x14ac:dyDescent="0.25">
      <c r="A54" t="s">
        <v>24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7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7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1578.8506758892527</v>
      </c>
      <c r="I54" s="97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1993.2641777957963</v>
      </c>
    </row>
    <row r="55" spans="1:9" hidden="1" x14ac:dyDescent="0.25">
      <c r="A55" t="s">
        <v>24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7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7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5395.2525123887299</v>
      </c>
      <c r="I55" s="97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6811.3873764852287</v>
      </c>
    </row>
    <row r="56" spans="1:9" hidden="1" x14ac:dyDescent="0.25">
      <c r="A56" t="s">
        <v>24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7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7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1454.5317095981484</v>
      </c>
      <c r="I56" s="97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1836.3142230516003</v>
      </c>
    </row>
    <row r="57" spans="1:9" hidden="1" x14ac:dyDescent="0.25">
      <c r="A57" t="s">
        <v>24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7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7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535.02343125526659</v>
      </c>
      <c r="I57" s="97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675.4552891468752</v>
      </c>
    </row>
    <row r="58" spans="1:9" hidden="1" x14ac:dyDescent="0.25">
      <c r="A58" t="s">
        <v>24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7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7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15558.563186613987</v>
      </c>
      <c r="I58" s="97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16280.858097712908</v>
      </c>
    </row>
    <row r="59" spans="1:9" hidden="1" x14ac:dyDescent="0.25">
      <c r="A59" t="s">
        <v>24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7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7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0</v>
      </c>
      <c r="I59" s="97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0</v>
      </c>
    </row>
    <row r="60" spans="1:9" hidden="1" x14ac:dyDescent="0.25">
      <c r="A60" t="s">
        <v>24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7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7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0</v>
      </c>
      <c r="I60" s="97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0</v>
      </c>
    </row>
    <row r="61" spans="1:9" hidden="1" x14ac:dyDescent="0.25">
      <c r="A61" t="s">
        <v>24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7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7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0</v>
      </c>
      <c r="I61" s="97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0</v>
      </c>
    </row>
    <row r="62" spans="1:9" hidden="1" x14ac:dyDescent="0.25">
      <c r="A62" t="s">
        <v>24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7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7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0</v>
      </c>
      <c r="I62" s="97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0</v>
      </c>
    </row>
    <row r="63" spans="1:9" hidden="1" x14ac:dyDescent="0.25">
      <c r="A63" t="s">
        <v>24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7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7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0</v>
      </c>
      <c r="I63" s="97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0</v>
      </c>
    </row>
    <row r="64" spans="1:9" hidden="1" x14ac:dyDescent="0.25">
      <c r="A64" t="s">
        <v>24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7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7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0</v>
      </c>
      <c r="I64" s="97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0</v>
      </c>
    </row>
    <row r="65" spans="1:9" hidden="1" x14ac:dyDescent="0.25">
      <c r="A65" t="s">
        <v>24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7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7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0</v>
      </c>
      <c r="I65" s="97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0</v>
      </c>
    </row>
    <row r="66" spans="1:9" hidden="1" x14ac:dyDescent="0.25">
      <c r="A66" t="s">
        <v>24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7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7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0</v>
      </c>
      <c r="I66" s="97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0</v>
      </c>
    </row>
    <row r="67" spans="1:9" hidden="1" x14ac:dyDescent="0.25">
      <c r="A67" t="s">
        <v>24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7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7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0</v>
      </c>
      <c r="I67" s="97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0</v>
      </c>
    </row>
    <row r="68" spans="1:9" hidden="1" x14ac:dyDescent="0.25">
      <c r="A68" t="s">
        <v>24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7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7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0</v>
      </c>
      <c r="I68" s="97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0</v>
      </c>
    </row>
    <row r="69" spans="1:9" hidden="1" x14ac:dyDescent="0.25">
      <c r="A69" t="s">
        <v>24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7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7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0</v>
      </c>
      <c r="I69" s="97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0</v>
      </c>
    </row>
    <row r="70" spans="1:9" hidden="1" x14ac:dyDescent="0.25">
      <c r="A70" t="s">
        <v>24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7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7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0</v>
      </c>
      <c r="I70" s="97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0</v>
      </c>
    </row>
    <row r="71" spans="1:9" hidden="1" x14ac:dyDescent="0.25">
      <c r="A71" t="s">
        <v>24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7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7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0</v>
      </c>
      <c r="I71" s="97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0</v>
      </c>
    </row>
    <row r="72" spans="1:9" hidden="1" x14ac:dyDescent="0.25">
      <c r="A72" t="s">
        <v>24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7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7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0</v>
      </c>
      <c r="I72" s="97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0</v>
      </c>
    </row>
    <row r="73" spans="1:9" hidden="1" x14ac:dyDescent="0.25">
      <c r="A73" t="s">
        <v>24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7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7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0</v>
      </c>
      <c r="I73" s="97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0</v>
      </c>
    </row>
    <row r="74" spans="1:9" hidden="1" x14ac:dyDescent="0.25">
      <c r="A74" t="s">
        <v>24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7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7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0</v>
      </c>
      <c r="I74" s="97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0</v>
      </c>
    </row>
    <row r="75" spans="1:9" hidden="1" x14ac:dyDescent="0.25">
      <c r="A75" t="s">
        <v>24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7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7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0</v>
      </c>
      <c r="I75" s="97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0</v>
      </c>
    </row>
    <row r="76" spans="1:9" hidden="1" x14ac:dyDescent="0.25">
      <c r="A76" t="s">
        <v>24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7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7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0</v>
      </c>
      <c r="I76" s="97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0</v>
      </c>
    </row>
    <row r="77" spans="1:9" hidden="1" x14ac:dyDescent="0.25">
      <c r="A77" t="s">
        <v>24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7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7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0</v>
      </c>
      <c r="I77" s="97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0</v>
      </c>
    </row>
    <row r="78" spans="1:9" hidden="1" x14ac:dyDescent="0.25">
      <c r="A78" t="s">
        <v>24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7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7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0</v>
      </c>
      <c r="I78" s="97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0</v>
      </c>
    </row>
    <row r="79" spans="1:9" hidden="1" x14ac:dyDescent="0.25">
      <c r="A79" t="s">
        <v>24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7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7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0</v>
      </c>
      <c r="I79" s="97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0</v>
      </c>
    </row>
    <row r="80" spans="1:9" hidden="1" x14ac:dyDescent="0.25">
      <c r="A80" t="s">
        <v>24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7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7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0</v>
      </c>
      <c r="I80" s="97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0</v>
      </c>
    </row>
    <row r="81" spans="1:9" hidden="1" x14ac:dyDescent="0.25">
      <c r="A81" t="s">
        <v>24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7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7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0</v>
      </c>
      <c r="I81" s="97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0</v>
      </c>
    </row>
    <row r="82" spans="1:9" hidden="1" x14ac:dyDescent="0.25">
      <c r="A82" t="s">
        <v>24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7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7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0</v>
      </c>
      <c r="I82" s="97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0</v>
      </c>
    </row>
    <row r="83" spans="1:9" hidden="1" x14ac:dyDescent="0.25">
      <c r="A83" t="s">
        <v>24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7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7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0</v>
      </c>
      <c r="I83" s="97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0</v>
      </c>
    </row>
    <row r="84" spans="1:9" hidden="1" x14ac:dyDescent="0.25">
      <c r="A84" t="s">
        <v>24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7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7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0</v>
      </c>
      <c r="I84" s="97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0</v>
      </c>
    </row>
    <row r="85" spans="1:9" hidden="1" x14ac:dyDescent="0.25">
      <c r="A85" t="s">
        <v>24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7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7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0</v>
      </c>
      <c r="I85" s="97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0</v>
      </c>
    </row>
    <row r="86" spans="1:9" hidden="1" x14ac:dyDescent="0.25">
      <c r="A86" t="s">
        <v>24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7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7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0</v>
      </c>
      <c r="I86" s="97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0</v>
      </c>
    </row>
    <row r="87" spans="1:9" hidden="1" x14ac:dyDescent="0.25">
      <c r="A87" t="s">
        <v>25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7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7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268590.48894564441</v>
      </c>
      <c r="I87" s="97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258307.22289273364</v>
      </c>
    </row>
    <row r="88" spans="1:9" hidden="1" x14ac:dyDescent="0.25">
      <c r="A88" t="s">
        <v>25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7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7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5574.0572839170763</v>
      </c>
      <c r="I88" s="97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5276.5714747282582</v>
      </c>
    </row>
    <row r="89" spans="1:9" hidden="1" x14ac:dyDescent="0.25">
      <c r="A89" t="s">
        <v>25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7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7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22519.293547348854</v>
      </c>
      <c r="I89" s="97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21317.445428094172</v>
      </c>
    </row>
    <row r="90" spans="1:9" hidden="1" x14ac:dyDescent="0.25">
      <c r="A90" t="s">
        <v>25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7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7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21481.174310929808</v>
      </c>
      <c r="I90" s="97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24386.060205130583</v>
      </c>
    </row>
    <row r="91" spans="1:9" hidden="1" x14ac:dyDescent="0.25">
      <c r="A91" t="s">
        <v>25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7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7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3366.1056333623883</v>
      </c>
      <c r="I91" s="97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3186.4575588718167</v>
      </c>
    </row>
    <row r="92" spans="1:9" hidden="1" x14ac:dyDescent="0.25">
      <c r="A92" t="s">
        <v>25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7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7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-2120.3732467518535</v>
      </c>
      <c r="I92" s="97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-2007.2095458849287</v>
      </c>
    </row>
    <row r="93" spans="1:9" hidden="1" x14ac:dyDescent="0.25">
      <c r="A93" t="s">
        <v>25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7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7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22447.91242805776</v>
      </c>
      <c r="I93" s="97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21249.873898290862</v>
      </c>
    </row>
    <row r="94" spans="1:9" hidden="1" x14ac:dyDescent="0.25">
      <c r="A94" t="s">
        <v>25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7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7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6349.1049959292022</v>
      </c>
      <c r="I94" s="97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6010.2551167238944</v>
      </c>
    </row>
    <row r="95" spans="1:9" hidden="1" x14ac:dyDescent="0.25">
      <c r="A95" t="s">
        <v>25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7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7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1477.3175726528953</v>
      </c>
      <c r="I95" s="97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1398.4735652908703</v>
      </c>
    </row>
    <row r="96" spans="1:9" hidden="1" x14ac:dyDescent="0.25">
      <c r="A96" t="s">
        <v>25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7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7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6269.0257103210697</v>
      </c>
      <c r="I96" s="97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5934.4496391993525</v>
      </c>
    </row>
    <row r="97" spans="1:9" hidden="1" x14ac:dyDescent="0.25">
      <c r="A97" t="s">
        <v>25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7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7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32637.564637558302</v>
      </c>
      <c r="I97" s="97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30895.707345533239</v>
      </c>
    </row>
    <row r="98" spans="1:9" hidden="1" x14ac:dyDescent="0.25">
      <c r="A98" t="s">
        <v>25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7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7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2314.9482294700565</v>
      </c>
      <c r="I98" s="97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2191.4001186063351</v>
      </c>
    </row>
    <row r="99" spans="1:9" hidden="1" x14ac:dyDescent="0.25">
      <c r="A99" t="s">
        <v>25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7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7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1100.3783407649707</v>
      </c>
      <c r="I99" s="97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1041.6514701135304</v>
      </c>
    </row>
    <row r="100" spans="1:9" hidden="1" x14ac:dyDescent="0.25">
      <c r="A100" t="s">
        <v>25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7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7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35966.829083562858</v>
      </c>
      <c r="I100" s="97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25944.630134419032</v>
      </c>
    </row>
    <row r="101" spans="1:9" hidden="1" x14ac:dyDescent="0.25">
      <c r="A101" t="s">
        <v>25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7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7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0</v>
      </c>
      <c r="I101" s="97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0</v>
      </c>
    </row>
    <row r="102" spans="1:9" hidden="1" x14ac:dyDescent="0.25">
      <c r="A102" t="s">
        <v>25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7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7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0</v>
      </c>
      <c r="I102" s="97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0</v>
      </c>
    </row>
    <row r="103" spans="1:9" hidden="1" x14ac:dyDescent="0.25">
      <c r="A103" t="s">
        <v>25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7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7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0</v>
      </c>
      <c r="I103" s="97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0</v>
      </c>
    </row>
    <row r="104" spans="1:9" hidden="1" x14ac:dyDescent="0.25">
      <c r="A104" t="s">
        <v>25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7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7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0</v>
      </c>
      <c r="I104" s="97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0</v>
      </c>
    </row>
    <row r="105" spans="1:9" hidden="1" x14ac:dyDescent="0.25">
      <c r="A105" t="s">
        <v>25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7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7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0</v>
      </c>
      <c r="I105" s="97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0</v>
      </c>
    </row>
    <row r="106" spans="1:9" hidden="1" x14ac:dyDescent="0.25">
      <c r="A106" t="s">
        <v>25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7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7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0</v>
      </c>
      <c r="I106" s="97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0</v>
      </c>
    </row>
    <row r="107" spans="1:9" hidden="1" x14ac:dyDescent="0.25">
      <c r="A107" t="s">
        <v>25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7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7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0</v>
      </c>
      <c r="I107" s="97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0</v>
      </c>
    </row>
    <row r="108" spans="1:9" hidden="1" x14ac:dyDescent="0.25">
      <c r="A108" t="s">
        <v>25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7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7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0</v>
      </c>
      <c r="I108" s="97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0</v>
      </c>
    </row>
    <row r="109" spans="1:9" hidden="1" x14ac:dyDescent="0.25">
      <c r="A109" t="s">
        <v>25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7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7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0</v>
      </c>
      <c r="I109" s="97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0</v>
      </c>
    </row>
    <row r="110" spans="1:9" hidden="1" x14ac:dyDescent="0.25">
      <c r="A110" t="s">
        <v>25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7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7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0</v>
      </c>
      <c r="I110" s="97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0</v>
      </c>
    </row>
    <row r="111" spans="1:9" hidden="1" x14ac:dyDescent="0.25">
      <c r="A111" t="s">
        <v>25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7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7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0</v>
      </c>
      <c r="I111" s="97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0</v>
      </c>
    </row>
    <row r="112" spans="1:9" hidden="1" x14ac:dyDescent="0.25">
      <c r="A112" t="s">
        <v>25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7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7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0</v>
      </c>
      <c r="I112" s="97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0</v>
      </c>
    </row>
    <row r="113" spans="1:9" hidden="1" x14ac:dyDescent="0.25">
      <c r="A113" t="s">
        <v>25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7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7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0</v>
      </c>
      <c r="I113" s="97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0</v>
      </c>
    </row>
    <row r="114" spans="1:9" hidden="1" x14ac:dyDescent="0.25">
      <c r="A114" t="s">
        <v>25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7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7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0</v>
      </c>
      <c r="I114" s="97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0</v>
      </c>
    </row>
    <row r="115" spans="1:9" hidden="1" x14ac:dyDescent="0.25">
      <c r="A115" t="s">
        <v>25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7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7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0</v>
      </c>
      <c r="I115" s="97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0</v>
      </c>
    </row>
    <row r="116" spans="1:9" hidden="1" x14ac:dyDescent="0.25">
      <c r="A116" t="s">
        <v>25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7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7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0</v>
      </c>
      <c r="I116" s="97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0</v>
      </c>
    </row>
    <row r="117" spans="1:9" hidden="1" x14ac:dyDescent="0.25">
      <c r="A117" t="s">
        <v>25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7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7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0</v>
      </c>
      <c r="I117" s="97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0</v>
      </c>
    </row>
    <row r="118" spans="1:9" hidden="1" x14ac:dyDescent="0.25">
      <c r="A118" t="s">
        <v>25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7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7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0</v>
      </c>
      <c r="I118" s="97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0</v>
      </c>
    </row>
    <row r="119" spans="1:9" hidden="1" x14ac:dyDescent="0.25">
      <c r="A119" t="s">
        <v>25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7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7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0</v>
      </c>
      <c r="I119" s="97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0</v>
      </c>
    </row>
    <row r="120" spans="1:9" hidden="1" x14ac:dyDescent="0.25">
      <c r="A120" t="s">
        <v>25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7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7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0</v>
      </c>
      <c r="I120" s="97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0</v>
      </c>
    </row>
    <row r="121" spans="1:9" hidden="1" x14ac:dyDescent="0.25">
      <c r="A121" t="s">
        <v>25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7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7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0</v>
      </c>
      <c r="I121" s="97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0</v>
      </c>
    </row>
    <row r="122" spans="1:9" hidden="1" x14ac:dyDescent="0.25">
      <c r="A122" t="s">
        <v>25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7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7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0</v>
      </c>
      <c r="I122" s="97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0</v>
      </c>
    </row>
    <row r="123" spans="1:9" hidden="1" x14ac:dyDescent="0.25">
      <c r="A123" t="s">
        <v>25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7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7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0</v>
      </c>
      <c r="I123" s="97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0</v>
      </c>
    </row>
    <row r="124" spans="1:9" hidden="1" x14ac:dyDescent="0.25">
      <c r="A124" t="s">
        <v>25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7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7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0</v>
      </c>
      <c r="I124" s="97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0</v>
      </c>
    </row>
    <row r="125" spans="1:9" hidden="1" x14ac:dyDescent="0.25">
      <c r="A125" t="s">
        <v>25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7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7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0</v>
      </c>
      <c r="I125" s="97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0</v>
      </c>
    </row>
    <row r="126" spans="1:9" hidden="1" x14ac:dyDescent="0.25">
      <c r="A126" t="s">
        <v>25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7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7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0</v>
      </c>
      <c r="I126" s="97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0</v>
      </c>
    </row>
    <row r="127" spans="1:9" hidden="1" x14ac:dyDescent="0.25">
      <c r="A127" t="s">
        <v>25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7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7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0</v>
      </c>
      <c r="I127" s="97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0</v>
      </c>
    </row>
    <row r="128" spans="1:9" hidden="1" x14ac:dyDescent="0.25">
      <c r="A128" t="s">
        <v>25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7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7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0</v>
      </c>
      <c r="I128" s="97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0</v>
      </c>
    </row>
    <row r="129" spans="1:9" hidden="1" x14ac:dyDescent="0.25">
      <c r="A129" t="s">
        <v>25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7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7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41918.746829667056</v>
      </c>
      <c r="I129" s="97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54792.441219670778</v>
      </c>
    </row>
    <row r="130" spans="1:9" hidden="1" x14ac:dyDescent="0.25">
      <c r="A130" t="s">
        <v>25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7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7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869.93957610266511</v>
      </c>
      <c r="I130" s="97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1119.27273706357</v>
      </c>
    </row>
    <row r="131" spans="1:9" hidden="1" x14ac:dyDescent="0.25">
      <c r="A131" t="s">
        <v>25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7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7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3514.5718253087812</v>
      </c>
      <c r="I131" s="97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4521.8823635351273</v>
      </c>
    </row>
    <row r="132" spans="1:9" hidden="1" x14ac:dyDescent="0.25">
      <c r="A132" t="s">
        <v>25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7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7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3352.5532161566757</v>
      </c>
      <c r="I132" s="97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5172.8006495731543</v>
      </c>
    </row>
    <row r="133" spans="1:9" hidden="1" x14ac:dyDescent="0.25">
      <c r="A133" t="s">
        <v>25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7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7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525.34596590048841</v>
      </c>
      <c r="I133" s="97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675.91523976068834</v>
      </c>
    </row>
    <row r="134" spans="1:9" hidden="1" x14ac:dyDescent="0.25">
      <c r="A134" t="s">
        <v>25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7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7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-330.92530440635869</v>
      </c>
      <c r="I134" s="97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-425.77172185437882</v>
      </c>
    </row>
    <row r="135" spans="1:9" hidden="1" x14ac:dyDescent="0.25">
      <c r="A135" t="s">
        <v>25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7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7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3503.4314194078588</v>
      </c>
      <c r="I135" s="97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4507.5490087283642</v>
      </c>
    </row>
    <row r="136" spans="1:9" hidden="1" x14ac:dyDescent="0.25">
      <c r="A136" t="s">
        <v>25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7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7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990.90077971149412</v>
      </c>
      <c r="I136" s="97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1274.9026005171897</v>
      </c>
    </row>
    <row r="137" spans="1:9" hidden="1" x14ac:dyDescent="0.25">
      <c r="A137" t="s">
        <v>25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7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7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230.56401422906458</v>
      </c>
      <c r="I137" s="97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296.64590778897252</v>
      </c>
    </row>
    <row r="138" spans="1:9" hidden="1" x14ac:dyDescent="0.25">
      <c r="A138" t="s">
        <v>25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7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7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978.40285652409761</v>
      </c>
      <c r="I138" s="97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1258.8226507392565</v>
      </c>
    </row>
    <row r="139" spans="1:9" hidden="1" x14ac:dyDescent="0.25">
      <c r="A139" t="s">
        <v>25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7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7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5093.7239607749952</v>
      </c>
      <c r="I139" s="97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6553.6348914767477</v>
      </c>
    </row>
    <row r="140" spans="1:9" hidden="1" x14ac:dyDescent="0.25">
      <c r="A140" t="s">
        <v>25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7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7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361.29249824099151</v>
      </c>
      <c r="I140" s="97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464.84244940134386</v>
      </c>
    </row>
    <row r="141" spans="1:9" hidden="1" x14ac:dyDescent="0.25">
      <c r="A141" t="s">
        <v>25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7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7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171.73534798066015</v>
      </c>
      <c r="I141" s="97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220.95637244832463</v>
      </c>
    </row>
    <row r="142" spans="1:9" hidden="1" x14ac:dyDescent="0.25">
      <c r="A142" t="s">
        <v>25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7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7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5613.320145989579</v>
      </c>
      <c r="I142" s="97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5503.4063921494917</v>
      </c>
    </row>
    <row r="143" spans="1:9" hidden="1" x14ac:dyDescent="0.25">
      <c r="A143" t="s">
        <v>25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7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7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0</v>
      </c>
      <c r="I143" s="97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0</v>
      </c>
    </row>
    <row r="144" spans="1:9" hidden="1" x14ac:dyDescent="0.25">
      <c r="A144" t="s">
        <v>25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7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7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0</v>
      </c>
      <c r="I144" s="97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0</v>
      </c>
    </row>
    <row r="145" spans="1:9" hidden="1" x14ac:dyDescent="0.25">
      <c r="A145" t="s">
        <v>25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7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7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0</v>
      </c>
      <c r="I145" s="97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0</v>
      </c>
    </row>
    <row r="146" spans="1:9" hidden="1" x14ac:dyDescent="0.25">
      <c r="A146" t="s">
        <v>25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7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7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0</v>
      </c>
      <c r="I146" s="97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0</v>
      </c>
    </row>
    <row r="147" spans="1:9" hidden="1" x14ac:dyDescent="0.25">
      <c r="A147" t="s">
        <v>25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7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7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0</v>
      </c>
      <c r="I147" s="97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0</v>
      </c>
    </row>
    <row r="148" spans="1:9" hidden="1" x14ac:dyDescent="0.25">
      <c r="A148" t="s">
        <v>25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7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7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0</v>
      </c>
      <c r="I148" s="97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0</v>
      </c>
    </row>
    <row r="149" spans="1:9" hidden="1" x14ac:dyDescent="0.25">
      <c r="A149" t="s">
        <v>25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7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7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0</v>
      </c>
      <c r="I149" s="97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0</v>
      </c>
    </row>
    <row r="150" spans="1:9" hidden="1" x14ac:dyDescent="0.25">
      <c r="A150" t="s">
        <v>25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7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7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0</v>
      </c>
      <c r="I150" s="97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0</v>
      </c>
    </row>
    <row r="151" spans="1:9" hidden="1" x14ac:dyDescent="0.25">
      <c r="A151" t="s">
        <v>25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7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7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0</v>
      </c>
      <c r="I151" s="97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0</v>
      </c>
    </row>
    <row r="152" spans="1:9" hidden="1" x14ac:dyDescent="0.25">
      <c r="A152" t="s">
        <v>25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7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7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0</v>
      </c>
      <c r="I152" s="97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0</v>
      </c>
    </row>
    <row r="153" spans="1:9" hidden="1" x14ac:dyDescent="0.25">
      <c r="A153" t="s">
        <v>25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7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7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0</v>
      </c>
      <c r="I153" s="97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0</v>
      </c>
    </row>
    <row r="154" spans="1:9" hidden="1" x14ac:dyDescent="0.25">
      <c r="A154" t="s">
        <v>25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7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7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0</v>
      </c>
      <c r="I154" s="97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0</v>
      </c>
    </row>
    <row r="155" spans="1:9" hidden="1" x14ac:dyDescent="0.25">
      <c r="A155" t="s">
        <v>25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7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7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0</v>
      </c>
      <c r="I155" s="97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0</v>
      </c>
    </row>
    <row r="156" spans="1:9" hidden="1" x14ac:dyDescent="0.25">
      <c r="A156" t="s">
        <v>25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7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7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0</v>
      </c>
      <c r="I156" s="97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0</v>
      </c>
    </row>
    <row r="157" spans="1:9" hidden="1" x14ac:dyDescent="0.25">
      <c r="A157" t="s">
        <v>25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7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7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0</v>
      </c>
      <c r="I157" s="97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0</v>
      </c>
    </row>
    <row r="158" spans="1:9" hidden="1" x14ac:dyDescent="0.25">
      <c r="A158" t="s">
        <v>25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7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7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0</v>
      </c>
      <c r="I158" s="97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0</v>
      </c>
    </row>
    <row r="159" spans="1:9" hidden="1" x14ac:dyDescent="0.25">
      <c r="A159" t="s">
        <v>25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7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7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0</v>
      </c>
      <c r="I159" s="97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0</v>
      </c>
    </row>
    <row r="160" spans="1:9" hidden="1" x14ac:dyDescent="0.25">
      <c r="A160" t="s">
        <v>25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7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7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0</v>
      </c>
      <c r="I160" s="97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0</v>
      </c>
    </row>
    <row r="161" spans="1:9" hidden="1" x14ac:dyDescent="0.25">
      <c r="A161" t="s">
        <v>25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7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7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</v>
      </c>
      <c r="I161" s="97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</v>
      </c>
    </row>
    <row r="162" spans="1:9" hidden="1" x14ac:dyDescent="0.25">
      <c r="A162" t="s">
        <v>25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7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7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0</v>
      </c>
      <c r="I162" s="97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0</v>
      </c>
    </row>
    <row r="163" spans="1:9" hidden="1" x14ac:dyDescent="0.25">
      <c r="A163" t="s">
        <v>25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7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7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0</v>
      </c>
      <c r="I163" s="97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0</v>
      </c>
    </row>
    <row r="164" spans="1:9" hidden="1" x14ac:dyDescent="0.25">
      <c r="A164" t="s">
        <v>25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7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7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0</v>
      </c>
      <c r="I164" s="97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0</v>
      </c>
    </row>
    <row r="165" spans="1:9" hidden="1" x14ac:dyDescent="0.25">
      <c r="A165" t="s">
        <v>25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7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7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0</v>
      </c>
      <c r="I165" s="97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0</v>
      </c>
    </row>
    <row r="166" spans="1:9" hidden="1" x14ac:dyDescent="0.25">
      <c r="A166" t="s">
        <v>25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7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7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0</v>
      </c>
      <c r="I166" s="97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0</v>
      </c>
    </row>
    <row r="167" spans="1:9" hidden="1" x14ac:dyDescent="0.25">
      <c r="A167" t="s">
        <v>25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7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7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0</v>
      </c>
      <c r="I167" s="97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0</v>
      </c>
    </row>
    <row r="168" spans="1:9" hidden="1" x14ac:dyDescent="0.25">
      <c r="A168" t="s">
        <v>25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7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7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0</v>
      </c>
      <c r="I168" s="97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0</v>
      </c>
    </row>
    <row r="169" spans="1:9" hidden="1" x14ac:dyDescent="0.25">
      <c r="A169" t="s">
        <v>25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7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7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0</v>
      </c>
      <c r="I169" s="97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0</v>
      </c>
    </row>
    <row r="170" spans="1:9" hidden="1" x14ac:dyDescent="0.25">
      <c r="A170" t="s">
        <v>25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7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7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0</v>
      </c>
      <c r="I170" s="97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0</v>
      </c>
    </row>
    <row r="171" spans="1:9" x14ac:dyDescent="0.25">
      <c r="A171" t="s">
        <v>24</v>
      </c>
      <c r="B171" t="s">
        <v>23</v>
      </c>
      <c r="C171" t="s">
        <v>7</v>
      </c>
      <c r="F171" t="str">
        <f>B171</f>
        <v>Svin</v>
      </c>
      <c r="G171" s="97" cm="1">
        <f t="array" ref="G171">(INDEX([1]Dyrehold!$C$14:$E$17,MATCH(1,(A171=[1]Dyrehold!$A$14:$A$17)*(C171=[1]Dyrehold!$B$14:$B$17),0),MATCH($B171,[1]Dyrehold!$C$13:$E$13,0)))</f>
        <v>10266966</v>
      </c>
      <c r="H171" s="97">
        <f>SUMIFS($G$3:$G$182,$A$3:$A$182,$A171,$B$3:$B$182,$B171)*VLOOKUP($B171,Landbrug!$B$11:$D$13,2,FALSE)*IF($C171&lt;&gt;"Økologisk",1-VLOOKUP($B171,Landbrug!$B$6:$E$8,3,FALSE),VLOOKUP($B171,Landbrug!$B$6:$E$8,3,FALSE))</f>
        <v>10081251.358070999</v>
      </c>
      <c r="I171" s="97">
        <f>SUMIFS($G$3:$G$182,$A$3:$A$182,$A171,$B$3:$B$182,$B171)*VLOOKUP($B171,Landbrug!$B$11:$D$13,3,FALSE)*IF($C171&lt;&gt;"Økologisk",1-VLOOKUP($B171,Landbrug!$B$6:$E$8,4,FALSE),VLOOKUP($B171,Landbrug!$B$6:$E$8,4,FALSE))</f>
        <v>9651553.6380710006</v>
      </c>
    </row>
    <row r="172" spans="1:9" x14ac:dyDescent="0.25">
      <c r="A172" t="s">
        <v>25</v>
      </c>
      <c r="B172" t="s">
        <v>23</v>
      </c>
      <c r="C172" t="s">
        <v>7</v>
      </c>
      <c r="F172" t="str">
        <f t="shared" ref="F172:F184" si="15">B172</f>
        <v>Svin</v>
      </c>
      <c r="G172" s="97" cm="1">
        <f t="array" ref="G172">(INDEX([1]Dyrehold!$C$14:$E$17,MATCH(1,(A172=[1]Dyrehold!$A$14:$A$17)*(C172=[1]Dyrehold!$B$14:$B$17),0),MATCH($B172,[1]Dyrehold!$C$13:$E$13,0)))</f>
        <v>1541102</v>
      </c>
      <c r="H172" s="97">
        <f>SUMIFS($G$3:$G$182,$A$3:$A$182,$A172,$B$3:$B$182,$B172)*VLOOKUP($B172,Landbrug!$B$11:$D$13,2,FALSE)*IF($C172&lt;&gt;"Økologisk",1-VLOOKUP($B172,Landbrug!$B$6:$E$8,3,FALSE),VLOOKUP($B172,Landbrug!$B$6:$E$8,3,FALSE))</f>
        <v>1460744.2385455577</v>
      </c>
      <c r="I172" s="97">
        <f>SUMIFS($G$3:$G$182,$A$3:$A$182,$A172,$B$3:$B$182,$B172)*VLOOKUP($B172,Landbrug!$B$11:$D$13,3,FALSE)*IF($C172&lt;&gt;"Økologisk",1-VLOOKUP($B172,Landbrug!$B$6:$E$8,4,FALSE),VLOOKUP($B172,Landbrug!$B$6:$E$8,4,FALSE))</f>
        <v>1398482.2785455578</v>
      </c>
    </row>
    <row r="173" spans="1:9" x14ac:dyDescent="0.25">
      <c r="A173" t="s">
        <v>24</v>
      </c>
      <c r="B173" t="s">
        <v>23</v>
      </c>
      <c r="C173" t="s">
        <v>8</v>
      </c>
      <c r="F173" t="str">
        <f t="shared" si="15"/>
        <v>Svin</v>
      </c>
      <c r="G173" s="97" cm="1">
        <f t="array" ref="G173">(INDEX([1]Dyrehold!$C$14:$E$17,MATCH(1,(A173=[1]Dyrehold!$A$14:$A$17)*(C173=[1]Dyrehold!$B$14:$B$17),0),MATCH($B173,[1]Dyrehold!$C$13:$E$13,0)))</f>
        <v>475477</v>
      </c>
      <c r="H173" s="97">
        <f>SUMIFS($G$3:$G$182,$A$3:$A$182,$A173,$B$3:$B$182,$B173)*VLOOKUP($B173,Landbrug!$B$11:$D$13,2,FALSE)*IF($C173&lt;&gt;"Økologisk",1-VLOOKUP($B173,Landbrug!$B$6:$E$8,3,FALSE),VLOOKUP($B173,Landbrug!$B$6:$E$8,3,FALSE))</f>
        <v>661191.6419289998</v>
      </c>
      <c r="I173" s="97">
        <f>SUMIFS($G$3:$G$182,$A$3:$A$182,$A173,$B$3:$B$182,$B173)*VLOOKUP($B173,Landbrug!$B$11:$D$13,3,FALSE)*IF($C173&lt;&gt;"Økologisk",1-VLOOKUP($B173,Landbrug!$B$6:$E$8,4,FALSE),VLOOKUP($B173,Landbrug!$B$6:$E$8,4,FALSE))</f>
        <v>1090889.3619289997</v>
      </c>
    </row>
    <row r="174" spans="1:9" x14ac:dyDescent="0.25">
      <c r="A174" t="s">
        <v>25</v>
      </c>
      <c r="B174" t="s">
        <v>23</v>
      </c>
      <c r="C174" t="s">
        <v>8</v>
      </c>
      <c r="F174" t="str">
        <f t="shared" si="15"/>
        <v>Svin</v>
      </c>
      <c r="G174" s="97" cm="1">
        <f t="array" ref="G174">(INDEX([1]Dyrehold!$C$14:$E$17,MATCH(1,(A174=[1]Dyrehold!$A$14:$A$17)*(C174=[1]Dyrehold!$B$14:$B$17),0),MATCH($B174,[1]Dyrehold!$C$13:$E$13,0)))</f>
        <v>15447</v>
      </c>
      <c r="H174" s="97">
        <f>SUMIFS($G$3:$G$182,$A$3:$A$182,$A174,$B$3:$B$182,$B174)*VLOOKUP($B174,Landbrug!$B$11:$D$13,2,FALSE)*IF($C174&lt;&gt;"Økologisk",1-VLOOKUP($B174,Landbrug!$B$6:$E$8,3,FALSE),VLOOKUP($B174,Landbrug!$B$6:$E$8,3,FALSE))</f>
        <v>95804.761454442225</v>
      </c>
      <c r="I174" s="97">
        <f>SUMIFS($G$3:$G$182,$A$3:$A$182,$A174,$B$3:$B$182,$B174)*VLOOKUP($B174,Landbrug!$B$11:$D$13,3,FALSE)*IF($C174&lt;&gt;"Økologisk",1-VLOOKUP($B174,Landbrug!$B$6:$E$8,4,FALSE),VLOOKUP($B174,Landbrug!$B$6:$E$8,4,FALSE))</f>
        <v>158066.72145444219</v>
      </c>
    </row>
    <row r="175" spans="1:9" hidden="1" x14ac:dyDescent="0.25">
      <c r="A175" t="s">
        <v>24</v>
      </c>
      <c r="B175" t="s">
        <v>3</v>
      </c>
      <c r="C175" t="s">
        <v>7</v>
      </c>
      <c r="F175" t="str">
        <f t="shared" si="15"/>
        <v>Køer</v>
      </c>
      <c r="G175" s="97" cm="1">
        <f t="array" ref="G175">(INDEX([1]Dyrehold!$C$14:$E$17,MATCH(1,(A175=[1]Dyrehold!$A$14:$A$17)*(C175=[1]Dyrehold!$B$14:$B$17),0),MATCH($B175,[1]Dyrehold!$C$13:$E$13,0)))</f>
        <v>1184629</v>
      </c>
      <c r="H175" s="97">
        <f>SUMIFS($G$3:$G$182,$A$3:$A$182,$A175,$B$3:$B$182,$B175)*VLOOKUP($B175,Landbrug!$B$11:$D$13,2,FALSE)*IF($C175&lt;&gt;"Økologisk",1-VLOOKUP($B175,Landbrug!$B$6:$E$8,3,FALSE),VLOOKUP($B175,Landbrug!$B$6:$E$8,3,FALSE))</f>
        <v>1152879.1032080106</v>
      </c>
      <c r="I175" s="97">
        <f>SUMIFS($G$3:$G$182,$A$3:$A$182,$A175,$B$3:$B$182,$B175)*VLOOKUP($B175,Landbrug!$B$11:$D$13,3,FALSE)*IF($C175&lt;&gt;"Økologisk",1-VLOOKUP($B175,Landbrug!$B$6:$E$8,4,FALSE),VLOOKUP($B175,Landbrug!$B$6:$E$8,4,FALSE))</f>
        <v>1097180.5432080105</v>
      </c>
    </row>
    <row r="176" spans="1:9" hidden="1" x14ac:dyDescent="0.25">
      <c r="A176" t="s">
        <v>25</v>
      </c>
      <c r="B176" t="s">
        <v>3</v>
      </c>
      <c r="C176" t="s">
        <v>7</v>
      </c>
      <c r="F176" t="str">
        <f t="shared" si="15"/>
        <v>Køer</v>
      </c>
      <c r="G176" s="97" cm="1">
        <f t="array" ref="G176">(INDEX([1]Dyrehold!$C$14:$E$17,MATCH(1,(A176=[1]Dyrehold!$A$14:$A$17)*(C176=[1]Dyrehold!$B$14:$B$17),0),MATCH($B176,[1]Dyrehold!$C$13:$E$13,0)))</f>
        <v>82455</v>
      </c>
      <c r="H176" s="97">
        <f>SUMIFS($G$3:$G$182,$A$3:$A$182,$A176,$B$3:$B$182,$B176)*VLOOKUP($B176,Landbrug!$B$11:$D$13,2,FALSE)*IF($C176&lt;&gt;"Økologisk",1-VLOOKUP($B176,Landbrug!$B$6:$E$8,3,FALSE),VLOOKUP($B176,Landbrug!$B$6:$E$8,3,FALSE))</f>
        <v>81939.740694402441</v>
      </c>
      <c r="I176" s="97">
        <f>SUMIFS($G$3:$G$182,$A$3:$A$182,$A176,$B$3:$B$182,$B176)*VLOOKUP($B176,Landbrug!$B$11:$D$13,3,FALSE)*IF($C176&lt;&gt;"Økologisk",1-VLOOKUP($B176,Landbrug!$B$6:$E$8,4,FALSE),VLOOKUP($B176,Landbrug!$B$6:$E$8,4,FALSE))</f>
        <v>77981.020694402439</v>
      </c>
    </row>
    <row r="177" spans="1:9" hidden="1" x14ac:dyDescent="0.25">
      <c r="A177" t="s">
        <v>24</v>
      </c>
      <c r="B177" t="s">
        <v>3</v>
      </c>
      <c r="C177" t="s">
        <v>8</v>
      </c>
      <c r="F177" t="str">
        <f t="shared" si="15"/>
        <v>Køer</v>
      </c>
      <c r="G177" s="97" cm="1">
        <f t="array" ref="G177">(INDEX([1]Dyrehold!$C$14:$E$17,MATCH(1,(A177=[1]Dyrehold!$A$14:$A$17)*(C177=[1]Dyrehold!$B$14:$B$17),0),MATCH($B177,[1]Dyrehold!$C$13:$E$13,0)))</f>
        <v>207835</v>
      </c>
      <c r="H177" s="97">
        <f>SUMIFS($G$3:$G$182,$A$3:$A$182,$A177,$B$3:$B$182,$B177)*VLOOKUP($B177,Landbrug!$B$11:$D$13,2,FALSE)*IF($C177&lt;&gt;"Økologisk",1-VLOOKUP($B177,Landbrug!$B$6:$E$8,3,FALSE),VLOOKUP($B177,Landbrug!$B$6:$E$8,3,FALSE))</f>
        <v>239584.89679198936</v>
      </c>
      <c r="I177" s="97">
        <f>SUMIFS($G$3:$G$182,$A$3:$A$182,$A177,$B$3:$B$182,$B177)*VLOOKUP($B177,Landbrug!$B$11:$D$13,3,FALSE)*IF($C177&lt;&gt;"Økologisk",1-VLOOKUP($B177,Landbrug!$B$6:$E$8,4,FALSE),VLOOKUP($B177,Landbrug!$B$6:$E$8,4,FALSE))</f>
        <v>295283.45679198933</v>
      </c>
    </row>
    <row r="178" spans="1:9" hidden="1" x14ac:dyDescent="0.25">
      <c r="A178" t="s">
        <v>25</v>
      </c>
      <c r="B178" t="s">
        <v>3</v>
      </c>
      <c r="C178" t="s">
        <v>8</v>
      </c>
      <c r="F178" t="str">
        <f t="shared" si="15"/>
        <v>Køer</v>
      </c>
      <c r="G178" s="97" cm="1">
        <f t="array" ref="G178">(INDEX([1]Dyrehold!$C$14:$E$17,MATCH(1,(A178=[1]Dyrehold!$A$14:$A$17)*(C178=[1]Dyrehold!$B$14:$B$17),0),MATCH($B178,[1]Dyrehold!$C$13:$E$13,0)))</f>
        <v>16513</v>
      </c>
      <c r="H178" s="97">
        <f>SUMIFS($G$3:$G$182,$A$3:$A$182,$A178,$B$3:$B$182,$B178)*VLOOKUP($B178,Landbrug!$B$11:$D$13,2,FALSE)*IF($C178&lt;&gt;"Økologisk",1-VLOOKUP($B178,Landbrug!$B$6:$E$8,3,FALSE),VLOOKUP($B178,Landbrug!$B$6:$E$8,3,FALSE))</f>
        <v>17028.259305597563</v>
      </c>
      <c r="I178" s="97">
        <f>SUMIFS($G$3:$G$182,$A$3:$A$182,$A178,$B$3:$B$182,$B178)*VLOOKUP($B178,Landbrug!$B$11:$D$13,3,FALSE)*IF($C178&lt;&gt;"Økologisk",1-VLOOKUP($B178,Landbrug!$B$6:$E$8,4,FALSE),VLOOKUP($B178,Landbrug!$B$6:$E$8,4,FALSE))</f>
        <v>20986.979305597561</v>
      </c>
    </row>
    <row r="179" spans="1:9" hidden="1" x14ac:dyDescent="0.25">
      <c r="A179" t="s">
        <v>24</v>
      </c>
      <c r="B179" t="s">
        <v>4</v>
      </c>
      <c r="C179" t="s">
        <v>7</v>
      </c>
      <c r="F179" t="str">
        <f t="shared" si="15"/>
        <v>Fjerkræ</v>
      </c>
      <c r="G179" s="97" cm="1">
        <f t="array" ref="G179">(INDEX([1]Dyrehold!$C$14:$E$17,MATCH(1,(A179=[1]Dyrehold!$A$14:$A$17)*(C179=[1]Dyrehold!$B$14:$B$17),0),MATCH($B179,[1]Dyrehold!$C$13:$E$13,0)))</f>
        <v>18212034</v>
      </c>
      <c r="H179" s="97">
        <f>SUMIFS($G$3:$G$182,$A$3:$A$182,$A179,$B$3:$B$182,$B179)*VLOOKUP($B179,Landbrug!$B$11:$D$13,2,FALSE)*IF($C179&lt;&gt;"Økologisk",1-VLOOKUP($B179,Landbrug!$B$6:$E$8,3,FALSE),VLOOKUP($B179,Landbrug!$B$6:$E$8,3,FALSE))</f>
        <v>17790568.192894831</v>
      </c>
      <c r="I179" s="97">
        <f>SUMIFS($G$3:$G$182,$A$3:$A$182,$A179,$B$3:$B$182,$B179)*VLOOKUP($B179,Landbrug!$B$11:$D$13,3,FALSE)*IF($C179&lt;&gt;"Økologisk",1-VLOOKUP($B179,Landbrug!$B$6:$E$8,4,FALSE),VLOOKUP($B179,Landbrug!$B$6:$E$8,4,FALSE))</f>
        <v>16939594.832894832</v>
      </c>
    </row>
    <row r="180" spans="1:9" hidden="1" x14ac:dyDescent="0.25">
      <c r="A180" t="s">
        <v>25</v>
      </c>
      <c r="B180" t="s">
        <v>4</v>
      </c>
      <c r="C180" t="s">
        <v>7</v>
      </c>
      <c r="F180" t="str">
        <f t="shared" si="15"/>
        <v>Fjerkræ</v>
      </c>
      <c r="G180" s="97" cm="1">
        <f t="array" ref="G180">(INDEX([1]Dyrehold!$C$14:$E$17,MATCH(1,(A180=[1]Dyrehold!$A$14:$A$17)*(C180=[1]Dyrehold!$B$14:$B$17),0),MATCH($B180,[1]Dyrehold!$C$13:$E$13,0)))</f>
        <v>1570560</v>
      </c>
      <c r="H180" s="97">
        <f>SUMIFS($G$3:$G$182,$A$3:$A$182,$A180,$B$3:$B$182,$B180)*VLOOKUP($B180,Landbrug!$B$11:$D$13,2,FALSE)*IF($C180&lt;&gt;"Økologisk",1-VLOOKUP($B180,Landbrug!$B$6:$E$8,3,FALSE),VLOOKUP($B180,Landbrug!$B$6:$E$8,3,FALSE))</f>
        <v>1493155.8217107425</v>
      </c>
      <c r="I180" s="97">
        <f>SUMIFS($G$3:$G$182,$A$3:$A$182,$A180,$B$3:$B$182,$B180)*VLOOKUP($B180,Landbrug!$B$11:$D$13,3,FALSE)*IF($C180&lt;&gt;"Økologisk",1-VLOOKUP($B180,Landbrug!$B$6:$E$8,4,FALSE),VLOOKUP($B180,Landbrug!$B$6:$E$8,4,FALSE))</f>
        <v>1421733.9417107427</v>
      </c>
    </row>
    <row r="181" spans="1:9" hidden="1" x14ac:dyDescent="0.25">
      <c r="A181" t="s">
        <v>24</v>
      </c>
      <c r="B181" t="s">
        <v>4</v>
      </c>
      <c r="C181" t="s">
        <v>8</v>
      </c>
      <c r="F181" t="str">
        <f t="shared" si="15"/>
        <v>Fjerkræ</v>
      </c>
      <c r="G181" s="97" cm="1">
        <f t="array" ref="G181">(INDEX([1]Dyrehold!$C$14:$E$17,MATCH(1,(A181=[1]Dyrehold!$A$14:$A$17)*(C181=[1]Dyrehold!$B$14:$B$17),0),MATCH($B181,[1]Dyrehold!$C$13:$E$13,0)))</f>
        <v>3062300</v>
      </c>
      <c r="H181" s="97">
        <f>SUMIFS($G$3:$G$182,$A$3:$A$182,$A181,$B$3:$B$182,$B181)*VLOOKUP($B181,Landbrug!$B$11:$D$13,2,FALSE)*IF($C181&lt;&gt;"Økologisk",1-VLOOKUP($B181,Landbrug!$B$6:$E$8,3,FALSE),VLOOKUP($B181,Landbrug!$B$6:$E$8,3,FALSE))</f>
        <v>3483765.8071051692</v>
      </c>
      <c r="I181" s="97">
        <f>SUMIFS($G$3:$G$182,$A$3:$A$182,$A181,$B$3:$B$182,$B181)*VLOOKUP($B181,Landbrug!$B$11:$D$13,3,FALSE)*IF($C181&lt;&gt;"Økologisk",1-VLOOKUP($B181,Landbrug!$B$6:$E$8,4,FALSE),VLOOKUP($B181,Landbrug!$B$6:$E$8,4,FALSE))</f>
        <v>4334739.167105169</v>
      </c>
    </row>
    <row r="182" spans="1:9" hidden="1" x14ac:dyDescent="0.25">
      <c r="A182" t="s">
        <v>25</v>
      </c>
      <c r="B182" t="s">
        <v>4</v>
      </c>
      <c r="C182" t="s">
        <v>8</v>
      </c>
      <c r="F182" t="str">
        <f t="shared" si="15"/>
        <v>Fjerkræ</v>
      </c>
      <c r="G182" s="97" cm="1">
        <f t="array" ref="G182">(INDEX([1]Dyrehold!$C$14:$E$17,MATCH(1,(A182=[1]Dyrehold!$A$14:$A$17)*(C182=[1]Dyrehold!$B$14:$B$17),0),MATCH($B182,[1]Dyrehold!$C$13:$E$13,0)))</f>
        <v>214987</v>
      </c>
      <c r="H182" s="97">
        <f>SUMIFS($G$3:$G$182,$A$3:$A$182,$A182,$B$3:$B$182,$B182)*VLOOKUP($B182,Landbrug!$B$11:$D$13,2,FALSE)*IF($C182&lt;&gt;"Økologisk",1-VLOOKUP($B182,Landbrug!$B$6:$E$8,3,FALSE),VLOOKUP($B182,Landbrug!$B$6:$E$8,3,FALSE))</f>
        <v>292391.17828925751</v>
      </c>
      <c r="I182" s="97">
        <f>SUMIFS($G$3:$G$182,$A$3:$A$182,$A182,$B$3:$B$182,$B182)*VLOOKUP($B182,Landbrug!$B$11:$D$13,3,FALSE)*IF($C182&lt;&gt;"Økologisk",1-VLOOKUP($B182,Landbrug!$B$6:$E$8,4,FALSE),VLOOKUP($B182,Landbrug!$B$6:$E$8,4,FALSE))</f>
        <v>363813.05828925752</v>
      </c>
    </row>
    <row r="183" spans="1:9" hidden="1" x14ac:dyDescent="0.25">
      <c r="A183" t="s">
        <v>24</v>
      </c>
      <c r="B183" t="s">
        <v>77</v>
      </c>
      <c r="F183" t="str">
        <f t="shared" si="15"/>
        <v>Befolkning</v>
      </c>
      <c r="G183" s="97">
        <f>[1]Befolkningstal!B5</f>
        <v>3133781</v>
      </c>
      <c r="H183" s="97">
        <f>[1]Befolkningstal!C5</f>
        <v>3238884</v>
      </c>
      <c r="I183" s="97">
        <f>[1]Befolkningstal!D5</f>
        <v>3365158</v>
      </c>
    </row>
    <row r="184" spans="1:9" hidden="1" x14ac:dyDescent="0.25">
      <c r="A184" t="s">
        <v>25</v>
      </c>
      <c r="B184" t="s">
        <v>77</v>
      </c>
      <c r="F184" t="str">
        <f t="shared" si="15"/>
        <v>Befolkning</v>
      </c>
      <c r="G184" s="97">
        <f>[1]Befolkningstal!B6</f>
        <v>2672300</v>
      </c>
      <c r="H184" s="97">
        <f>[1]Befolkningstal!C6</f>
        <v>2804401</v>
      </c>
      <c r="I184" s="97">
        <f>[1]Befolkningstal!D6</f>
        <v>2935892</v>
      </c>
    </row>
    <row r="185" spans="1:9" hidden="1" x14ac:dyDescent="0.25">
      <c r="A185" t="s">
        <v>24</v>
      </c>
      <c r="B185" t="s">
        <v>190</v>
      </c>
      <c r="D185" t="s">
        <v>190</v>
      </c>
      <c r="E185" s="157" t="s">
        <v>189</v>
      </c>
      <c r="F185" t="str">
        <f>CONCATENATE("Areal-",LOWER(B185))</f>
        <v>Areal-basisskov</v>
      </c>
      <c r="G185" s="108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8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8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25">
      <c r="A186" t="s">
        <v>24</v>
      </c>
      <c r="B186" t="s">
        <v>184</v>
      </c>
      <c r="D186" t="s">
        <v>184</v>
      </c>
      <c r="E186">
        <v>10</v>
      </c>
      <c r="F186" t="str">
        <f t="shared" ref="F186:F205" si="16">CONCATENATE("Areal-",LOWER(B186),"-",E186)</f>
        <v>Areal-skovtype1-10</v>
      </c>
      <c r="G186" s="108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8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505377.34838817694</v>
      </c>
      <c r="I186" s="108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36770.761974969733</v>
      </c>
    </row>
    <row r="187" spans="1:9" hidden="1" x14ac:dyDescent="0.25">
      <c r="A187" t="s">
        <v>24</v>
      </c>
      <c r="B187" t="s">
        <v>184</v>
      </c>
      <c r="D187" t="s">
        <v>184</v>
      </c>
      <c r="E187">
        <v>20</v>
      </c>
      <c r="F187" t="str">
        <f t="shared" si="16"/>
        <v>Areal-skovtype1-20</v>
      </c>
      <c r="G187" s="108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8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50537.734838817691</v>
      </c>
      <c r="I187" s="108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36770.761974969733</v>
      </c>
    </row>
    <row r="188" spans="1:9" hidden="1" x14ac:dyDescent="0.25">
      <c r="A188" t="s">
        <v>24</v>
      </c>
      <c r="B188" t="s">
        <v>184</v>
      </c>
      <c r="D188" t="s">
        <v>184</v>
      </c>
      <c r="E188">
        <v>30</v>
      </c>
      <c r="F188" t="str">
        <f t="shared" si="16"/>
        <v>Areal-skovtype1-30</v>
      </c>
      <c r="G188" s="108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8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8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505377.34838817694</v>
      </c>
    </row>
    <row r="189" spans="1:9" hidden="1" x14ac:dyDescent="0.25">
      <c r="A189" t="s">
        <v>24</v>
      </c>
      <c r="B189" t="s">
        <v>184</v>
      </c>
      <c r="D189" t="s">
        <v>184</v>
      </c>
      <c r="E189">
        <v>40</v>
      </c>
      <c r="F189" t="str">
        <f t="shared" si="16"/>
        <v>Areal-skovtype1-40</v>
      </c>
      <c r="G189" s="108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8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8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50537.734838817691</v>
      </c>
    </row>
    <row r="190" spans="1:9" hidden="1" x14ac:dyDescent="0.25">
      <c r="A190" t="s">
        <v>24</v>
      </c>
      <c r="B190" t="s">
        <v>185</v>
      </c>
      <c r="D190" t="s">
        <v>185</v>
      </c>
      <c r="E190">
        <v>10</v>
      </c>
      <c r="F190" t="str">
        <f t="shared" si="16"/>
        <v>Areal-skovtype2-10</v>
      </c>
      <c r="G190" s="108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8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8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25">
      <c r="A191" t="s">
        <v>24</v>
      </c>
      <c r="B191" t="s">
        <v>185</v>
      </c>
      <c r="D191" t="s">
        <v>185</v>
      </c>
      <c r="E191">
        <v>20</v>
      </c>
      <c r="F191" t="str">
        <f t="shared" si="16"/>
        <v>Areal-skovtype2-20</v>
      </c>
      <c r="G191" s="108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8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8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25">
      <c r="A192" t="s">
        <v>24</v>
      </c>
      <c r="B192" t="s">
        <v>185</v>
      </c>
      <c r="D192" t="s">
        <v>185</v>
      </c>
      <c r="E192">
        <v>30</v>
      </c>
      <c r="F192" t="str">
        <f t="shared" si="16"/>
        <v>Areal-skovtype2-30</v>
      </c>
      <c r="G192" s="108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8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8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25">
      <c r="A193" t="s">
        <v>24</v>
      </c>
      <c r="B193" t="s">
        <v>185</v>
      </c>
      <c r="D193" t="s">
        <v>185</v>
      </c>
      <c r="E193">
        <v>40</v>
      </c>
      <c r="F193" t="str">
        <f t="shared" si="16"/>
        <v>Areal-skovtype2-40</v>
      </c>
      <c r="G193" s="108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8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8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25">
      <c r="A194" t="s">
        <v>24</v>
      </c>
      <c r="B194" t="s">
        <v>186</v>
      </c>
      <c r="D194" t="s">
        <v>186</v>
      </c>
      <c r="E194">
        <v>10</v>
      </c>
      <c r="F194" t="str">
        <f t="shared" si="16"/>
        <v>Areal-skovtype3-10</v>
      </c>
      <c r="G194" s="108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8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8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25">
      <c r="A195" t="s">
        <v>24</v>
      </c>
      <c r="B195" t="s">
        <v>186</v>
      </c>
      <c r="D195" t="s">
        <v>186</v>
      </c>
      <c r="E195">
        <v>20</v>
      </c>
      <c r="F195" t="str">
        <f t="shared" si="16"/>
        <v>Areal-skovtype3-20</v>
      </c>
      <c r="G195" s="108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8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8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25">
      <c r="A196" t="s">
        <v>24</v>
      </c>
      <c r="B196" t="s">
        <v>186</v>
      </c>
      <c r="D196" t="s">
        <v>186</v>
      </c>
      <c r="E196">
        <v>30</v>
      </c>
      <c r="F196" t="str">
        <f t="shared" si="16"/>
        <v>Areal-skovtype3-30</v>
      </c>
      <c r="G196" s="108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8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8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25">
      <c r="A197" t="s">
        <v>24</v>
      </c>
      <c r="B197" t="s">
        <v>186</v>
      </c>
      <c r="D197" t="s">
        <v>186</v>
      </c>
      <c r="E197">
        <v>40</v>
      </c>
      <c r="F197" t="str">
        <f t="shared" si="16"/>
        <v>Areal-skovtype3-40</v>
      </c>
      <c r="G197" s="108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8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8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25">
      <c r="A198" t="s">
        <v>24</v>
      </c>
      <c r="B198" t="s">
        <v>187</v>
      </c>
      <c r="D198" t="s">
        <v>187</v>
      </c>
      <c r="E198">
        <v>10</v>
      </c>
      <c r="F198" t="str">
        <f t="shared" si="16"/>
        <v>Areal-skovtype4-10</v>
      </c>
      <c r="G198" s="108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8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8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25">
      <c r="A199" t="s">
        <v>24</v>
      </c>
      <c r="B199" t="s">
        <v>187</v>
      </c>
      <c r="D199" t="s">
        <v>187</v>
      </c>
      <c r="E199">
        <v>20</v>
      </c>
      <c r="F199" t="str">
        <f t="shared" si="16"/>
        <v>Areal-skovtype4-20</v>
      </c>
      <c r="G199" s="108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8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8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25">
      <c r="A200" t="s">
        <v>24</v>
      </c>
      <c r="B200" t="s">
        <v>187</v>
      </c>
      <c r="D200" t="s">
        <v>187</v>
      </c>
      <c r="E200">
        <v>30</v>
      </c>
      <c r="F200" t="str">
        <f t="shared" si="16"/>
        <v>Areal-skovtype4-30</v>
      </c>
      <c r="G200" s="108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8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8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25">
      <c r="A201" t="s">
        <v>24</v>
      </c>
      <c r="B201" t="s">
        <v>187</v>
      </c>
      <c r="D201" t="s">
        <v>187</v>
      </c>
      <c r="E201">
        <v>40</v>
      </c>
      <c r="F201" t="str">
        <f t="shared" si="16"/>
        <v>Areal-skovtype4-40</v>
      </c>
      <c r="G201" s="108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8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8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25">
      <c r="A202" t="s">
        <v>24</v>
      </c>
      <c r="B202" t="s">
        <v>188</v>
      </c>
      <c r="D202" t="s">
        <v>188</v>
      </c>
      <c r="E202">
        <v>10</v>
      </c>
      <c r="F202" t="str">
        <f t="shared" si="16"/>
        <v>Areal-skovtype5-10</v>
      </c>
      <c r="G202" s="108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8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8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25">
      <c r="A203" t="s">
        <v>24</v>
      </c>
      <c r="B203" t="s">
        <v>188</v>
      </c>
      <c r="D203" t="s">
        <v>188</v>
      </c>
      <c r="E203">
        <v>20</v>
      </c>
      <c r="F203" t="str">
        <f t="shared" si="16"/>
        <v>Areal-skovtype5-20</v>
      </c>
      <c r="G203" s="108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8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8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25">
      <c r="A204" t="s">
        <v>24</v>
      </c>
      <c r="B204" t="s">
        <v>188</v>
      </c>
      <c r="D204" t="s">
        <v>188</v>
      </c>
      <c r="E204">
        <v>30</v>
      </c>
      <c r="F204" t="str">
        <f t="shared" si="16"/>
        <v>Areal-skovtype5-30</v>
      </c>
      <c r="G204" s="108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8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8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25">
      <c r="A205" t="s">
        <v>24</v>
      </c>
      <c r="B205" t="s">
        <v>188</v>
      </c>
      <c r="D205" t="s">
        <v>188</v>
      </c>
      <c r="E205">
        <v>40</v>
      </c>
      <c r="F205" t="str">
        <f t="shared" si="16"/>
        <v>Areal-skovtype5-40</v>
      </c>
      <c r="G205" s="108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8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8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25">
      <c r="A206" t="s">
        <v>25</v>
      </c>
      <c r="B206" t="s">
        <v>190</v>
      </c>
      <c r="D206" t="s">
        <v>190</v>
      </c>
      <c r="E206" t="s">
        <v>189</v>
      </c>
      <c r="F206" t="str">
        <f>CONCATENATE("Areal-",LOWER(B206))</f>
        <v>Areal-basisskov</v>
      </c>
      <c r="G206" s="108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8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8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25">
      <c r="A207" t="s">
        <v>25</v>
      </c>
      <c r="B207" t="s">
        <v>184</v>
      </c>
      <c r="D207" t="s">
        <v>184</v>
      </c>
      <c r="E207">
        <v>10</v>
      </c>
      <c r="F207" t="str">
        <f t="shared" ref="F207:F226" si="17">CONCATENATE("Areal-",LOWER(B207),"-",E207)</f>
        <v>Areal-skovtype1-10</v>
      </c>
      <c r="G207" s="108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8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58389.343978028766</v>
      </c>
      <c r="I207" s="108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7591.2431987753007</v>
      </c>
    </row>
    <row r="208" spans="1:9" hidden="1" x14ac:dyDescent="0.25">
      <c r="A208" t="s">
        <v>25</v>
      </c>
      <c r="B208" t="s">
        <v>184</v>
      </c>
      <c r="D208" t="s">
        <v>184</v>
      </c>
      <c r="E208">
        <v>20</v>
      </c>
      <c r="F208" t="str">
        <f t="shared" si="17"/>
        <v>Areal-skovtype1-20</v>
      </c>
      <c r="G208" s="108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8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5838.9343978028764</v>
      </c>
      <c r="I208" s="108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7591.2431987753007</v>
      </c>
    </row>
    <row r="209" spans="1:9" hidden="1" x14ac:dyDescent="0.25">
      <c r="A209" t="s">
        <v>25</v>
      </c>
      <c r="B209" t="s">
        <v>184</v>
      </c>
      <c r="D209" t="s">
        <v>184</v>
      </c>
      <c r="E209">
        <v>30</v>
      </c>
      <c r="F209" t="str">
        <f t="shared" si="17"/>
        <v>Areal-skovtype1-30</v>
      </c>
      <c r="G209" s="108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8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8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58389.343978028766</v>
      </c>
    </row>
    <row r="210" spans="1:9" hidden="1" x14ac:dyDescent="0.25">
      <c r="A210" t="s">
        <v>25</v>
      </c>
      <c r="B210" t="s">
        <v>184</v>
      </c>
      <c r="D210" t="s">
        <v>184</v>
      </c>
      <c r="E210">
        <v>40</v>
      </c>
      <c r="F210" t="str">
        <f t="shared" si="17"/>
        <v>Areal-skovtype1-40</v>
      </c>
      <c r="G210" s="108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8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8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5838.9343978028764</v>
      </c>
    </row>
    <row r="211" spans="1:9" hidden="1" x14ac:dyDescent="0.25">
      <c r="A211" t="s">
        <v>25</v>
      </c>
      <c r="B211" t="s">
        <v>185</v>
      </c>
      <c r="D211" t="s">
        <v>185</v>
      </c>
      <c r="E211">
        <v>10</v>
      </c>
      <c r="F211" t="str">
        <f t="shared" si="17"/>
        <v>Areal-skovtype2-10</v>
      </c>
      <c r="G211" s="108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8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8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25">
      <c r="A212" t="s">
        <v>25</v>
      </c>
      <c r="B212" t="s">
        <v>185</v>
      </c>
      <c r="D212" t="s">
        <v>185</v>
      </c>
      <c r="E212">
        <v>20</v>
      </c>
      <c r="F212" t="str">
        <f t="shared" si="17"/>
        <v>Areal-skovtype2-20</v>
      </c>
      <c r="G212" s="108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8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8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25">
      <c r="A213" t="s">
        <v>25</v>
      </c>
      <c r="B213" t="s">
        <v>185</v>
      </c>
      <c r="D213" t="s">
        <v>185</v>
      </c>
      <c r="E213">
        <v>30</v>
      </c>
      <c r="F213" t="str">
        <f t="shared" si="17"/>
        <v>Areal-skovtype2-30</v>
      </c>
      <c r="G213" s="108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8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8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25">
      <c r="A214" t="s">
        <v>25</v>
      </c>
      <c r="B214" t="s">
        <v>185</v>
      </c>
      <c r="D214" t="s">
        <v>185</v>
      </c>
      <c r="E214">
        <v>40</v>
      </c>
      <c r="F214" t="str">
        <f t="shared" si="17"/>
        <v>Areal-skovtype2-40</v>
      </c>
      <c r="G214" s="108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8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8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25">
      <c r="A215" t="s">
        <v>25</v>
      </c>
      <c r="B215" t="s">
        <v>186</v>
      </c>
      <c r="D215" t="s">
        <v>186</v>
      </c>
      <c r="E215">
        <v>10</v>
      </c>
      <c r="F215" t="str">
        <f t="shared" si="17"/>
        <v>Areal-skovtype3-10</v>
      </c>
      <c r="G215" s="108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8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8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25">
      <c r="A216" t="s">
        <v>25</v>
      </c>
      <c r="B216" t="s">
        <v>186</v>
      </c>
      <c r="D216" t="s">
        <v>186</v>
      </c>
      <c r="E216">
        <v>20</v>
      </c>
      <c r="F216" t="str">
        <f t="shared" si="17"/>
        <v>Areal-skovtype3-20</v>
      </c>
      <c r="G216" s="108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8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8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25">
      <c r="A217" t="s">
        <v>25</v>
      </c>
      <c r="B217" t="s">
        <v>186</v>
      </c>
      <c r="D217" t="s">
        <v>186</v>
      </c>
      <c r="E217">
        <v>30</v>
      </c>
      <c r="F217" t="str">
        <f t="shared" si="17"/>
        <v>Areal-skovtype3-30</v>
      </c>
      <c r="G217" s="108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8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8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25">
      <c r="A218" t="s">
        <v>25</v>
      </c>
      <c r="B218" t="s">
        <v>186</v>
      </c>
      <c r="D218" t="s">
        <v>186</v>
      </c>
      <c r="E218">
        <v>40</v>
      </c>
      <c r="F218" t="str">
        <f t="shared" si="17"/>
        <v>Areal-skovtype3-40</v>
      </c>
      <c r="G218" s="108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8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8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25">
      <c r="A219" t="s">
        <v>25</v>
      </c>
      <c r="B219" t="s">
        <v>187</v>
      </c>
      <c r="D219" t="s">
        <v>187</v>
      </c>
      <c r="E219">
        <v>10</v>
      </c>
      <c r="F219" t="str">
        <f t="shared" si="17"/>
        <v>Areal-skovtype4-10</v>
      </c>
      <c r="G219" s="108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8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8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25">
      <c r="A220" t="s">
        <v>25</v>
      </c>
      <c r="B220" t="s">
        <v>187</v>
      </c>
      <c r="D220" t="s">
        <v>187</v>
      </c>
      <c r="E220">
        <v>20</v>
      </c>
      <c r="F220" t="str">
        <f t="shared" si="17"/>
        <v>Areal-skovtype4-20</v>
      </c>
      <c r="G220" s="108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8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8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25">
      <c r="A221" t="s">
        <v>25</v>
      </c>
      <c r="B221" t="s">
        <v>187</v>
      </c>
      <c r="D221" t="s">
        <v>187</v>
      </c>
      <c r="E221">
        <v>30</v>
      </c>
      <c r="F221" t="str">
        <f t="shared" si="17"/>
        <v>Areal-skovtype4-30</v>
      </c>
      <c r="G221" s="108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8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8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25">
      <c r="A222" t="s">
        <v>25</v>
      </c>
      <c r="B222" t="s">
        <v>187</v>
      </c>
      <c r="D222" t="s">
        <v>187</v>
      </c>
      <c r="E222">
        <v>40</v>
      </c>
      <c r="F222" t="str">
        <f t="shared" si="17"/>
        <v>Areal-skovtype4-40</v>
      </c>
      <c r="G222" s="108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8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8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25">
      <c r="A223" t="s">
        <v>25</v>
      </c>
      <c r="B223" t="s">
        <v>188</v>
      </c>
      <c r="D223" t="s">
        <v>188</v>
      </c>
      <c r="E223">
        <v>10</v>
      </c>
      <c r="F223" t="str">
        <f t="shared" si="17"/>
        <v>Areal-skovtype5-10</v>
      </c>
      <c r="G223" s="108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8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8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25">
      <c r="A224" t="s">
        <v>25</v>
      </c>
      <c r="B224" t="s">
        <v>188</v>
      </c>
      <c r="D224" t="s">
        <v>188</v>
      </c>
      <c r="E224">
        <v>20</v>
      </c>
      <c r="F224" t="str">
        <f t="shared" si="17"/>
        <v>Areal-skovtype5-20</v>
      </c>
      <c r="G224" s="108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8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8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25">
      <c r="A225" t="s">
        <v>25</v>
      </c>
      <c r="B225" t="s">
        <v>188</v>
      </c>
      <c r="D225" t="s">
        <v>188</v>
      </c>
      <c r="E225">
        <v>30</v>
      </c>
      <c r="F225" t="str">
        <f t="shared" si="17"/>
        <v>Areal-skovtype5-30</v>
      </c>
      <c r="G225" s="108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8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8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25">
      <c r="A226" t="s">
        <v>25</v>
      </c>
      <c r="B226" t="s">
        <v>188</v>
      </c>
      <c r="D226" t="s">
        <v>188</v>
      </c>
      <c r="E226">
        <v>40</v>
      </c>
      <c r="F226" t="str">
        <f t="shared" si="17"/>
        <v>Areal-skovtype5-40</v>
      </c>
      <c r="G226" s="108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8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8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hidden="1" x14ac:dyDescent="0.25">
      <c r="A227" t="s">
        <v>24</v>
      </c>
      <c r="B227" t="s">
        <v>100</v>
      </c>
      <c r="F227" t="str">
        <f>CONCATENATE(B227,"eareal")</f>
        <v>Muslingeareal</v>
      </c>
      <c r="G227" s="107">
        <f>SUMIFS(Havbrug!C$3:C$6,Havbrug!$A$3:$A$6,'Direkte input'!$B227,Havbrug!$B$3:$B$6,'Direkte input'!$A227)</f>
        <v>440.3</v>
      </c>
      <c r="H227" s="107">
        <f>SUMIFS(Havbrug!D$3:D$6,Havbrug!$A$3:$A$6,'Direkte input'!$B227,Havbrug!$B$3:$B$6,'Direkte input'!$A227)</f>
        <v>72570.000000000029</v>
      </c>
      <c r="I227" s="107">
        <f>SUMIFS(Havbrug!E$3:E$6,Havbrug!$A$3:$A$6,'Direkte input'!$B227,Havbrug!$B$3:$B$6,'Direkte input'!$A227)</f>
        <v>108410.00000000003</v>
      </c>
    </row>
    <row r="228" spans="1:9" hidden="1" x14ac:dyDescent="0.25">
      <c r="A228" t="s">
        <v>25</v>
      </c>
      <c r="B228" t="s">
        <v>100</v>
      </c>
      <c r="F228" t="str">
        <f>CONCATENATE(B228,"eareal")</f>
        <v>Muslingeareal</v>
      </c>
      <c r="G228" s="107">
        <f>SUMIFS(Havbrug!C$3:C$6,Havbrug!$A$3:$A$6,'Direkte input'!$B228,Havbrug!$B$3:$B$6,'Direkte input'!$A228)</f>
        <v>0.6</v>
      </c>
      <c r="H228" s="107">
        <f>SUMIFS(Havbrug!D$3:D$6,Havbrug!$A$3:$A$6,'Direkte input'!$B228,Havbrug!$B$3:$B$6,'Direkte input'!$A228)</f>
        <v>1610</v>
      </c>
      <c r="I228" s="107">
        <f>SUMIFS(Havbrug!E$3:E$6,Havbrug!$A$3:$A$6,'Direkte input'!$B228,Havbrug!$B$3:$B$6,'Direkte input'!$A228)</f>
        <v>27080</v>
      </c>
    </row>
    <row r="229" spans="1:9" hidden="1" x14ac:dyDescent="0.25">
      <c r="A229" t="s">
        <v>24</v>
      </c>
      <c r="B229" t="s">
        <v>101</v>
      </c>
      <c r="F229" t="str">
        <f>CONCATENATE(B229,"farmareal")</f>
        <v>Tangfarmareal</v>
      </c>
      <c r="G229" s="107">
        <f>SUMIFS(Havbrug!C$3:C$6,Havbrug!$A$3:$A$6,'Direkte input'!$B229,Havbrug!$B$3:$B$6,'Direkte input'!$A229)</f>
        <v>17</v>
      </c>
      <c r="H229" s="107">
        <f>SUMIFS(Havbrug!D$3:D$6,Havbrug!$A$3:$A$6,'Direkte input'!$B229,Havbrug!$B$3:$B$6,'Direkte input'!$A229)</f>
        <v>600</v>
      </c>
      <c r="I229" s="107">
        <f>SUMIFS(Havbrug!E$3:E$6,Havbrug!$A$3:$A$6,'Direkte input'!$B229,Havbrug!$B$3:$B$6,'Direkte input'!$A229)</f>
        <v>600</v>
      </c>
    </row>
    <row r="230" spans="1:9" hidden="1" x14ac:dyDescent="0.25">
      <c r="A230" t="s">
        <v>25</v>
      </c>
      <c r="B230" t="s">
        <v>101</v>
      </c>
      <c r="F230" t="str">
        <f>CONCATENATE(B230,"farmareal")</f>
        <v>Tangfarmareal</v>
      </c>
      <c r="G230" s="107">
        <f>SUMIFS(Havbrug!C$3:C$6,Havbrug!$A$3:$A$6,'Direkte input'!$B230,Havbrug!$B$3:$B$6,'Direkte input'!$A230)</f>
        <v>0</v>
      </c>
      <c r="H230" s="107">
        <f>SUMIFS(Havbrug!D$3:D$6,Havbrug!$A$3:$A$6,'Direkte input'!$B230,Havbrug!$B$3:$B$6,'Direkte input'!$A230)</f>
        <v>200</v>
      </c>
      <c r="I230" s="107">
        <f>SUMIFS(Havbrug!E$3:E$6,Havbrug!$A$3:$A$6,'Direkte input'!$B230,Havbrug!$B$3:$B$6,'Direkte input'!$A230)</f>
        <v>200</v>
      </c>
    </row>
  </sheetData>
  <autoFilter ref="A2:I230" xr:uid="{E65CCAA6-B7D2-4926-A470-3639DE0D1070}">
    <filterColumn colId="5">
      <filters>
        <filter val="Svin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workbookViewId="0">
      <selection activeCell="E55" sqref="E13:E55"/>
    </sheetView>
  </sheetViews>
  <sheetFormatPr defaultRowHeight="15" x14ac:dyDescent="0.25"/>
  <cols>
    <col min="5" max="5" width="10.7109375" bestFit="1" customWidth="1"/>
    <col min="18" max="18" width="14.5703125" bestFit="1" customWidth="1"/>
  </cols>
  <sheetData>
    <row r="1" spans="1:13" x14ac:dyDescent="0.25">
      <c r="A1" t="s">
        <v>180</v>
      </c>
      <c r="B1" t="s">
        <v>65</v>
      </c>
      <c r="C1" t="s">
        <v>131</v>
      </c>
      <c r="D1" t="s">
        <v>59</v>
      </c>
      <c r="E1" t="s">
        <v>161</v>
      </c>
      <c r="F1" t="s">
        <v>339</v>
      </c>
      <c r="G1" t="s">
        <v>235</v>
      </c>
      <c r="I1" s="158" t="s">
        <v>197</v>
      </c>
      <c r="J1" s="158"/>
      <c r="K1" s="158"/>
      <c r="L1" s="158"/>
      <c r="M1" s="158"/>
    </row>
    <row r="2" spans="1:13" hidden="1" x14ac:dyDescent="0.25">
      <c r="A2" t="s">
        <v>130</v>
      </c>
      <c r="B2" t="s">
        <v>24</v>
      </c>
      <c r="C2" s="12" t="str">
        <f>Adfærd!A18</f>
        <v>Korn</v>
      </c>
      <c r="D2">
        <f t="shared" ref="D2:D15" si="0">År1</f>
        <v>2019</v>
      </c>
      <c r="E2" s="76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130</v>
      </c>
      <c r="B3" t="s">
        <v>24</v>
      </c>
      <c r="C3" s="12" t="str">
        <f>Adfærd!A19</f>
        <v>Grøntsager</v>
      </c>
      <c r="D3">
        <f t="shared" si="0"/>
        <v>2019</v>
      </c>
      <c r="E3" s="76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130</v>
      </c>
      <c r="B4" t="s">
        <v>24</v>
      </c>
      <c r="C4" s="12" t="str">
        <f>Adfærd!A20</f>
        <v>Kartofler</v>
      </c>
      <c r="D4">
        <f t="shared" si="0"/>
        <v>2019</v>
      </c>
      <c r="E4" s="76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130</v>
      </c>
      <c r="B5" t="s">
        <v>24</v>
      </c>
      <c r="C5" s="12" t="str">
        <f>Adfærd!A21</f>
        <v>Svinekød</v>
      </c>
      <c r="D5">
        <f t="shared" si="0"/>
        <v>2019</v>
      </c>
      <c r="E5" s="76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130</v>
      </c>
      <c r="B6" t="s">
        <v>24</v>
      </c>
      <c r="C6" s="12" t="str">
        <f>Adfærd!A22</f>
        <v>Oksekød</v>
      </c>
      <c r="D6">
        <f t="shared" si="0"/>
        <v>2019</v>
      </c>
      <c r="E6" s="76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130</v>
      </c>
      <c r="B7" t="s">
        <v>24</v>
      </c>
      <c r="C7" s="12" t="str">
        <f>Adfærd!A23</f>
        <v>Bælgsæd</v>
      </c>
      <c r="D7">
        <f t="shared" si="0"/>
        <v>2019</v>
      </c>
      <c r="E7" s="76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130</v>
      </c>
      <c r="B8" t="s">
        <v>24</v>
      </c>
      <c r="C8" s="12" t="str">
        <f>Adfærd!A24</f>
        <v>Muslinger</v>
      </c>
      <c r="D8">
        <f t="shared" si="0"/>
        <v>2019</v>
      </c>
      <c r="E8" s="76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130</v>
      </c>
      <c r="B9" t="s">
        <v>24</v>
      </c>
      <c r="C9" s="12" t="str">
        <f>Adfærd!A25</f>
        <v>Tang</v>
      </c>
      <c r="D9">
        <f t="shared" si="0"/>
        <v>2019</v>
      </c>
      <c r="E9" s="76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130</v>
      </c>
      <c r="B10" t="s">
        <v>24</v>
      </c>
      <c r="C10" s="12" t="str">
        <f>Adfærd!A26</f>
        <v>Kunstigt kød</v>
      </c>
      <c r="D10">
        <f t="shared" si="0"/>
        <v>2019</v>
      </c>
      <c r="E10" s="76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130</v>
      </c>
      <c r="B11" t="s">
        <v>24</v>
      </c>
      <c r="C11" s="12" t="str">
        <f>Adfærd!A27</f>
        <v>Mejeriprodukter</v>
      </c>
      <c r="D11">
        <f t="shared" si="0"/>
        <v>2019</v>
      </c>
      <c r="E11" s="76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130</v>
      </c>
      <c r="B12" t="s">
        <v>24</v>
      </c>
      <c r="C12" s="12" t="str">
        <f>Adfærd!A28</f>
        <v>Fjerkrækød</v>
      </c>
      <c r="D12">
        <f t="shared" si="0"/>
        <v>2019</v>
      </c>
      <c r="E12" s="76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x14ac:dyDescent="0.25">
      <c r="A13" t="s">
        <v>130</v>
      </c>
      <c r="B13" t="s">
        <v>24</v>
      </c>
      <c r="C13" s="12" t="str">
        <f>Adfærd!A29</f>
        <v>Æg</v>
      </c>
      <c r="D13">
        <f t="shared" si="0"/>
        <v>2019</v>
      </c>
      <c r="E13" s="76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130</v>
      </c>
      <c r="B14" t="s">
        <v>24</v>
      </c>
      <c r="C14" s="12" t="str">
        <f>Adfærd!A30</f>
        <v>Frugt</v>
      </c>
      <c r="D14">
        <f t="shared" si="0"/>
        <v>2019</v>
      </c>
      <c r="E14" s="76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130</v>
      </c>
      <c r="B15" t="s">
        <v>24</v>
      </c>
      <c r="C15" s="12" t="str">
        <f>Adfærd!A31</f>
        <v>Fisk</v>
      </c>
      <c r="D15">
        <f t="shared" si="0"/>
        <v>2019</v>
      </c>
      <c r="E15" s="76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130</v>
      </c>
      <c r="B16" t="s">
        <v>24</v>
      </c>
      <c r="C16" s="12" t="str">
        <f>Adfærd!A18</f>
        <v>Korn</v>
      </c>
      <c r="D16">
        <f t="shared" ref="D16:D29" si="1">År2</f>
        <v>2030</v>
      </c>
      <c r="E16" s="76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130</v>
      </c>
      <c r="B17" t="s">
        <v>24</v>
      </c>
      <c r="C17" s="12" t="str">
        <f>Adfærd!A19</f>
        <v>Grøntsager</v>
      </c>
      <c r="D17">
        <f t="shared" si="1"/>
        <v>2030</v>
      </c>
      <c r="E17" s="76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130</v>
      </c>
      <c r="B18" t="s">
        <v>24</v>
      </c>
      <c r="C18" s="12" t="str">
        <f>Adfærd!A20</f>
        <v>Kartofler</v>
      </c>
      <c r="D18">
        <f t="shared" si="1"/>
        <v>2030</v>
      </c>
      <c r="E18" s="76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130</v>
      </c>
      <c r="B19" t="s">
        <v>24</v>
      </c>
      <c r="C19" s="12" t="str">
        <f>Adfærd!A21</f>
        <v>Svinekød</v>
      </c>
      <c r="D19">
        <f t="shared" si="1"/>
        <v>2030</v>
      </c>
      <c r="E19" s="76">
        <f>VLOOKUP(C19,Adfærd!$A$18:$D$31,MATCH(D19,Adfærd!$A$17:$D$17,0),FALSE)*365.25*VLOOKUP(B19,[1]Befolkningstal!$A$4:$D$6,MATCH(D19,[1]Befolkningstal!$A$3:$D$3,0),FALSE)/1000000/(1-Adfærd!B$12)</f>
        <v>121875.54404868034</v>
      </c>
    </row>
    <row r="20" spans="1:5" hidden="1" x14ac:dyDescent="0.25">
      <c r="A20" t="s">
        <v>130</v>
      </c>
      <c r="B20" t="s">
        <v>24</v>
      </c>
      <c r="C20" s="12" t="str">
        <f>Adfærd!A22</f>
        <v>Oksekød</v>
      </c>
      <c r="D20">
        <f t="shared" si="1"/>
        <v>2030</v>
      </c>
      <c r="E20" s="76">
        <f>VLOOKUP(C20,Adfærd!$A$18:$D$31,MATCH(D20,Adfærd!$A$17:$D$17,0),FALSE)*365.25*VLOOKUP(B20,[1]Befolkningstal!$A$4:$D$6,MATCH(D20,[1]Befolkningstal!$A$3:$D$3,0),FALSE)/1000000/(1-Adfærd!B$12)</f>
        <v>60028.253038902265</v>
      </c>
    </row>
    <row r="21" spans="1:5" hidden="1" x14ac:dyDescent="0.25">
      <c r="A21" t="s">
        <v>130</v>
      </c>
      <c r="B21" t="s">
        <v>24</v>
      </c>
      <c r="C21" s="12" t="str">
        <f>Adfærd!A23</f>
        <v>Bælgsæd</v>
      </c>
      <c r="D21">
        <f t="shared" si="1"/>
        <v>2030</v>
      </c>
      <c r="E21" s="76">
        <f>VLOOKUP(C21,Adfærd!$A$18:$D$31,MATCH(D21,Adfærd!$A$17:$D$17,0),FALSE)*365.25*VLOOKUP(B21,[1]Befolkningstal!$A$4:$D$6,MATCH(D21,[1]Befolkningstal!$A$3:$D$3,0),FALSE)/1000000/(1-Adfærd!B$12)</f>
        <v>0</v>
      </c>
    </row>
    <row r="22" spans="1:5" hidden="1" x14ac:dyDescent="0.25">
      <c r="A22" t="s">
        <v>130</v>
      </c>
      <c r="B22" t="s">
        <v>24</v>
      </c>
      <c r="C22" s="12" t="str">
        <f>Adfærd!A24</f>
        <v>Muslinger</v>
      </c>
      <c r="D22">
        <f t="shared" si="1"/>
        <v>2030</v>
      </c>
      <c r="E22" s="76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130</v>
      </c>
      <c r="B23" t="s">
        <v>24</v>
      </c>
      <c r="C23" s="12" t="str">
        <f>Adfærd!A25</f>
        <v>Tang</v>
      </c>
      <c r="D23">
        <f t="shared" si="1"/>
        <v>2030</v>
      </c>
      <c r="E23" s="76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130</v>
      </c>
      <c r="B24" t="s">
        <v>24</v>
      </c>
      <c r="C24" s="12" t="str">
        <f>Adfærd!A26</f>
        <v>Kunstigt kød</v>
      </c>
      <c r="D24">
        <f t="shared" si="1"/>
        <v>2030</v>
      </c>
      <c r="E24" s="76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130</v>
      </c>
      <c r="B25" t="s">
        <v>24</v>
      </c>
      <c r="C25" s="12" t="str">
        <f>Adfærd!A27</f>
        <v>Mejeriprodukter</v>
      </c>
      <c r="D25">
        <f t="shared" si="1"/>
        <v>2030</v>
      </c>
      <c r="E25" s="76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130</v>
      </c>
      <c r="B26" t="s">
        <v>24</v>
      </c>
      <c r="C26" s="12" t="str">
        <f>Adfærd!A28</f>
        <v>Fjerkrækød</v>
      </c>
      <c r="D26">
        <f t="shared" si="1"/>
        <v>2030</v>
      </c>
      <c r="E26" s="76">
        <f>VLOOKUP(C26,Adfærd!$A$18:$D$31,MATCH(D26,Adfærd!$A$17:$D$17,0),FALSE)*365.25*VLOOKUP(B26,[1]Befolkningstal!$A$4:$D$6,MATCH(D26,[1]Befolkningstal!$A$3:$D$3,0),FALSE)/1000000/(1-Adfærd!B$12)</f>
        <v>35294.766599083188</v>
      </c>
    </row>
    <row r="27" spans="1:5" hidden="1" x14ac:dyDescent="0.25">
      <c r="A27" t="s">
        <v>130</v>
      </c>
      <c r="B27" t="s">
        <v>24</v>
      </c>
      <c r="C27" s="12" t="str">
        <f>Adfærd!A29</f>
        <v>Æg</v>
      </c>
      <c r="D27">
        <f t="shared" si="1"/>
        <v>2030</v>
      </c>
      <c r="E27" s="76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130</v>
      </c>
      <c r="B28" t="s">
        <v>24</v>
      </c>
      <c r="C28" s="12" t="str">
        <f>Adfærd!A30</f>
        <v>Frugt</v>
      </c>
      <c r="D28">
        <f t="shared" si="1"/>
        <v>2030</v>
      </c>
      <c r="E28" s="76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130</v>
      </c>
      <c r="B29" t="s">
        <v>24</v>
      </c>
      <c r="C29" s="12" t="str">
        <f>Adfærd!A31</f>
        <v>Fisk</v>
      </c>
      <c r="D29">
        <f t="shared" si="1"/>
        <v>2030</v>
      </c>
      <c r="E29" s="76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130</v>
      </c>
      <c r="B30" t="s">
        <v>24</v>
      </c>
      <c r="C30" s="12" t="str">
        <f>Adfærd!A18</f>
        <v>Korn</v>
      </c>
      <c r="D30">
        <f t="shared" ref="D30:D43" si="2">År3</f>
        <v>2050</v>
      </c>
      <c r="E30" s="76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130</v>
      </c>
      <c r="B31" t="s">
        <v>24</v>
      </c>
      <c r="C31" s="12" t="str">
        <f>Adfærd!A19</f>
        <v>Grøntsager</v>
      </c>
      <c r="D31">
        <f t="shared" si="2"/>
        <v>2050</v>
      </c>
      <c r="E31" s="76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130</v>
      </c>
      <c r="B32" t="s">
        <v>24</v>
      </c>
      <c r="C32" s="12" t="str">
        <f>Adfærd!A20</f>
        <v>Kartofler</v>
      </c>
      <c r="D32">
        <f t="shared" si="2"/>
        <v>2050</v>
      </c>
      <c r="E32" s="76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130</v>
      </c>
      <c r="B33" t="s">
        <v>24</v>
      </c>
      <c r="C33" s="12" t="str">
        <f>Adfærd!A21</f>
        <v>Svinekød</v>
      </c>
      <c r="D33">
        <f t="shared" si="2"/>
        <v>2050</v>
      </c>
      <c r="E33" s="76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130</v>
      </c>
      <c r="B34" t="s">
        <v>24</v>
      </c>
      <c r="C34" s="12" t="str">
        <f>Adfærd!A22</f>
        <v>Oksekød</v>
      </c>
      <c r="D34">
        <f t="shared" si="2"/>
        <v>2050</v>
      </c>
      <c r="E34" s="76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130</v>
      </c>
      <c r="B35" t="s">
        <v>24</v>
      </c>
      <c r="C35" s="12" t="str">
        <f>Adfærd!A23</f>
        <v>Bælgsæd</v>
      </c>
      <c r="D35">
        <f t="shared" si="2"/>
        <v>2050</v>
      </c>
      <c r="E35" s="76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130</v>
      </c>
      <c r="B36" t="s">
        <v>24</v>
      </c>
      <c r="C36" s="12" t="str">
        <f>Adfærd!A24</f>
        <v>Muslinger</v>
      </c>
      <c r="D36">
        <f t="shared" si="2"/>
        <v>2050</v>
      </c>
      <c r="E36" s="76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130</v>
      </c>
      <c r="B37" t="s">
        <v>24</v>
      </c>
      <c r="C37" s="12" t="str">
        <f>Adfærd!A25</f>
        <v>Tang</v>
      </c>
      <c r="D37">
        <f t="shared" si="2"/>
        <v>2050</v>
      </c>
      <c r="E37" s="76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130</v>
      </c>
      <c r="B38" t="s">
        <v>24</v>
      </c>
      <c r="C38" s="12" t="str">
        <f>Adfærd!A26</f>
        <v>Kunstigt kød</v>
      </c>
      <c r="D38">
        <f t="shared" si="2"/>
        <v>2050</v>
      </c>
      <c r="E38" s="76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130</v>
      </c>
      <c r="B39" t="s">
        <v>24</v>
      </c>
      <c r="C39" s="12" t="str">
        <f>Adfærd!A27</f>
        <v>Mejeriprodukter</v>
      </c>
      <c r="D39">
        <f t="shared" si="2"/>
        <v>2050</v>
      </c>
      <c r="E39" s="76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130</v>
      </c>
      <c r="B40" t="s">
        <v>24</v>
      </c>
      <c r="C40" s="12" t="str">
        <f>Adfærd!A28</f>
        <v>Fjerkrækød</v>
      </c>
      <c r="D40">
        <f t="shared" si="2"/>
        <v>2050</v>
      </c>
      <c r="E40" s="76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130</v>
      </c>
      <c r="B41" t="s">
        <v>24</v>
      </c>
      <c r="C41" s="12" t="str">
        <f>Adfærd!A29</f>
        <v>Æg</v>
      </c>
      <c r="D41">
        <f t="shared" si="2"/>
        <v>2050</v>
      </c>
      <c r="E41" s="76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130</v>
      </c>
      <c r="B42" t="s">
        <v>24</v>
      </c>
      <c r="C42" s="12" t="str">
        <f>Adfærd!A30</f>
        <v>Frugt</v>
      </c>
      <c r="D42">
        <f t="shared" si="2"/>
        <v>2050</v>
      </c>
      <c r="E42" s="76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130</v>
      </c>
      <c r="B43" t="s">
        <v>24</v>
      </c>
      <c r="C43" s="12" t="str">
        <f>Adfærd!A31</f>
        <v>Fisk</v>
      </c>
      <c r="D43">
        <f t="shared" si="2"/>
        <v>2050</v>
      </c>
      <c r="E43" s="76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130</v>
      </c>
      <c r="B44" t="s">
        <v>25</v>
      </c>
      <c r="C44" s="12" t="str">
        <f>Adfærd!A18</f>
        <v>Korn</v>
      </c>
      <c r="D44">
        <f t="shared" ref="D44:D57" si="3">År1</f>
        <v>2019</v>
      </c>
      <c r="E44" s="76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130</v>
      </c>
      <c r="B45" t="s">
        <v>25</v>
      </c>
      <c r="C45" s="12" t="str">
        <f>Adfærd!A19</f>
        <v>Grøntsager</v>
      </c>
      <c r="D45">
        <f t="shared" si="3"/>
        <v>2019</v>
      </c>
      <c r="E45" s="76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130</v>
      </c>
      <c r="B46" t="s">
        <v>25</v>
      </c>
      <c r="C46" s="12" t="str">
        <f>Adfærd!A20</f>
        <v>Kartofler</v>
      </c>
      <c r="D46">
        <f t="shared" si="3"/>
        <v>2019</v>
      </c>
      <c r="E46" s="76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130</v>
      </c>
      <c r="B47" t="s">
        <v>25</v>
      </c>
      <c r="C47" s="12" t="str">
        <f>Adfærd!A21</f>
        <v>Svinekød</v>
      </c>
      <c r="D47">
        <f t="shared" si="3"/>
        <v>2019</v>
      </c>
      <c r="E47" s="76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130</v>
      </c>
      <c r="B48" t="s">
        <v>25</v>
      </c>
      <c r="C48" s="12" t="str">
        <f>Adfærd!A22</f>
        <v>Oksekød</v>
      </c>
      <c r="D48">
        <f t="shared" si="3"/>
        <v>2019</v>
      </c>
      <c r="E48" s="76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130</v>
      </c>
      <c r="B49" t="s">
        <v>25</v>
      </c>
      <c r="C49" s="12" t="str">
        <f>Adfærd!A23</f>
        <v>Bælgsæd</v>
      </c>
      <c r="D49">
        <f t="shared" si="3"/>
        <v>2019</v>
      </c>
      <c r="E49" s="76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130</v>
      </c>
      <c r="B50" t="s">
        <v>25</v>
      </c>
      <c r="C50" s="12" t="str">
        <f>Adfærd!A24</f>
        <v>Muslinger</v>
      </c>
      <c r="D50">
        <f t="shared" si="3"/>
        <v>2019</v>
      </c>
      <c r="E50" s="76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130</v>
      </c>
      <c r="B51" t="s">
        <v>25</v>
      </c>
      <c r="C51" s="12" t="str">
        <f>Adfærd!A25</f>
        <v>Tang</v>
      </c>
      <c r="D51">
        <f t="shared" si="3"/>
        <v>2019</v>
      </c>
      <c r="E51" s="76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130</v>
      </c>
      <c r="B52" t="s">
        <v>25</v>
      </c>
      <c r="C52" s="12" t="str">
        <f>Adfærd!A26</f>
        <v>Kunstigt kød</v>
      </c>
      <c r="D52">
        <f t="shared" si="3"/>
        <v>2019</v>
      </c>
      <c r="E52" s="76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130</v>
      </c>
      <c r="B53" t="s">
        <v>25</v>
      </c>
      <c r="C53" s="12" t="str">
        <f>Adfærd!A27</f>
        <v>Mejeriprodukter</v>
      </c>
      <c r="D53">
        <f t="shared" si="3"/>
        <v>2019</v>
      </c>
      <c r="E53" s="76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130</v>
      </c>
      <c r="B54" t="s">
        <v>25</v>
      </c>
      <c r="C54" s="12" t="str">
        <f>Adfærd!A28</f>
        <v>Fjerkrækød</v>
      </c>
      <c r="D54">
        <f t="shared" si="3"/>
        <v>2019</v>
      </c>
      <c r="E54" s="76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x14ac:dyDescent="0.25">
      <c r="A55" t="s">
        <v>130</v>
      </c>
      <c r="B55" t="s">
        <v>25</v>
      </c>
      <c r="C55" s="12" t="str">
        <f>Adfærd!A29</f>
        <v>Æg</v>
      </c>
      <c r="D55">
        <f t="shared" si="3"/>
        <v>2019</v>
      </c>
      <c r="E55" s="76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130</v>
      </c>
      <c r="B56" t="s">
        <v>25</v>
      </c>
      <c r="C56" s="12" t="str">
        <f>Adfærd!A30</f>
        <v>Frugt</v>
      </c>
      <c r="D56">
        <f t="shared" si="3"/>
        <v>2019</v>
      </c>
      <c r="E56" s="76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130</v>
      </c>
      <c r="B57" t="s">
        <v>25</v>
      </c>
      <c r="C57" s="12" t="str">
        <f>Adfærd!A31</f>
        <v>Fisk</v>
      </c>
      <c r="D57">
        <f t="shared" si="3"/>
        <v>2019</v>
      </c>
      <c r="E57" s="76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130</v>
      </c>
      <c r="B58" t="s">
        <v>25</v>
      </c>
      <c r="C58" s="12" t="str">
        <f>Adfærd!A18</f>
        <v>Korn</v>
      </c>
      <c r="D58">
        <f t="shared" ref="D58:D71" si="4">År2</f>
        <v>2030</v>
      </c>
      <c r="E58" s="76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130</v>
      </c>
      <c r="B59" t="s">
        <v>25</v>
      </c>
      <c r="C59" s="12" t="str">
        <f>Adfærd!A19</f>
        <v>Grøntsager</v>
      </c>
      <c r="D59">
        <f t="shared" si="4"/>
        <v>2030</v>
      </c>
      <c r="E59" s="76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130</v>
      </c>
      <c r="B60" t="s">
        <v>25</v>
      </c>
      <c r="C60" s="12" t="str">
        <f>Adfærd!A20</f>
        <v>Kartofler</v>
      </c>
      <c r="D60">
        <f t="shared" si="4"/>
        <v>2030</v>
      </c>
      <c r="E60" s="76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130</v>
      </c>
      <c r="B61" t="s">
        <v>25</v>
      </c>
      <c r="C61" s="12" t="str">
        <f>Adfærd!A21</f>
        <v>Svinekød</v>
      </c>
      <c r="D61">
        <f t="shared" si="4"/>
        <v>2030</v>
      </c>
      <c r="E61" s="76">
        <f>VLOOKUP(C61,Adfærd!$A$18:$D$31,MATCH(D61,Adfærd!$A$17:$D$17,0),FALSE)*365.25*VLOOKUP(B61,[1]Befolkningstal!$A$4:$D$6,MATCH(D61,[1]Befolkningstal!$A$3:$D$3,0),FALSE)/1000000/(1-Adfærd!B$12)</f>
        <v>105526.43984954793</v>
      </c>
    </row>
    <row r="62" spans="1:5" hidden="1" x14ac:dyDescent="0.25">
      <c r="A62" t="s">
        <v>130</v>
      </c>
      <c r="B62" t="s">
        <v>25</v>
      </c>
      <c r="C62" s="12" t="str">
        <f>Adfærd!A22</f>
        <v>Oksekød</v>
      </c>
      <c r="D62">
        <f t="shared" si="4"/>
        <v>2030</v>
      </c>
      <c r="E62" s="76">
        <f>VLOOKUP(C62,Adfærd!$A$18:$D$31,MATCH(D62,Adfærd!$A$17:$D$17,0),FALSE)*365.25*VLOOKUP(B62,[1]Befolkningstal!$A$4:$D$6,MATCH(D62,[1]Befolkningstal!$A$3:$D$3,0),FALSE)/1000000/(1-Adfærd!B$12)</f>
        <v>51975.70917962808</v>
      </c>
    </row>
    <row r="63" spans="1:5" hidden="1" x14ac:dyDescent="0.25">
      <c r="A63" t="s">
        <v>130</v>
      </c>
      <c r="B63" t="s">
        <v>25</v>
      </c>
      <c r="C63" s="12" t="str">
        <f>Adfærd!A23</f>
        <v>Bælgsæd</v>
      </c>
      <c r="D63">
        <f t="shared" si="4"/>
        <v>2030</v>
      </c>
      <c r="E63" s="76">
        <f>VLOOKUP(C63,Adfærd!$A$18:$D$31,MATCH(D63,Adfærd!$A$17:$D$17,0),FALSE)*365.25*VLOOKUP(B63,[1]Befolkningstal!$A$4:$D$6,MATCH(D63,[1]Befolkningstal!$A$3:$D$3,0),FALSE)/1000000/(1-Adfærd!B$12)</f>
        <v>0</v>
      </c>
    </row>
    <row r="64" spans="1:5" hidden="1" x14ac:dyDescent="0.25">
      <c r="A64" t="s">
        <v>130</v>
      </c>
      <c r="B64" t="s">
        <v>25</v>
      </c>
      <c r="C64" s="12" t="str">
        <f>Adfærd!A24</f>
        <v>Muslinger</v>
      </c>
      <c r="D64">
        <f t="shared" si="4"/>
        <v>2030</v>
      </c>
      <c r="E64" s="76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130</v>
      </c>
      <c r="B65" t="s">
        <v>25</v>
      </c>
      <c r="C65" s="12" t="str">
        <f>Adfærd!A25</f>
        <v>Tang</v>
      </c>
      <c r="D65">
        <f t="shared" si="4"/>
        <v>2030</v>
      </c>
      <c r="E65" s="76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130</v>
      </c>
      <c r="B66" t="s">
        <v>25</v>
      </c>
      <c r="C66" s="12" t="str">
        <f>Adfærd!A26</f>
        <v>Kunstigt kød</v>
      </c>
      <c r="D66">
        <f t="shared" si="4"/>
        <v>2030</v>
      </c>
      <c r="E66" s="76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130</v>
      </c>
      <c r="B67" t="s">
        <v>25</v>
      </c>
      <c r="C67" s="12" t="str">
        <f>Adfærd!A27</f>
        <v>Mejeriprodukter</v>
      </c>
      <c r="D67">
        <f t="shared" si="4"/>
        <v>2030</v>
      </c>
      <c r="E67" s="76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130</v>
      </c>
      <c r="B68" t="s">
        <v>25</v>
      </c>
      <c r="C68" s="12" t="str">
        <f>Adfærd!A28</f>
        <v>Fjerkrækød</v>
      </c>
      <c r="D68">
        <f t="shared" si="4"/>
        <v>2030</v>
      </c>
      <c r="E68" s="76">
        <f>VLOOKUP(C68,Adfærd!$A$18:$D$31,MATCH(D68,Adfærd!$A$17:$D$17,0),FALSE)*365.25*VLOOKUP(B68,[1]Befolkningstal!$A$4:$D$6,MATCH(D68,[1]Befolkningstal!$A$3:$D$3,0),FALSE)/1000000/(1-Adfærd!B$12)</f>
        <v>30560.118468347584</v>
      </c>
    </row>
    <row r="69" spans="1:5" hidden="1" x14ac:dyDescent="0.25">
      <c r="A69" t="s">
        <v>130</v>
      </c>
      <c r="B69" t="s">
        <v>25</v>
      </c>
      <c r="C69" s="12" t="str">
        <f>Adfærd!A29</f>
        <v>Æg</v>
      </c>
      <c r="D69">
        <f t="shared" si="4"/>
        <v>2030</v>
      </c>
      <c r="E69" s="76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130</v>
      </c>
      <c r="B70" t="s">
        <v>25</v>
      </c>
      <c r="C70" s="12" t="str">
        <f>Adfærd!A30</f>
        <v>Frugt</v>
      </c>
      <c r="D70">
        <f t="shared" si="4"/>
        <v>2030</v>
      </c>
      <c r="E70" s="76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130</v>
      </c>
      <c r="B71" t="s">
        <v>25</v>
      </c>
      <c r="C71" s="12" t="str">
        <f>Adfærd!A31</f>
        <v>Fisk</v>
      </c>
      <c r="D71">
        <f t="shared" si="4"/>
        <v>2030</v>
      </c>
      <c r="E71" s="76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130</v>
      </c>
      <c r="B72" t="s">
        <v>25</v>
      </c>
      <c r="C72" s="12" t="str">
        <f>Adfærd!A18</f>
        <v>Korn</v>
      </c>
      <c r="D72">
        <f t="shared" ref="D72:D85" si="5">År3</f>
        <v>2050</v>
      </c>
      <c r="E72" s="76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130</v>
      </c>
      <c r="B73" t="s">
        <v>25</v>
      </c>
      <c r="C73" s="12" t="str">
        <f>Adfærd!A19</f>
        <v>Grøntsager</v>
      </c>
      <c r="D73">
        <f t="shared" si="5"/>
        <v>2050</v>
      </c>
      <c r="E73" s="76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130</v>
      </c>
      <c r="B74" t="s">
        <v>25</v>
      </c>
      <c r="C74" s="12" t="str">
        <f>Adfærd!A20</f>
        <v>Kartofler</v>
      </c>
      <c r="D74">
        <f t="shared" si="5"/>
        <v>2050</v>
      </c>
      <c r="E74" s="76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130</v>
      </c>
      <c r="B75" t="s">
        <v>25</v>
      </c>
      <c r="C75" s="12" t="str">
        <f>Adfærd!A21</f>
        <v>Svinekød</v>
      </c>
      <c r="D75">
        <f t="shared" si="5"/>
        <v>2050</v>
      </c>
      <c r="E75" s="76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130</v>
      </c>
      <c r="B76" t="s">
        <v>25</v>
      </c>
      <c r="C76" s="12" t="str">
        <f>Adfærd!A22</f>
        <v>Oksekød</v>
      </c>
      <c r="D76">
        <f t="shared" si="5"/>
        <v>2050</v>
      </c>
      <c r="E76" s="76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130</v>
      </c>
      <c r="B77" t="s">
        <v>25</v>
      </c>
      <c r="C77" s="12" t="str">
        <f>Adfærd!A23</f>
        <v>Bælgsæd</v>
      </c>
      <c r="D77">
        <f t="shared" si="5"/>
        <v>2050</v>
      </c>
      <c r="E77" s="76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130</v>
      </c>
      <c r="B78" t="s">
        <v>25</v>
      </c>
      <c r="C78" s="12" t="str">
        <f>Adfærd!A24</f>
        <v>Muslinger</v>
      </c>
      <c r="D78">
        <f t="shared" si="5"/>
        <v>2050</v>
      </c>
      <c r="E78" s="76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130</v>
      </c>
      <c r="B79" t="s">
        <v>25</v>
      </c>
      <c r="C79" s="12" t="str">
        <f>Adfærd!A25</f>
        <v>Tang</v>
      </c>
      <c r="D79">
        <f t="shared" si="5"/>
        <v>2050</v>
      </c>
      <c r="E79" s="76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130</v>
      </c>
      <c r="B80" t="s">
        <v>25</v>
      </c>
      <c r="C80" s="12" t="str">
        <f>Adfærd!A26</f>
        <v>Kunstigt kød</v>
      </c>
      <c r="D80">
        <f t="shared" si="5"/>
        <v>2050</v>
      </c>
      <c r="E80" s="76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130</v>
      </c>
      <c r="B81" t="s">
        <v>25</v>
      </c>
      <c r="C81" s="12" t="str">
        <f>Adfærd!A27</f>
        <v>Mejeriprodukter</v>
      </c>
      <c r="D81">
        <f t="shared" si="5"/>
        <v>2050</v>
      </c>
      <c r="E81" s="76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130</v>
      </c>
      <c r="B82" t="s">
        <v>25</v>
      </c>
      <c r="C82" s="12" t="str">
        <f>Adfærd!A28</f>
        <v>Fjerkrækød</v>
      </c>
      <c r="D82">
        <f t="shared" si="5"/>
        <v>2050</v>
      </c>
      <c r="E82" s="76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130</v>
      </c>
      <c r="B83" t="s">
        <v>25</v>
      </c>
      <c r="C83" s="12" t="str">
        <f>Adfærd!A29</f>
        <v>Æg</v>
      </c>
      <c r="D83">
        <f t="shared" si="5"/>
        <v>2050</v>
      </c>
      <c r="E83" s="76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130</v>
      </c>
      <c r="B84" t="s">
        <v>25</v>
      </c>
      <c r="C84" s="12" t="str">
        <f>Adfærd!A30</f>
        <v>Frugt</v>
      </c>
      <c r="D84">
        <f t="shared" si="5"/>
        <v>2050</v>
      </c>
      <c r="E84" s="76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130</v>
      </c>
      <c r="B85" t="s">
        <v>25</v>
      </c>
      <c r="C85" s="12" t="str">
        <f>Adfærd!A31</f>
        <v>Fisk</v>
      </c>
      <c r="D85">
        <f t="shared" si="5"/>
        <v>2050</v>
      </c>
      <c r="E85" s="76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112</v>
      </c>
      <c r="B86" t="s">
        <v>24</v>
      </c>
      <c r="C86" s="100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112</v>
      </c>
      <c r="B87" t="s">
        <v>24</v>
      </c>
      <c r="C87" s="100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112</v>
      </c>
      <c r="B88" t="s">
        <v>24</v>
      </c>
      <c r="C88" s="100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112</v>
      </c>
      <c r="B89" t="s">
        <v>24</v>
      </c>
      <c r="C89" s="100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112</v>
      </c>
      <c r="B90" t="s">
        <v>24</v>
      </c>
      <c r="C90" s="100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112</v>
      </c>
      <c r="B91" t="s">
        <v>24</v>
      </c>
      <c r="C91" s="100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112</v>
      </c>
      <c r="B92" t="s">
        <v>24</v>
      </c>
      <c r="C92" s="100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112</v>
      </c>
      <c r="B93" t="s">
        <v>24</v>
      </c>
      <c r="C93" s="100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112</v>
      </c>
      <c r="B94" t="s">
        <v>24</v>
      </c>
      <c r="C94" s="100" t="str">
        <f>Biogasanlæg!A20</f>
        <v>Halm</v>
      </c>
      <c r="D94">
        <f t="shared" si="6"/>
        <v>2019</v>
      </c>
      <c r="E94" s="330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112</v>
      </c>
      <c r="B95" t="s">
        <v>24</v>
      </c>
      <c r="C95" s="100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112</v>
      </c>
      <c r="B96" t="s">
        <v>24</v>
      </c>
      <c r="C96" s="100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112</v>
      </c>
      <c r="B97" t="s">
        <v>24</v>
      </c>
      <c r="C97" s="100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112</v>
      </c>
      <c r="B98" t="s">
        <v>24</v>
      </c>
      <c r="C98" s="100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112</v>
      </c>
      <c r="B99" t="s">
        <v>24</v>
      </c>
      <c r="C99" s="100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112</v>
      </c>
      <c r="B100" t="s">
        <v>24</v>
      </c>
      <c r="C100" s="100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112</v>
      </c>
      <c r="B101" t="s">
        <v>24</v>
      </c>
      <c r="C101" s="100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112</v>
      </c>
      <c r="B102" t="s">
        <v>24</v>
      </c>
      <c r="C102" s="100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112</v>
      </c>
      <c r="B103" t="s">
        <v>24</v>
      </c>
      <c r="C103" s="100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9798641.5643226951</v>
      </c>
    </row>
    <row r="104" spans="1:5" hidden="1" x14ac:dyDescent="0.25">
      <c r="A104" t="s">
        <v>112</v>
      </c>
      <c r="B104" t="s">
        <v>24</v>
      </c>
      <c r="C104" s="100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25">
      <c r="A105" t="s">
        <v>112</v>
      </c>
      <c r="B105" t="s">
        <v>24</v>
      </c>
      <c r="C105" s="100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5422.7719881045641</v>
      </c>
    </row>
    <row r="106" spans="1:5" hidden="1" x14ac:dyDescent="0.25">
      <c r="A106" t="s">
        <v>112</v>
      </c>
      <c r="B106" t="s">
        <v>24</v>
      </c>
      <c r="C106" s="100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1986955.49875235</v>
      </c>
    </row>
    <row r="107" spans="1:5" hidden="1" x14ac:dyDescent="0.25">
      <c r="A107" t="s">
        <v>112</v>
      </c>
      <c r="B107" t="s">
        <v>24</v>
      </c>
      <c r="C107" s="100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112</v>
      </c>
      <c r="B108" t="s">
        <v>24</v>
      </c>
      <c r="C108" s="100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25">
      <c r="A109" t="s">
        <v>112</v>
      </c>
      <c r="B109" t="s">
        <v>24</v>
      </c>
      <c r="C109" s="100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1989694.3638441348</v>
      </c>
    </row>
    <row r="110" spans="1:5" hidden="1" x14ac:dyDescent="0.25">
      <c r="A110" t="s">
        <v>112</v>
      </c>
      <c r="B110" t="s">
        <v>24</v>
      </c>
      <c r="C110" s="100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3691.1998628894726</v>
      </c>
    </row>
    <row r="111" spans="1:5" hidden="1" x14ac:dyDescent="0.25">
      <c r="A111" t="s">
        <v>112</v>
      </c>
      <c r="B111" t="s">
        <v>24</v>
      </c>
      <c r="C111" s="100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0</v>
      </c>
    </row>
    <row r="112" spans="1:5" hidden="1" x14ac:dyDescent="0.25">
      <c r="A112" t="s">
        <v>112</v>
      </c>
      <c r="B112" t="s">
        <v>24</v>
      </c>
      <c r="C112" s="100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0</v>
      </c>
    </row>
    <row r="113" spans="1:5" hidden="1" x14ac:dyDescent="0.25">
      <c r="A113" t="s">
        <v>112</v>
      </c>
      <c r="B113" t="s">
        <v>24</v>
      </c>
      <c r="C113" s="100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0</v>
      </c>
    </row>
    <row r="114" spans="1:5" hidden="1" x14ac:dyDescent="0.25">
      <c r="A114" t="s">
        <v>112</v>
      </c>
      <c r="B114" t="s">
        <v>24</v>
      </c>
      <c r="C114" s="100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0</v>
      </c>
    </row>
    <row r="115" spans="1:5" hidden="1" x14ac:dyDescent="0.25">
      <c r="A115" t="s">
        <v>112</v>
      </c>
      <c r="B115" t="s">
        <v>24</v>
      </c>
      <c r="C115" s="100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0</v>
      </c>
    </row>
    <row r="116" spans="1:5" hidden="1" x14ac:dyDescent="0.25">
      <c r="A116" t="s">
        <v>112</v>
      </c>
      <c r="B116" t="s">
        <v>24</v>
      </c>
      <c r="C116" s="100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267973.79239933251</v>
      </c>
    </row>
    <row r="117" spans="1:5" hidden="1" x14ac:dyDescent="0.25">
      <c r="A117" t="s">
        <v>112</v>
      </c>
      <c r="B117" t="s">
        <v>24</v>
      </c>
      <c r="C117" s="100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112</v>
      </c>
      <c r="B118" t="s">
        <v>24</v>
      </c>
      <c r="C118" s="100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112</v>
      </c>
      <c r="B119" t="s">
        <v>24</v>
      </c>
      <c r="C119" s="100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112</v>
      </c>
      <c r="B120" t="s">
        <v>24</v>
      </c>
      <c r="C120" s="102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11545833.414063649</v>
      </c>
    </row>
    <row r="121" spans="1:5" hidden="1" x14ac:dyDescent="0.25">
      <c r="A121" t="s">
        <v>112</v>
      </c>
      <c r="B121" t="s">
        <v>24</v>
      </c>
      <c r="C121" s="102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10188325.20203986</v>
      </c>
    </row>
    <row r="122" spans="1:5" hidden="1" x14ac:dyDescent="0.25">
      <c r="A122" t="s">
        <v>112</v>
      </c>
      <c r="B122" t="s">
        <v>24</v>
      </c>
      <c r="C122" s="102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6892.4253779859373</v>
      </c>
    </row>
    <row r="123" spans="1:5" hidden="1" x14ac:dyDescent="0.25">
      <c r="A123" t="s">
        <v>112</v>
      </c>
      <c r="B123" t="s">
        <v>24</v>
      </c>
      <c r="C123" s="102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3297466.0782270324</v>
      </c>
    </row>
    <row r="124" spans="1:5" hidden="1" x14ac:dyDescent="0.25">
      <c r="A124" t="s">
        <v>112</v>
      </c>
      <c r="B124" t="s">
        <v>24</v>
      </c>
      <c r="C124" s="102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112</v>
      </c>
      <c r="B125" t="s">
        <v>24</v>
      </c>
      <c r="C125" s="102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25">
      <c r="A126" t="s">
        <v>112</v>
      </c>
      <c r="B126" t="s">
        <v>24</v>
      </c>
      <c r="C126" s="102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2222382.1821508608</v>
      </c>
    </row>
    <row r="127" spans="1:5" hidden="1" x14ac:dyDescent="0.25">
      <c r="A127" t="s">
        <v>112</v>
      </c>
      <c r="B127" t="s">
        <v>24</v>
      </c>
      <c r="C127" s="102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5905.9197806231568</v>
      </c>
    </row>
    <row r="128" spans="1:5" hidden="1" x14ac:dyDescent="0.25">
      <c r="A128" t="s">
        <v>112</v>
      </c>
      <c r="B128" t="s">
        <v>24</v>
      </c>
      <c r="C128" s="102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0</v>
      </c>
    </row>
    <row r="129" spans="1:5" hidden="1" x14ac:dyDescent="0.25">
      <c r="A129" t="s">
        <v>112</v>
      </c>
      <c r="B129" t="s">
        <v>24</v>
      </c>
      <c r="C129" s="102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0</v>
      </c>
    </row>
    <row r="130" spans="1:5" hidden="1" x14ac:dyDescent="0.25">
      <c r="A130" t="s">
        <v>112</v>
      </c>
      <c r="B130" t="s">
        <v>24</v>
      </c>
      <c r="C130" s="102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0</v>
      </c>
    </row>
    <row r="131" spans="1:5" hidden="1" x14ac:dyDescent="0.25">
      <c r="A131" t="s">
        <v>112</v>
      </c>
      <c r="B131" t="s">
        <v>24</v>
      </c>
      <c r="C131" s="102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0</v>
      </c>
    </row>
    <row r="132" spans="1:5" hidden="1" x14ac:dyDescent="0.25">
      <c r="A132" t="s">
        <v>112</v>
      </c>
      <c r="B132" t="s">
        <v>24</v>
      </c>
      <c r="C132" s="102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0</v>
      </c>
    </row>
    <row r="133" spans="1:5" hidden="1" x14ac:dyDescent="0.25">
      <c r="A133" t="s">
        <v>112</v>
      </c>
      <c r="B133" t="s">
        <v>24</v>
      </c>
      <c r="C133" s="102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267031.5264916165</v>
      </c>
    </row>
    <row r="134" spans="1:5" hidden="1" x14ac:dyDescent="0.25">
      <c r="A134" t="s">
        <v>112</v>
      </c>
      <c r="B134" t="s">
        <v>24</v>
      </c>
      <c r="C134" s="102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112</v>
      </c>
      <c r="B135" t="s">
        <v>24</v>
      </c>
      <c r="C135" s="102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112</v>
      </c>
      <c r="B136" t="s">
        <v>24</v>
      </c>
      <c r="C136" s="102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112</v>
      </c>
      <c r="B137" t="s">
        <v>25</v>
      </c>
      <c r="C137" s="102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112</v>
      </c>
      <c r="B138" t="s">
        <v>25</v>
      </c>
      <c r="C138" s="102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112</v>
      </c>
      <c r="B139" t="s">
        <v>25</v>
      </c>
      <c r="C139" s="102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112</v>
      </c>
      <c r="B140" t="s">
        <v>25</v>
      </c>
      <c r="C140" s="102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112</v>
      </c>
      <c r="B141" t="s">
        <v>25</v>
      </c>
      <c r="C141" s="102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112</v>
      </c>
      <c r="B142" t="s">
        <v>25</v>
      </c>
      <c r="C142" s="102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112</v>
      </c>
      <c r="B143" t="s">
        <v>25</v>
      </c>
      <c r="C143" s="102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112</v>
      </c>
      <c r="B144" t="s">
        <v>25</v>
      </c>
      <c r="C144" s="102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112</v>
      </c>
      <c r="B145" t="s">
        <v>25</v>
      </c>
      <c r="C145" s="102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112</v>
      </c>
      <c r="B146" t="s">
        <v>25</v>
      </c>
      <c r="C146" s="102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112</v>
      </c>
      <c r="B147" t="s">
        <v>25</v>
      </c>
      <c r="C147" s="102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112</v>
      </c>
      <c r="B148" t="s">
        <v>25</v>
      </c>
      <c r="C148" s="102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112</v>
      </c>
      <c r="B149" t="s">
        <v>25</v>
      </c>
      <c r="C149" s="102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112</v>
      </c>
      <c r="B150" t="s">
        <v>25</v>
      </c>
      <c r="C150" s="102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112</v>
      </c>
      <c r="B151" t="s">
        <v>25</v>
      </c>
      <c r="C151" s="102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112</v>
      </c>
      <c r="B152" t="s">
        <v>25</v>
      </c>
      <c r="C152" s="102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112</v>
      </c>
      <c r="B153" t="s">
        <v>25</v>
      </c>
      <c r="C153" s="102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112</v>
      </c>
      <c r="B154" t="s">
        <v>25</v>
      </c>
      <c r="C154" s="102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1419794.8947278499</v>
      </c>
    </row>
    <row r="155" spans="1:5" hidden="1" x14ac:dyDescent="0.25">
      <c r="A155" t="s">
        <v>112</v>
      </c>
      <c r="B155" t="s">
        <v>25</v>
      </c>
      <c r="C155" s="102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25">
      <c r="A156" t="s">
        <v>112</v>
      </c>
      <c r="B156" t="s">
        <v>25</v>
      </c>
      <c r="C156" s="102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455.13125134935552</v>
      </c>
    </row>
    <row r="157" spans="1:5" hidden="1" x14ac:dyDescent="0.25">
      <c r="A157" t="s">
        <v>112</v>
      </c>
      <c r="B157" t="s">
        <v>25</v>
      </c>
      <c r="C157" s="102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1672027.0453821167</v>
      </c>
    </row>
    <row r="158" spans="1:5" hidden="1" x14ac:dyDescent="0.25">
      <c r="A158" t="s">
        <v>112</v>
      </c>
      <c r="B158" t="s">
        <v>25</v>
      </c>
      <c r="C158" s="102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112</v>
      </c>
      <c r="B159" t="s">
        <v>25</v>
      </c>
      <c r="C159" s="102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25">
      <c r="A160" t="s">
        <v>112</v>
      </c>
      <c r="B160" t="s">
        <v>25</v>
      </c>
      <c r="C160" s="102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268541.33219413611</v>
      </c>
    </row>
    <row r="161" spans="1:5" hidden="1" x14ac:dyDescent="0.25">
      <c r="A161" t="s">
        <v>112</v>
      </c>
      <c r="B161" t="s">
        <v>25</v>
      </c>
      <c r="C161" s="102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453.06209892036168</v>
      </c>
    </row>
    <row r="162" spans="1:5" hidden="1" x14ac:dyDescent="0.25">
      <c r="A162" t="s">
        <v>112</v>
      </c>
      <c r="B162" t="s">
        <v>25</v>
      </c>
      <c r="C162" s="102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0</v>
      </c>
    </row>
    <row r="163" spans="1:5" hidden="1" x14ac:dyDescent="0.25">
      <c r="A163" t="s">
        <v>112</v>
      </c>
      <c r="B163" t="s">
        <v>25</v>
      </c>
      <c r="C163" s="102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0</v>
      </c>
    </row>
    <row r="164" spans="1:5" hidden="1" x14ac:dyDescent="0.25">
      <c r="A164" t="s">
        <v>112</v>
      </c>
      <c r="B164" t="s">
        <v>25</v>
      </c>
      <c r="C164" s="102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0</v>
      </c>
    </row>
    <row r="165" spans="1:5" hidden="1" x14ac:dyDescent="0.25">
      <c r="A165" t="s">
        <v>112</v>
      </c>
      <c r="B165" t="s">
        <v>25</v>
      </c>
      <c r="C165" s="102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0</v>
      </c>
    </row>
    <row r="166" spans="1:5" hidden="1" x14ac:dyDescent="0.25">
      <c r="A166" t="s">
        <v>112</v>
      </c>
      <c r="B166" t="s">
        <v>25</v>
      </c>
      <c r="C166" s="102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0</v>
      </c>
    </row>
    <row r="167" spans="1:5" hidden="1" x14ac:dyDescent="0.25">
      <c r="A167" t="s">
        <v>112</v>
      </c>
      <c r="B167" t="s">
        <v>25</v>
      </c>
      <c r="C167" s="102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232026.20760066749</v>
      </c>
    </row>
    <row r="168" spans="1:5" hidden="1" x14ac:dyDescent="0.25">
      <c r="A168" t="s">
        <v>112</v>
      </c>
      <c r="B168" t="s">
        <v>25</v>
      </c>
      <c r="C168" s="102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112</v>
      </c>
      <c r="B169" t="s">
        <v>25</v>
      </c>
      <c r="C169" s="102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112</v>
      </c>
      <c r="B170" t="s">
        <v>25</v>
      </c>
      <c r="C170" s="102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112</v>
      </c>
      <c r="B171" t="s">
        <v>25</v>
      </c>
      <c r="C171" s="102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1672957.9533098158</v>
      </c>
    </row>
    <row r="172" spans="1:5" hidden="1" x14ac:dyDescent="0.25">
      <c r="A172" t="s">
        <v>112</v>
      </c>
      <c r="B172" t="s">
        <v>25</v>
      </c>
      <c r="C172" s="102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724125.12538599269</v>
      </c>
    </row>
    <row r="173" spans="1:5" hidden="1" x14ac:dyDescent="0.25">
      <c r="A173" t="s">
        <v>112</v>
      </c>
      <c r="B173" t="s">
        <v>25</v>
      </c>
      <c r="C173" s="102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578.47871789484259</v>
      </c>
    </row>
    <row r="174" spans="1:5" hidden="1" x14ac:dyDescent="0.25">
      <c r="A174" t="s">
        <v>112</v>
      </c>
      <c r="B174" t="s">
        <v>25</v>
      </c>
      <c r="C174" s="102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2800225.1934703197</v>
      </c>
    </row>
    <row r="175" spans="1:5" hidden="1" x14ac:dyDescent="0.25">
      <c r="A175" t="s">
        <v>112</v>
      </c>
      <c r="B175" t="s">
        <v>25</v>
      </c>
      <c r="C175" s="102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112</v>
      </c>
      <c r="B176" t="s">
        <v>25</v>
      </c>
      <c r="C176" s="102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25">
      <c r="A177" t="s">
        <v>112</v>
      </c>
      <c r="B177" t="s">
        <v>25</v>
      </c>
      <c r="C177" s="102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301646.48561279994</v>
      </c>
    </row>
    <row r="178" spans="1:18" hidden="1" x14ac:dyDescent="0.25">
      <c r="A178" t="s">
        <v>112</v>
      </c>
      <c r="B178" t="s">
        <v>25</v>
      </c>
      <c r="C178" s="102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724.89935827257864</v>
      </c>
    </row>
    <row r="179" spans="1:18" hidden="1" x14ac:dyDescent="0.25">
      <c r="A179" t="s">
        <v>112</v>
      </c>
      <c r="B179" t="s">
        <v>25</v>
      </c>
      <c r="C179" s="102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0</v>
      </c>
    </row>
    <row r="180" spans="1:18" hidden="1" x14ac:dyDescent="0.25">
      <c r="A180" t="s">
        <v>112</v>
      </c>
      <c r="B180" t="s">
        <v>25</v>
      </c>
      <c r="C180" s="102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0</v>
      </c>
    </row>
    <row r="181" spans="1:18" hidden="1" x14ac:dyDescent="0.25">
      <c r="A181" t="s">
        <v>112</v>
      </c>
      <c r="B181" t="s">
        <v>25</v>
      </c>
      <c r="C181" s="102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0</v>
      </c>
    </row>
    <row r="182" spans="1:18" hidden="1" x14ac:dyDescent="0.25">
      <c r="A182" t="s">
        <v>112</v>
      </c>
      <c r="B182" t="s">
        <v>25</v>
      </c>
      <c r="C182" s="102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0</v>
      </c>
    </row>
    <row r="183" spans="1:18" hidden="1" x14ac:dyDescent="0.25">
      <c r="A183" t="s">
        <v>112</v>
      </c>
      <c r="B183" t="s">
        <v>25</v>
      </c>
      <c r="C183" s="102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0</v>
      </c>
    </row>
    <row r="184" spans="1:18" hidden="1" x14ac:dyDescent="0.25">
      <c r="A184" t="s">
        <v>112</v>
      </c>
      <c r="B184" t="s">
        <v>25</v>
      </c>
      <c r="C184" s="102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232968.47350838353</v>
      </c>
    </row>
    <row r="185" spans="1:18" hidden="1" x14ac:dyDescent="0.25">
      <c r="A185" t="s">
        <v>112</v>
      </c>
      <c r="B185" t="s">
        <v>25</v>
      </c>
      <c r="C185" s="102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25">
      <c r="A186" t="s">
        <v>112</v>
      </c>
      <c r="B186" t="s">
        <v>25</v>
      </c>
      <c r="C186" s="102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25">
      <c r="A187" t="s">
        <v>112</v>
      </c>
      <c r="B187" t="s">
        <v>25</v>
      </c>
      <c r="C187" s="102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25">
      <c r="A188" s="101" t="s">
        <v>115</v>
      </c>
      <c r="B188" t="s">
        <v>24</v>
      </c>
      <c r="C188" s="102" t="str">
        <f>Fodersammensætning!B21</f>
        <v>Korn</v>
      </c>
      <c r="D188">
        <f t="shared" ref="D188:D202" si="12">År1</f>
        <v>2019</v>
      </c>
      <c r="E188" s="153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18" hidden="1" x14ac:dyDescent="0.25">
      <c r="A189" s="101" t="s">
        <v>115</v>
      </c>
      <c r="B189" t="s">
        <v>24</v>
      </c>
      <c r="C189" s="102" t="str">
        <f>Fodersammensætning!B22</f>
        <v>Halm</v>
      </c>
      <c r="D189">
        <f t="shared" si="12"/>
        <v>2019</v>
      </c>
      <c r="E189" s="153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9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25">
      <c r="A190" s="101" t="s">
        <v>115</v>
      </c>
      <c r="B190" t="s">
        <v>24</v>
      </c>
      <c r="C190" s="102" t="str">
        <f>Fodersammensætning!B23</f>
        <v>Kartofler</v>
      </c>
      <c r="D190">
        <f t="shared" si="12"/>
        <v>2019</v>
      </c>
      <c r="E190" s="153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25">
      <c r="A191" s="101" t="s">
        <v>115</v>
      </c>
      <c r="B191" t="s">
        <v>24</v>
      </c>
      <c r="C191" s="102" t="str">
        <f>Fodersammensætning!B24</f>
        <v>Bælgsæd</v>
      </c>
      <c r="D191">
        <f t="shared" si="12"/>
        <v>2019</v>
      </c>
      <c r="E191" s="153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25">
      <c r="A192" s="101" t="s">
        <v>115</v>
      </c>
      <c r="B192" t="s">
        <v>24</v>
      </c>
      <c r="C192" s="102" t="str">
        <f>Fodersammensætning!B25</f>
        <v>Roer</v>
      </c>
      <c r="D192">
        <f t="shared" si="12"/>
        <v>2019</v>
      </c>
      <c r="E192" s="153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1" t="s">
        <v>115</v>
      </c>
      <c r="B193" t="s">
        <v>24</v>
      </c>
      <c r="C193" s="102" t="str">
        <f>Fodersammensætning!B26</f>
        <v>Majs</v>
      </c>
      <c r="D193">
        <f t="shared" si="12"/>
        <v>2019</v>
      </c>
      <c r="E193" s="153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1" t="s">
        <v>115</v>
      </c>
      <c r="B194" t="s">
        <v>24</v>
      </c>
      <c r="C194" s="102" t="str">
        <f>Fodersammensætning!B27</f>
        <v>Rapskage</v>
      </c>
      <c r="D194">
        <f t="shared" si="12"/>
        <v>2019</v>
      </c>
      <c r="E194" s="153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1" t="s">
        <v>115</v>
      </c>
      <c r="B195" t="s">
        <v>24</v>
      </c>
      <c r="C195" s="102" t="str">
        <f>Fodersammensætning!B28</f>
        <v>Tang</v>
      </c>
      <c r="D195">
        <f t="shared" si="12"/>
        <v>2019</v>
      </c>
      <c r="E195" s="153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1" t="s">
        <v>115</v>
      </c>
      <c r="B196" t="s">
        <v>24</v>
      </c>
      <c r="C196" s="102" t="str">
        <f>Fodersammensætning!B29</f>
        <v>Muslinger</v>
      </c>
      <c r="D196">
        <f t="shared" si="12"/>
        <v>2019</v>
      </c>
      <c r="E196" s="153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1" t="s">
        <v>115</v>
      </c>
      <c r="B197" t="s">
        <v>24</v>
      </c>
      <c r="C197" s="102" t="str">
        <f>Fodersammensætning!B30</f>
        <v>Græs</v>
      </c>
      <c r="D197">
        <f t="shared" si="12"/>
        <v>2019</v>
      </c>
      <c r="E197" s="153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1" t="s">
        <v>115</v>
      </c>
      <c r="B198" t="s">
        <v>24</v>
      </c>
      <c r="C198" s="102" t="str">
        <f>Fodersammensætning!B31</f>
        <v>Mælk til foder</v>
      </c>
      <c r="D198">
        <f t="shared" si="12"/>
        <v>2019</v>
      </c>
      <c r="E198" s="153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1" t="s">
        <v>115</v>
      </c>
      <c r="B199" t="s">
        <v>24</v>
      </c>
      <c r="C199" s="102" t="str">
        <f>Fodersammensætning!B32</f>
        <v>Fiberfraktion</v>
      </c>
      <c r="D199">
        <f t="shared" si="12"/>
        <v>2019</v>
      </c>
      <c r="E199" s="153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1" t="s">
        <v>115</v>
      </c>
      <c r="B200" t="s">
        <v>24</v>
      </c>
      <c r="C200" s="102" t="str">
        <f>Fodersammensætning!B33</f>
        <v>Græsprotein</v>
      </c>
      <c r="D200">
        <f t="shared" si="12"/>
        <v>2019</v>
      </c>
      <c r="E200" s="153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1" t="s">
        <v>115</v>
      </c>
      <c r="B201" t="s">
        <v>24</v>
      </c>
      <c r="C201" s="102" t="str">
        <f>Fodersammensætning!B34</f>
        <v>Slagteriaffald til foder</v>
      </c>
      <c r="D201">
        <f t="shared" si="12"/>
        <v>2019</v>
      </c>
      <c r="E201" s="153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1" t="s">
        <v>115</v>
      </c>
      <c r="B202" t="s">
        <v>24</v>
      </c>
      <c r="C202" s="102" t="str">
        <f>Fodersammensætning!B35</f>
        <v>Import af foder</v>
      </c>
      <c r="D202">
        <f t="shared" si="12"/>
        <v>2019</v>
      </c>
      <c r="E202" s="153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1" t="s">
        <v>115</v>
      </c>
      <c r="B203" t="s">
        <v>24</v>
      </c>
      <c r="C203" s="102" t="str">
        <f>C188</f>
        <v>Korn</v>
      </c>
      <c r="D203">
        <f t="shared" ref="D203:D217" si="13">År2</f>
        <v>2030</v>
      </c>
      <c r="E203" s="153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6085811.9789329367</v>
      </c>
    </row>
    <row r="204" spans="1:5" hidden="1" x14ac:dyDescent="0.25">
      <c r="A204" s="101" t="s">
        <v>115</v>
      </c>
      <c r="B204" t="s">
        <v>24</v>
      </c>
      <c r="C204" s="102" t="str">
        <f t="shared" ref="C204:C267" si="14">C189</f>
        <v>Halm</v>
      </c>
      <c r="D204">
        <f t="shared" si="13"/>
        <v>2030</v>
      </c>
      <c r="E204" s="153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</row>
    <row r="205" spans="1:5" hidden="1" x14ac:dyDescent="0.25">
      <c r="A205" s="101" t="s">
        <v>115</v>
      </c>
      <c r="B205" t="s">
        <v>24</v>
      </c>
      <c r="C205" s="102" t="str">
        <f t="shared" si="14"/>
        <v>Kartofler</v>
      </c>
      <c r="D205">
        <f t="shared" si="13"/>
        <v>2030</v>
      </c>
      <c r="E205" s="153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1" t="s">
        <v>115</v>
      </c>
      <c r="B206" t="s">
        <v>24</v>
      </c>
      <c r="C206" s="102" t="str">
        <f t="shared" si="14"/>
        <v>Bælgsæd</v>
      </c>
      <c r="D206">
        <f t="shared" si="13"/>
        <v>2030</v>
      </c>
      <c r="E206" s="153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</row>
    <row r="207" spans="1:5" hidden="1" x14ac:dyDescent="0.25">
      <c r="A207" s="101" t="s">
        <v>115</v>
      </c>
      <c r="B207" t="s">
        <v>24</v>
      </c>
      <c r="C207" s="102" t="str">
        <f t="shared" si="14"/>
        <v>Roer</v>
      </c>
      <c r="D207">
        <f t="shared" si="13"/>
        <v>2030</v>
      </c>
      <c r="E207" s="153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868637.91677766922</v>
      </c>
    </row>
    <row r="208" spans="1:5" hidden="1" x14ac:dyDescent="0.25">
      <c r="A208" s="101" t="s">
        <v>115</v>
      </c>
      <c r="B208" t="s">
        <v>24</v>
      </c>
      <c r="C208" s="102" t="str">
        <f t="shared" si="14"/>
        <v>Majs</v>
      </c>
      <c r="D208">
        <f t="shared" si="13"/>
        <v>2030</v>
      </c>
      <c r="E208" s="153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5659611.4645835822</v>
      </c>
    </row>
    <row r="209" spans="1:5" hidden="1" x14ac:dyDescent="0.25">
      <c r="A209" s="101" t="s">
        <v>115</v>
      </c>
      <c r="B209" t="s">
        <v>24</v>
      </c>
      <c r="C209" s="102" t="str">
        <f t="shared" si="14"/>
        <v>Rapskage</v>
      </c>
      <c r="D209">
        <f t="shared" si="13"/>
        <v>2030</v>
      </c>
      <c r="E209" s="153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</row>
    <row r="210" spans="1:5" hidden="1" x14ac:dyDescent="0.25">
      <c r="A210" s="101" t="s">
        <v>115</v>
      </c>
      <c r="B210" t="s">
        <v>24</v>
      </c>
      <c r="C210" s="102" t="str">
        <f t="shared" si="14"/>
        <v>Tang</v>
      </c>
      <c r="D210">
        <f t="shared" si="13"/>
        <v>2030</v>
      </c>
      <c r="E210" s="153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9726.8074687720582</v>
      </c>
    </row>
    <row r="211" spans="1:5" hidden="1" x14ac:dyDescent="0.25">
      <c r="A211" s="101" t="s">
        <v>115</v>
      </c>
      <c r="B211" t="s">
        <v>24</v>
      </c>
      <c r="C211" s="102" t="str">
        <f t="shared" si="14"/>
        <v>Muslinger</v>
      </c>
      <c r="D211">
        <f t="shared" si="13"/>
        <v>2030</v>
      </c>
      <c r="E211" s="153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46909.42609053191</v>
      </c>
    </row>
    <row r="212" spans="1:5" hidden="1" x14ac:dyDescent="0.25">
      <c r="A212" s="101" t="s">
        <v>115</v>
      </c>
      <c r="B212" t="s">
        <v>24</v>
      </c>
      <c r="C212" s="102" t="str">
        <f t="shared" si="14"/>
        <v>Græs</v>
      </c>
      <c r="D212">
        <f t="shared" si="13"/>
        <v>2030</v>
      </c>
      <c r="E212" s="153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10578766.547699077</v>
      </c>
    </row>
    <row r="213" spans="1:5" hidden="1" x14ac:dyDescent="0.25">
      <c r="A213" s="101" t="s">
        <v>115</v>
      </c>
      <c r="B213" t="s">
        <v>24</v>
      </c>
      <c r="C213" s="102" t="str">
        <f t="shared" si="14"/>
        <v>Mælk til foder</v>
      </c>
      <c r="D213">
        <f t="shared" si="13"/>
        <v>2030</v>
      </c>
      <c r="E213" s="153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</row>
    <row r="214" spans="1:5" hidden="1" x14ac:dyDescent="0.25">
      <c r="A214" s="101" t="s">
        <v>115</v>
      </c>
      <c r="B214" t="s">
        <v>24</v>
      </c>
      <c r="C214" s="102" t="str">
        <f t="shared" si="14"/>
        <v>Fiberfraktion</v>
      </c>
      <c r="D214">
        <f t="shared" si="13"/>
        <v>2030</v>
      </c>
      <c r="E214" s="153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5201.2984929347494</v>
      </c>
    </row>
    <row r="215" spans="1:5" hidden="1" x14ac:dyDescent="0.25">
      <c r="A215" s="101" t="s">
        <v>115</v>
      </c>
      <c r="B215" t="s">
        <v>24</v>
      </c>
      <c r="C215" s="102" t="str">
        <f t="shared" si="14"/>
        <v>Græsprotein</v>
      </c>
      <c r="D215">
        <f t="shared" si="13"/>
        <v>2030</v>
      </c>
      <c r="E215" s="153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2525.5713646803624</v>
      </c>
    </row>
    <row r="216" spans="1:5" hidden="1" x14ac:dyDescent="0.25">
      <c r="A216" s="101" t="s">
        <v>115</v>
      </c>
      <c r="B216" t="s">
        <v>24</v>
      </c>
      <c r="C216" s="102" t="str">
        <f t="shared" si="14"/>
        <v>Slagteriaffald til foder</v>
      </c>
      <c r="D216">
        <f t="shared" si="13"/>
        <v>2030</v>
      </c>
      <c r="E216" s="153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</row>
    <row r="217" spans="1:5" hidden="1" x14ac:dyDescent="0.25">
      <c r="A217" s="101" t="s">
        <v>115</v>
      </c>
      <c r="B217" t="s">
        <v>24</v>
      </c>
      <c r="C217" s="102" t="str">
        <f t="shared" si="14"/>
        <v>Import af foder</v>
      </c>
      <c r="D217">
        <f t="shared" si="13"/>
        <v>2030</v>
      </c>
      <c r="E217" s="153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</row>
    <row r="218" spans="1:5" hidden="1" x14ac:dyDescent="0.25">
      <c r="A218" s="101" t="s">
        <v>115</v>
      </c>
      <c r="B218" t="s">
        <v>24</v>
      </c>
      <c r="C218" s="102" t="str">
        <f t="shared" si="14"/>
        <v>Korn</v>
      </c>
      <c r="D218">
        <f t="shared" ref="D218:D232" si="15">År3</f>
        <v>2050</v>
      </c>
      <c r="E218" s="153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6085811.9789329367</v>
      </c>
    </row>
    <row r="219" spans="1:5" hidden="1" x14ac:dyDescent="0.25">
      <c r="A219" s="101" t="s">
        <v>115</v>
      </c>
      <c r="B219" t="s">
        <v>24</v>
      </c>
      <c r="C219" s="102" t="str">
        <f t="shared" si="14"/>
        <v>Halm</v>
      </c>
      <c r="D219">
        <f t="shared" si="15"/>
        <v>2050</v>
      </c>
      <c r="E219" s="153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5" hidden="1" x14ac:dyDescent="0.25">
      <c r="A220" s="101" t="s">
        <v>115</v>
      </c>
      <c r="B220" t="s">
        <v>24</v>
      </c>
      <c r="C220" s="102" t="str">
        <f t="shared" si="14"/>
        <v>Kartofler</v>
      </c>
      <c r="D220">
        <f t="shared" si="15"/>
        <v>2050</v>
      </c>
      <c r="E220" s="153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1" t="s">
        <v>115</v>
      </c>
      <c r="B221" t="s">
        <v>24</v>
      </c>
      <c r="C221" s="102" t="str">
        <f t="shared" si="14"/>
        <v>Bælgsæd</v>
      </c>
      <c r="D221">
        <f t="shared" si="15"/>
        <v>2050</v>
      </c>
      <c r="E221" s="153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5" hidden="1" x14ac:dyDescent="0.25">
      <c r="A222" s="101" t="s">
        <v>115</v>
      </c>
      <c r="B222" t="s">
        <v>24</v>
      </c>
      <c r="C222" s="102" t="str">
        <f t="shared" si="14"/>
        <v>Roer</v>
      </c>
      <c r="D222">
        <f t="shared" si="15"/>
        <v>2050</v>
      </c>
      <c r="E222" s="153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868637.91677766922</v>
      </c>
    </row>
    <row r="223" spans="1:5" hidden="1" x14ac:dyDescent="0.25">
      <c r="A223" s="101" t="s">
        <v>115</v>
      </c>
      <c r="B223" t="s">
        <v>24</v>
      </c>
      <c r="C223" s="102" t="str">
        <f t="shared" si="14"/>
        <v>Majs</v>
      </c>
      <c r="D223">
        <f t="shared" si="15"/>
        <v>2050</v>
      </c>
      <c r="E223" s="153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5659611.4645835822</v>
      </c>
    </row>
    <row r="224" spans="1:5" hidden="1" x14ac:dyDescent="0.25">
      <c r="A224" s="101" t="s">
        <v>115</v>
      </c>
      <c r="B224" t="s">
        <v>24</v>
      </c>
      <c r="C224" s="102" t="str">
        <f t="shared" si="14"/>
        <v>Rapskage</v>
      </c>
      <c r="D224">
        <f t="shared" si="15"/>
        <v>2050</v>
      </c>
      <c r="E224" s="153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25">
      <c r="A225" s="101" t="s">
        <v>115</v>
      </c>
      <c r="B225" t="s">
        <v>24</v>
      </c>
      <c r="C225" s="102" t="str">
        <f t="shared" si="14"/>
        <v>Tang</v>
      </c>
      <c r="D225">
        <f t="shared" si="15"/>
        <v>2050</v>
      </c>
      <c r="E225" s="153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9726.8074687720582</v>
      </c>
    </row>
    <row r="226" spans="1:5" hidden="1" x14ac:dyDescent="0.25">
      <c r="A226" s="101" t="s">
        <v>115</v>
      </c>
      <c r="B226" t="s">
        <v>24</v>
      </c>
      <c r="C226" s="102" t="str">
        <f t="shared" si="14"/>
        <v>Muslinger</v>
      </c>
      <c r="D226">
        <f t="shared" si="15"/>
        <v>2050</v>
      </c>
      <c r="E226" s="153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46909.42609053191</v>
      </c>
    </row>
    <row r="227" spans="1:5" hidden="1" x14ac:dyDescent="0.25">
      <c r="A227" s="101" t="s">
        <v>115</v>
      </c>
      <c r="B227" t="s">
        <v>24</v>
      </c>
      <c r="C227" s="102" t="str">
        <f t="shared" si="14"/>
        <v>Græs</v>
      </c>
      <c r="D227">
        <f t="shared" si="15"/>
        <v>2050</v>
      </c>
      <c r="E227" s="153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10578766.547699077</v>
      </c>
    </row>
    <row r="228" spans="1:5" hidden="1" x14ac:dyDescent="0.25">
      <c r="A228" s="101" t="s">
        <v>115</v>
      </c>
      <c r="B228" t="s">
        <v>24</v>
      </c>
      <c r="C228" s="102" t="str">
        <f t="shared" si="14"/>
        <v>Mælk til foder</v>
      </c>
      <c r="D228">
        <f t="shared" si="15"/>
        <v>2050</v>
      </c>
      <c r="E228" s="153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25">
      <c r="A229" s="101" t="s">
        <v>115</v>
      </c>
      <c r="B229" t="s">
        <v>24</v>
      </c>
      <c r="C229" s="102" t="str">
        <f t="shared" si="14"/>
        <v>Fiberfraktion</v>
      </c>
      <c r="D229">
        <f t="shared" si="15"/>
        <v>2050</v>
      </c>
      <c r="E229" s="153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5201.2984929347494</v>
      </c>
    </row>
    <row r="230" spans="1:5" hidden="1" x14ac:dyDescent="0.25">
      <c r="A230" s="101" t="s">
        <v>115</v>
      </c>
      <c r="B230" t="s">
        <v>24</v>
      </c>
      <c r="C230" s="102" t="str">
        <f t="shared" si="14"/>
        <v>Græsprotein</v>
      </c>
      <c r="D230">
        <f t="shared" si="15"/>
        <v>2050</v>
      </c>
      <c r="E230" s="153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2525.5713646803624</v>
      </c>
    </row>
    <row r="231" spans="1:5" hidden="1" x14ac:dyDescent="0.25">
      <c r="A231" s="101" t="s">
        <v>115</v>
      </c>
      <c r="B231" t="s">
        <v>24</v>
      </c>
      <c r="C231" s="102" t="str">
        <f t="shared" si="14"/>
        <v>Slagteriaffald til foder</v>
      </c>
      <c r="D231">
        <f t="shared" si="15"/>
        <v>2050</v>
      </c>
      <c r="E231" s="153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25">
      <c r="A232" s="101" t="s">
        <v>115</v>
      </c>
      <c r="B232" t="s">
        <v>24</v>
      </c>
      <c r="C232" s="102" t="str">
        <f t="shared" si="14"/>
        <v>Import af foder</v>
      </c>
      <c r="D232">
        <f t="shared" si="15"/>
        <v>2050</v>
      </c>
      <c r="E232" s="153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25">
      <c r="A233" s="101" t="s">
        <v>115</v>
      </c>
      <c r="B233" t="s">
        <v>25</v>
      </c>
      <c r="C233" s="102" t="str">
        <f t="shared" si="14"/>
        <v>Korn</v>
      </c>
      <c r="D233">
        <f t="shared" ref="D233:D247" si="16">År1</f>
        <v>2019</v>
      </c>
      <c r="E233" s="153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1" t="s">
        <v>115</v>
      </c>
      <c r="B234" t="s">
        <v>25</v>
      </c>
      <c r="C234" s="102" t="str">
        <f t="shared" si="14"/>
        <v>Halm</v>
      </c>
      <c r="D234">
        <f t="shared" si="16"/>
        <v>2019</v>
      </c>
      <c r="E234" s="153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1" t="s">
        <v>115</v>
      </c>
      <c r="B235" t="s">
        <v>25</v>
      </c>
      <c r="C235" s="102" t="str">
        <f t="shared" si="14"/>
        <v>Kartofler</v>
      </c>
      <c r="D235">
        <f t="shared" si="16"/>
        <v>2019</v>
      </c>
      <c r="E235" s="153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1" t="s">
        <v>115</v>
      </c>
      <c r="B236" t="s">
        <v>25</v>
      </c>
      <c r="C236" s="102" t="str">
        <f t="shared" si="14"/>
        <v>Bælgsæd</v>
      </c>
      <c r="D236">
        <f t="shared" si="16"/>
        <v>2019</v>
      </c>
      <c r="E236" s="153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1" t="s">
        <v>115</v>
      </c>
      <c r="B237" t="s">
        <v>25</v>
      </c>
      <c r="C237" s="102" t="str">
        <f t="shared" si="14"/>
        <v>Roer</v>
      </c>
      <c r="D237">
        <f t="shared" si="16"/>
        <v>2019</v>
      </c>
      <c r="E237" s="153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1" t="s">
        <v>115</v>
      </c>
      <c r="B238" t="s">
        <v>25</v>
      </c>
      <c r="C238" s="102" t="str">
        <f t="shared" si="14"/>
        <v>Majs</v>
      </c>
      <c r="D238">
        <f t="shared" si="16"/>
        <v>2019</v>
      </c>
      <c r="E238" s="153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1" t="s">
        <v>115</v>
      </c>
      <c r="B239" t="s">
        <v>25</v>
      </c>
      <c r="C239" s="102" t="str">
        <f t="shared" si="14"/>
        <v>Rapskage</v>
      </c>
      <c r="D239">
        <f t="shared" si="16"/>
        <v>2019</v>
      </c>
      <c r="E239" s="153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1" t="s">
        <v>115</v>
      </c>
      <c r="B240" t="s">
        <v>25</v>
      </c>
      <c r="C240" s="102" t="str">
        <f t="shared" si="14"/>
        <v>Tang</v>
      </c>
      <c r="D240">
        <f t="shared" si="16"/>
        <v>2019</v>
      </c>
      <c r="E240" s="153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1" t="s">
        <v>115</v>
      </c>
      <c r="B241" t="s">
        <v>25</v>
      </c>
      <c r="C241" s="102" t="str">
        <f t="shared" si="14"/>
        <v>Muslinger</v>
      </c>
      <c r="D241">
        <f t="shared" si="16"/>
        <v>2019</v>
      </c>
      <c r="E241" s="153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1" t="s">
        <v>115</v>
      </c>
      <c r="B242" t="s">
        <v>25</v>
      </c>
      <c r="C242" s="102" t="str">
        <f t="shared" si="14"/>
        <v>Græs</v>
      </c>
      <c r="D242">
        <f t="shared" si="16"/>
        <v>2019</v>
      </c>
      <c r="E242" s="153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1" t="s">
        <v>115</v>
      </c>
      <c r="B243" t="s">
        <v>25</v>
      </c>
      <c r="C243" s="102" t="str">
        <f t="shared" si="14"/>
        <v>Mælk til foder</v>
      </c>
      <c r="D243">
        <f t="shared" si="16"/>
        <v>2019</v>
      </c>
      <c r="E243" s="153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1" t="s">
        <v>115</v>
      </c>
      <c r="B244" t="s">
        <v>25</v>
      </c>
      <c r="C244" s="102" t="str">
        <f t="shared" si="14"/>
        <v>Fiberfraktion</v>
      </c>
      <c r="D244">
        <f t="shared" si="16"/>
        <v>2019</v>
      </c>
      <c r="E244" s="153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1" t="s">
        <v>115</v>
      </c>
      <c r="B245" t="s">
        <v>25</v>
      </c>
      <c r="C245" s="102" t="str">
        <f t="shared" si="14"/>
        <v>Græsprotein</v>
      </c>
      <c r="D245">
        <f t="shared" si="16"/>
        <v>2019</v>
      </c>
      <c r="E245" s="153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1" t="s">
        <v>115</v>
      </c>
      <c r="B246" t="s">
        <v>25</v>
      </c>
      <c r="C246" s="102" t="str">
        <f t="shared" si="14"/>
        <v>Slagteriaffald til foder</v>
      </c>
      <c r="D246">
        <f t="shared" si="16"/>
        <v>2019</v>
      </c>
      <c r="E246" s="153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1" t="s">
        <v>115</v>
      </c>
      <c r="B247" t="s">
        <v>25</v>
      </c>
      <c r="C247" s="102" t="str">
        <f t="shared" si="14"/>
        <v>Import af foder</v>
      </c>
      <c r="D247">
        <f t="shared" si="16"/>
        <v>2019</v>
      </c>
      <c r="E247" s="153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1" t="s">
        <v>115</v>
      </c>
      <c r="B248" t="s">
        <v>25</v>
      </c>
      <c r="C248" s="102" t="str">
        <f t="shared" si="14"/>
        <v>Korn</v>
      </c>
      <c r="D248">
        <f t="shared" ref="D248:D262" si="17">År2</f>
        <v>2030</v>
      </c>
      <c r="E248" s="153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746979.53273428511</v>
      </c>
    </row>
    <row r="249" spans="1:5" hidden="1" x14ac:dyDescent="0.25">
      <c r="A249" s="101" t="s">
        <v>115</v>
      </c>
      <c r="B249" t="s">
        <v>25</v>
      </c>
      <c r="C249" s="102" t="str">
        <f t="shared" si="14"/>
        <v>Halm</v>
      </c>
      <c r="D249">
        <f t="shared" si="17"/>
        <v>2030</v>
      </c>
      <c r="E249" s="153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25">
      <c r="A250" s="101" t="s">
        <v>115</v>
      </c>
      <c r="B250" t="s">
        <v>25</v>
      </c>
      <c r="C250" s="102" t="str">
        <f t="shared" si="14"/>
        <v>Kartofler</v>
      </c>
      <c r="D250">
        <f t="shared" si="17"/>
        <v>2030</v>
      </c>
      <c r="E250" s="153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1" t="s">
        <v>115</v>
      </c>
      <c r="B251" t="s">
        <v>25</v>
      </c>
      <c r="C251" s="102" t="str">
        <f t="shared" si="14"/>
        <v>Bælgsæd</v>
      </c>
      <c r="D251">
        <f t="shared" si="17"/>
        <v>2030</v>
      </c>
      <c r="E251" s="153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25">
      <c r="A252" s="101" t="s">
        <v>115</v>
      </c>
      <c r="B252" t="s">
        <v>25</v>
      </c>
      <c r="C252" s="102" t="str">
        <f t="shared" si="14"/>
        <v>Roer</v>
      </c>
      <c r="D252">
        <f t="shared" si="17"/>
        <v>2030</v>
      </c>
      <c r="E252" s="153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106617.6128076231</v>
      </c>
    </row>
    <row r="253" spans="1:5" hidden="1" x14ac:dyDescent="0.25">
      <c r="A253" s="101" t="s">
        <v>115</v>
      </c>
      <c r="B253" t="s">
        <v>25</v>
      </c>
      <c r="C253" s="102" t="str">
        <f t="shared" si="14"/>
        <v>Majs</v>
      </c>
      <c r="D253">
        <f t="shared" si="17"/>
        <v>2030</v>
      </c>
      <c r="E253" s="153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694667.19345041318</v>
      </c>
    </row>
    <row r="254" spans="1:5" hidden="1" x14ac:dyDescent="0.25">
      <c r="A254" s="101" t="s">
        <v>115</v>
      </c>
      <c r="B254" t="s">
        <v>25</v>
      </c>
      <c r="C254" s="102" t="str">
        <f t="shared" si="14"/>
        <v>Rapskage</v>
      </c>
      <c r="D254">
        <f t="shared" si="17"/>
        <v>2030</v>
      </c>
      <c r="E254" s="153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25">
      <c r="A255" s="101" t="s">
        <v>115</v>
      </c>
      <c r="B255" t="s">
        <v>25</v>
      </c>
      <c r="C255" s="102" t="str">
        <f t="shared" si="14"/>
        <v>Tang</v>
      </c>
      <c r="D255">
        <f t="shared" si="17"/>
        <v>2030</v>
      </c>
      <c r="E255" s="153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1193.879489404412</v>
      </c>
    </row>
    <row r="256" spans="1:5" hidden="1" x14ac:dyDescent="0.25">
      <c r="A256" s="101" t="s">
        <v>115</v>
      </c>
      <c r="B256" t="s">
        <v>25</v>
      </c>
      <c r="C256" s="102" t="str">
        <f t="shared" si="14"/>
        <v>Muslinger</v>
      </c>
      <c r="D256">
        <f t="shared" si="17"/>
        <v>2030</v>
      </c>
      <c r="E256" s="153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5757.7166864893625</v>
      </c>
    </row>
    <row r="257" spans="1:5" hidden="1" x14ac:dyDescent="0.25">
      <c r="A257" s="101" t="s">
        <v>115</v>
      </c>
      <c r="B257" t="s">
        <v>25</v>
      </c>
      <c r="C257" s="102" t="str">
        <f t="shared" si="14"/>
        <v>Græs</v>
      </c>
      <c r="D257">
        <f t="shared" si="17"/>
        <v>2030</v>
      </c>
      <c r="E257" s="153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1298449.9225509875</v>
      </c>
    </row>
    <row r="258" spans="1:5" hidden="1" x14ac:dyDescent="0.25">
      <c r="A258" s="101" t="s">
        <v>115</v>
      </c>
      <c r="B258" t="s">
        <v>25</v>
      </c>
      <c r="C258" s="102" t="str">
        <f t="shared" si="14"/>
        <v>Mælk til foder</v>
      </c>
      <c r="D258">
        <f t="shared" si="17"/>
        <v>2030</v>
      </c>
      <c r="E258" s="153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25">
      <c r="A259" s="101" t="s">
        <v>115</v>
      </c>
      <c r="B259" t="s">
        <v>25</v>
      </c>
      <c r="C259" s="102" t="str">
        <f t="shared" si="14"/>
        <v>Fiberfraktion</v>
      </c>
      <c r="D259">
        <f t="shared" si="17"/>
        <v>2030</v>
      </c>
      <c r="E259" s="153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638.41333437730827</v>
      </c>
    </row>
    <row r="260" spans="1:5" hidden="1" x14ac:dyDescent="0.25">
      <c r="A260" s="101" t="s">
        <v>115</v>
      </c>
      <c r="B260" t="s">
        <v>25</v>
      </c>
      <c r="C260" s="102" t="str">
        <f t="shared" si="14"/>
        <v>Græsprotein</v>
      </c>
      <c r="D260">
        <f t="shared" si="17"/>
        <v>2030</v>
      </c>
      <c r="E260" s="153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309.99152198698209</v>
      </c>
    </row>
    <row r="261" spans="1:5" hidden="1" x14ac:dyDescent="0.25">
      <c r="A261" s="101" t="s">
        <v>115</v>
      </c>
      <c r="B261" t="s">
        <v>25</v>
      </c>
      <c r="C261" s="102" t="str">
        <f t="shared" si="14"/>
        <v>Slagteriaffald til foder</v>
      </c>
      <c r="D261">
        <f t="shared" si="17"/>
        <v>2030</v>
      </c>
      <c r="E261" s="153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25">
      <c r="A262" s="101" t="s">
        <v>115</v>
      </c>
      <c r="B262" t="s">
        <v>25</v>
      </c>
      <c r="C262" s="102" t="str">
        <f t="shared" si="14"/>
        <v>Import af foder</v>
      </c>
      <c r="D262">
        <f t="shared" si="17"/>
        <v>2030</v>
      </c>
      <c r="E262" s="153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25">
      <c r="A263" s="101" t="s">
        <v>115</v>
      </c>
      <c r="B263" t="s">
        <v>25</v>
      </c>
      <c r="C263" s="102" t="str">
        <f t="shared" si="14"/>
        <v>Korn</v>
      </c>
      <c r="D263">
        <f t="shared" ref="D263:D277" si="18">År3</f>
        <v>2050</v>
      </c>
      <c r="E263" s="153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746979.53273428511</v>
      </c>
    </row>
    <row r="264" spans="1:5" hidden="1" x14ac:dyDescent="0.25">
      <c r="A264" s="101" t="s">
        <v>115</v>
      </c>
      <c r="B264" t="s">
        <v>25</v>
      </c>
      <c r="C264" s="102" t="str">
        <f t="shared" si="14"/>
        <v>Halm</v>
      </c>
      <c r="D264">
        <f t="shared" si="18"/>
        <v>2050</v>
      </c>
      <c r="E264" s="153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25">
      <c r="A265" s="101" t="s">
        <v>115</v>
      </c>
      <c r="B265" t="s">
        <v>25</v>
      </c>
      <c r="C265" s="102" t="str">
        <f t="shared" si="14"/>
        <v>Kartofler</v>
      </c>
      <c r="D265">
        <f t="shared" si="18"/>
        <v>2050</v>
      </c>
      <c r="E265" s="153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1" t="s">
        <v>115</v>
      </c>
      <c r="B266" t="s">
        <v>25</v>
      </c>
      <c r="C266" s="102" t="str">
        <f t="shared" si="14"/>
        <v>Bælgsæd</v>
      </c>
      <c r="D266">
        <f t="shared" si="18"/>
        <v>2050</v>
      </c>
      <c r="E266" s="153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25">
      <c r="A267" s="101" t="s">
        <v>115</v>
      </c>
      <c r="B267" t="s">
        <v>25</v>
      </c>
      <c r="C267" s="102" t="str">
        <f t="shared" si="14"/>
        <v>Roer</v>
      </c>
      <c r="D267">
        <f t="shared" si="18"/>
        <v>2050</v>
      </c>
      <c r="E267" s="153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106617.61280762308</v>
      </c>
    </row>
    <row r="268" spans="1:5" hidden="1" x14ac:dyDescent="0.25">
      <c r="A268" s="101" t="s">
        <v>115</v>
      </c>
      <c r="B268" t="s">
        <v>25</v>
      </c>
      <c r="C268" s="102" t="str">
        <f t="shared" ref="C268:C277" si="19">C253</f>
        <v>Majs</v>
      </c>
      <c r="D268">
        <f t="shared" si="18"/>
        <v>2050</v>
      </c>
      <c r="E268" s="153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694667.19345041306</v>
      </c>
    </row>
    <row r="269" spans="1:5" hidden="1" x14ac:dyDescent="0.25">
      <c r="A269" s="101" t="s">
        <v>115</v>
      </c>
      <c r="B269" t="s">
        <v>25</v>
      </c>
      <c r="C269" s="102" t="str">
        <f t="shared" si="19"/>
        <v>Rapskage</v>
      </c>
      <c r="D269">
        <f t="shared" si="18"/>
        <v>2050</v>
      </c>
      <c r="E269" s="153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25">
      <c r="A270" s="101" t="s">
        <v>115</v>
      </c>
      <c r="B270" t="s">
        <v>25</v>
      </c>
      <c r="C270" s="102" t="str">
        <f t="shared" si="19"/>
        <v>Tang</v>
      </c>
      <c r="D270">
        <f t="shared" si="18"/>
        <v>2050</v>
      </c>
      <c r="E270" s="153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1193.8794894044117</v>
      </c>
    </row>
    <row r="271" spans="1:5" hidden="1" x14ac:dyDescent="0.25">
      <c r="A271" s="101" t="s">
        <v>115</v>
      </c>
      <c r="B271" t="s">
        <v>25</v>
      </c>
      <c r="C271" s="102" t="str">
        <f t="shared" si="19"/>
        <v>Muslinger</v>
      </c>
      <c r="D271">
        <f t="shared" si="18"/>
        <v>2050</v>
      </c>
      <c r="E271" s="153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5757.7166864893616</v>
      </c>
    </row>
    <row r="272" spans="1:5" hidden="1" x14ac:dyDescent="0.25">
      <c r="A272" s="101" t="s">
        <v>115</v>
      </c>
      <c r="B272" t="s">
        <v>25</v>
      </c>
      <c r="C272" s="102" t="str">
        <f t="shared" si="19"/>
        <v>Græs</v>
      </c>
      <c r="D272">
        <f t="shared" si="18"/>
        <v>2050</v>
      </c>
      <c r="E272" s="153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1298449.9225509875</v>
      </c>
    </row>
    <row r="273" spans="1:7" hidden="1" x14ac:dyDescent="0.25">
      <c r="A273" s="101" t="s">
        <v>115</v>
      </c>
      <c r="B273" t="s">
        <v>25</v>
      </c>
      <c r="C273" s="102" t="str">
        <f t="shared" si="19"/>
        <v>Mælk til foder</v>
      </c>
      <c r="D273">
        <f t="shared" si="18"/>
        <v>2050</v>
      </c>
      <c r="E273" s="153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25">
      <c r="A274" s="101" t="s">
        <v>115</v>
      </c>
      <c r="B274" t="s">
        <v>25</v>
      </c>
      <c r="C274" s="102" t="str">
        <f t="shared" si="19"/>
        <v>Fiberfraktion</v>
      </c>
      <c r="D274">
        <f t="shared" si="18"/>
        <v>2050</v>
      </c>
      <c r="E274" s="153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638.41333437730816</v>
      </c>
    </row>
    <row r="275" spans="1:7" hidden="1" x14ac:dyDescent="0.25">
      <c r="A275" s="101" t="s">
        <v>115</v>
      </c>
      <c r="B275" t="s">
        <v>25</v>
      </c>
      <c r="C275" s="102" t="str">
        <f t="shared" si="19"/>
        <v>Græsprotein</v>
      </c>
      <c r="D275">
        <f t="shared" si="18"/>
        <v>2050</v>
      </c>
      <c r="E275" s="153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309.99152198698204</v>
      </c>
    </row>
    <row r="276" spans="1:7" hidden="1" x14ac:dyDescent="0.25">
      <c r="A276" s="101" t="s">
        <v>115</v>
      </c>
      <c r="B276" t="s">
        <v>25</v>
      </c>
      <c r="C276" s="102" t="str">
        <f t="shared" si="19"/>
        <v>Slagteriaffald til foder</v>
      </c>
      <c r="D276">
        <f t="shared" si="18"/>
        <v>2050</v>
      </c>
      <c r="E276" s="153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25">
      <c r="A277" s="101" t="s">
        <v>115</v>
      </c>
      <c r="B277" t="s">
        <v>25</v>
      </c>
      <c r="C277" s="102" t="str">
        <f t="shared" si="19"/>
        <v>Import af foder</v>
      </c>
      <c r="D277">
        <f t="shared" si="18"/>
        <v>2050</v>
      </c>
      <c r="E277" s="153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25">
      <c r="A278" t="s">
        <v>123</v>
      </c>
      <c r="B278" t="s">
        <v>24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123</v>
      </c>
      <c r="B279" t="s">
        <v>24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155146.779166311</v>
      </c>
      <c r="F279" s="173">
        <v>1</v>
      </c>
    </row>
    <row r="280" spans="1:7" hidden="1" x14ac:dyDescent="0.25">
      <c r="A280" t="s">
        <v>123</v>
      </c>
      <c r="B280" t="s">
        <v>24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3">
        <v>1</v>
      </c>
    </row>
    <row r="281" spans="1:7" hidden="1" x14ac:dyDescent="0.25">
      <c r="A281" t="s">
        <v>123</v>
      </c>
      <c r="B281" t="s">
        <v>24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3">
        <v>1</v>
      </c>
    </row>
    <row r="282" spans="1:7" hidden="1" x14ac:dyDescent="0.25">
      <c r="A282" t="s">
        <v>123</v>
      </c>
      <c r="B282" t="s">
        <v>24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3">
        <v>1</v>
      </c>
    </row>
    <row r="283" spans="1:7" hidden="1" x14ac:dyDescent="0.25">
      <c r="A283" t="s">
        <v>123</v>
      </c>
      <c r="B283" t="s">
        <v>24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3">
        <v>1</v>
      </c>
    </row>
    <row r="284" spans="1:7" hidden="1" x14ac:dyDescent="0.25">
      <c r="A284" t="s">
        <v>171</v>
      </c>
      <c r="B284" t="s">
        <v>24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3">
        <v>1</v>
      </c>
      <c r="G284">
        <v>1</v>
      </c>
    </row>
    <row r="285" spans="1:7" hidden="1" x14ac:dyDescent="0.25">
      <c r="A285" t="s">
        <v>171</v>
      </c>
      <c r="B285" t="s">
        <v>24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0</v>
      </c>
      <c r="F285" s="173">
        <v>1</v>
      </c>
      <c r="G285" s="173">
        <v>1</v>
      </c>
    </row>
    <row r="286" spans="1:7" hidden="1" x14ac:dyDescent="0.25">
      <c r="A286" t="s">
        <v>171</v>
      </c>
      <c r="B286" t="s">
        <v>24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3">
        <v>1</v>
      </c>
      <c r="G286" s="173">
        <v>1</v>
      </c>
    </row>
    <row r="287" spans="1:7" hidden="1" x14ac:dyDescent="0.25">
      <c r="A287" t="s">
        <v>171</v>
      </c>
      <c r="B287" t="s">
        <v>24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3">
        <v>1</v>
      </c>
      <c r="G287" s="173">
        <v>1</v>
      </c>
    </row>
    <row r="288" spans="1:7" hidden="1" x14ac:dyDescent="0.25">
      <c r="A288" t="s">
        <v>171</v>
      </c>
      <c r="B288" t="s">
        <v>24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3">
        <v>1</v>
      </c>
      <c r="G288" s="173">
        <v>1</v>
      </c>
    </row>
    <row r="289" spans="1:7" hidden="1" x14ac:dyDescent="0.25">
      <c r="A289" t="s">
        <v>171</v>
      </c>
      <c r="B289" t="s">
        <v>24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3">
        <v>1</v>
      </c>
      <c r="G289" s="173">
        <v>1</v>
      </c>
    </row>
    <row r="290" spans="1:7" hidden="1" x14ac:dyDescent="0.25">
      <c r="A290" t="s">
        <v>123</v>
      </c>
      <c r="B290" t="s">
        <v>25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3">
        <v>1</v>
      </c>
    </row>
    <row r="291" spans="1:7" hidden="1" x14ac:dyDescent="0.25">
      <c r="A291" t="s">
        <v>123</v>
      </c>
      <c r="B291" t="s">
        <v>25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61943.722362786721</v>
      </c>
      <c r="F291" s="173">
        <v>1</v>
      </c>
    </row>
    <row r="292" spans="1:7" hidden="1" x14ac:dyDescent="0.25">
      <c r="A292" t="s">
        <v>123</v>
      </c>
      <c r="B292" t="s">
        <v>25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3">
        <v>1</v>
      </c>
    </row>
    <row r="293" spans="1:7" hidden="1" x14ac:dyDescent="0.25">
      <c r="A293" t="s">
        <v>123</v>
      </c>
      <c r="B293" t="s">
        <v>25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3">
        <v>1</v>
      </c>
    </row>
    <row r="294" spans="1:7" hidden="1" x14ac:dyDescent="0.25">
      <c r="A294" t="s">
        <v>123</v>
      </c>
      <c r="B294" t="s">
        <v>25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3">
        <v>1</v>
      </c>
    </row>
    <row r="295" spans="1:7" hidden="1" x14ac:dyDescent="0.25">
      <c r="A295" t="s">
        <v>123</v>
      </c>
      <c r="B295" t="s">
        <v>25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3">
        <v>1</v>
      </c>
    </row>
    <row r="296" spans="1:7" hidden="1" x14ac:dyDescent="0.25">
      <c r="A296" t="s">
        <v>171</v>
      </c>
      <c r="B296" t="s">
        <v>25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3">
        <v>1</v>
      </c>
      <c r="G296" s="173">
        <v>1</v>
      </c>
    </row>
    <row r="297" spans="1:7" hidden="1" x14ac:dyDescent="0.25">
      <c r="A297" t="s">
        <v>171</v>
      </c>
      <c r="B297" t="s">
        <v>25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0</v>
      </c>
      <c r="F297" s="173">
        <v>1</v>
      </c>
      <c r="G297" s="173">
        <v>1</v>
      </c>
    </row>
    <row r="298" spans="1:7" hidden="1" x14ac:dyDescent="0.25">
      <c r="A298" t="s">
        <v>171</v>
      </c>
      <c r="B298" t="s">
        <v>25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3">
        <v>1</v>
      </c>
      <c r="G298" s="173">
        <v>1</v>
      </c>
    </row>
    <row r="299" spans="1:7" hidden="1" x14ac:dyDescent="0.25">
      <c r="A299" t="s">
        <v>171</v>
      </c>
      <c r="B299" t="s">
        <v>25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3">
        <v>1</v>
      </c>
      <c r="G299" s="173">
        <v>1</v>
      </c>
    </row>
    <row r="300" spans="1:7" hidden="1" x14ac:dyDescent="0.25">
      <c r="A300" t="s">
        <v>171</v>
      </c>
      <c r="B300" t="s">
        <v>25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3">
        <v>1</v>
      </c>
      <c r="G300" s="173">
        <v>1</v>
      </c>
    </row>
    <row r="301" spans="1:7" hidden="1" x14ac:dyDescent="0.25">
      <c r="A301" t="s">
        <v>171</v>
      </c>
      <c r="B301" t="s">
        <v>25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3">
        <v>1</v>
      </c>
      <c r="G301" s="173">
        <v>1</v>
      </c>
    </row>
    <row r="302" spans="1:7" hidden="1" x14ac:dyDescent="0.25">
      <c r="A302" t="s">
        <v>123</v>
      </c>
      <c r="B302" t="s">
        <v>24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0</v>
      </c>
      <c r="F302" s="173">
        <v>1</v>
      </c>
    </row>
    <row r="303" spans="1:7" hidden="1" x14ac:dyDescent="0.25">
      <c r="A303" t="s">
        <v>123</v>
      </c>
      <c r="B303" t="s">
        <v>24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112792.4588825668</v>
      </c>
      <c r="F303" s="173">
        <v>1</v>
      </c>
    </row>
    <row r="304" spans="1:7" hidden="1" x14ac:dyDescent="0.25">
      <c r="A304" t="s">
        <v>123</v>
      </c>
      <c r="B304" t="s">
        <v>24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97606.291632882203</v>
      </c>
      <c r="F304" s="173">
        <v>1</v>
      </c>
    </row>
    <row r="305" spans="1:7" hidden="1" x14ac:dyDescent="0.25">
      <c r="A305" t="s">
        <v>123</v>
      </c>
      <c r="B305" t="s">
        <v>24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3">
        <v>1</v>
      </c>
    </row>
    <row r="306" spans="1:7" hidden="1" x14ac:dyDescent="0.25">
      <c r="A306" t="s">
        <v>123</v>
      </c>
      <c r="B306" t="s">
        <v>24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258760.31746905867</v>
      </c>
      <c r="F306" s="173">
        <v>1</v>
      </c>
    </row>
    <row r="307" spans="1:7" hidden="1" x14ac:dyDescent="0.25">
      <c r="A307" t="s">
        <v>123</v>
      </c>
      <c r="B307" t="s">
        <v>24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3">
        <v>1</v>
      </c>
    </row>
    <row r="308" spans="1:7" hidden="1" x14ac:dyDescent="0.25">
      <c r="A308" t="s">
        <v>171</v>
      </c>
      <c r="B308" t="s">
        <v>24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3">
        <v>1</v>
      </c>
      <c r="G308" s="173">
        <v>1</v>
      </c>
    </row>
    <row r="309" spans="1:7" hidden="1" x14ac:dyDescent="0.25">
      <c r="A309" t="s">
        <v>171</v>
      </c>
      <c r="B309" t="s">
        <v>24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3">
        <v>1</v>
      </c>
      <c r="G309" s="173">
        <v>1</v>
      </c>
    </row>
    <row r="310" spans="1:7" hidden="1" x14ac:dyDescent="0.25">
      <c r="A310" t="s">
        <v>171</v>
      </c>
      <c r="B310" t="s">
        <v>24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3">
        <v>1</v>
      </c>
      <c r="G310" s="173">
        <v>1</v>
      </c>
    </row>
    <row r="311" spans="1:7" hidden="1" x14ac:dyDescent="0.25">
      <c r="A311" t="s">
        <v>171</v>
      </c>
      <c r="B311" t="s">
        <v>24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3">
        <v>1</v>
      </c>
      <c r="G311" s="173">
        <v>1</v>
      </c>
    </row>
    <row r="312" spans="1:7" hidden="1" x14ac:dyDescent="0.25">
      <c r="A312" t="s">
        <v>171</v>
      </c>
      <c r="B312" t="s">
        <v>24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3">
        <v>1</v>
      </c>
      <c r="G312" s="173">
        <v>1</v>
      </c>
    </row>
    <row r="313" spans="1:7" hidden="1" x14ac:dyDescent="0.25">
      <c r="A313" t="s">
        <v>171</v>
      </c>
      <c r="B313" t="s">
        <v>24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3">
        <v>1</v>
      </c>
      <c r="G313" s="173">
        <v>1</v>
      </c>
    </row>
    <row r="314" spans="1:7" hidden="1" x14ac:dyDescent="0.25">
      <c r="A314" t="s">
        <v>123</v>
      </c>
      <c r="B314" t="s">
        <v>25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0</v>
      </c>
      <c r="F314" s="173">
        <v>1</v>
      </c>
    </row>
    <row r="315" spans="1:7" hidden="1" x14ac:dyDescent="0.25">
      <c r="A315" t="s">
        <v>123</v>
      </c>
      <c r="B315" t="s">
        <v>25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36907.726917191729</v>
      </c>
      <c r="F315" s="173">
        <v>1</v>
      </c>
    </row>
    <row r="316" spans="1:7" hidden="1" x14ac:dyDescent="0.25">
      <c r="A316" t="s">
        <v>123</v>
      </c>
      <c r="B316" t="s">
        <v>25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31330.310934881738</v>
      </c>
      <c r="F316" s="173">
        <v>1</v>
      </c>
    </row>
    <row r="317" spans="1:7" hidden="1" x14ac:dyDescent="0.25">
      <c r="A317" t="s">
        <v>123</v>
      </c>
      <c r="B317" t="s">
        <v>25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3">
        <v>1</v>
      </c>
    </row>
    <row r="318" spans="1:7" hidden="1" x14ac:dyDescent="0.25">
      <c r="A318" t="s">
        <v>123</v>
      </c>
      <c r="B318" t="s">
        <v>25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224048.68253094138</v>
      </c>
      <c r="F318" s="173">
        <v>1</v>
      </c>
    </row>
    <row r="319" spans="1:7" hidden="1" x14ac:dyDescent="0.25">
      <c r="A319" t="s">
        <v>123</v>
      </c>
      <c r="B319" t="s">
        <v>25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3">
        <v>1</v>
      </c>
    </row>
    <row r="320" spans="1:7" hidden="1" x14ac:dyDescent="0.25">
      <c r="A320" t="s">
        <v>171</v>
      </c>
      <c r="B320" t="s">
        <v>25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3">
        <v>1</v>
      </c>
      <c r="G320" s="173">
        <v>1</v>
      </c>
    </row>
    <row r="321" spans="1:7" hidden="1" x14ac:dyDescent="0.25">
      <c r="A321" t="s">
        <v>171</v>
      </c>
      <c r="B321" t="s">
        <v>25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3">
        <v>1</v>
      </c>
      <c r="G321" s="173">
        <v>1</v>
      </c>
    </row>
    <row r="322" spans="1:7" hidden="1" x14ac:dyDescent="0.25">
      <c r="A322" t="s">
        <v>171</v>
      </c>
      <c r="B322" t="s">
        <v>25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3">
        <v>1</v>
      </c>
      <c r="G322" s="173">
        <v>1</v>
      </c>
    </row>
    <row r="323" spans="1:7" hidden="1" x14ac:dyDescent="0.25">
      <c r="A323" t="s">
        <v>171</v>
      </c>
      <c r="B323" t="s">
        <v>25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3">
        <v>1</v>
      </c>
      <c r="G323" s="173">
        <v>1</v>
      </c>
    </row>
    <row r="324" spans="1:7" hidden="1" x14ac:dyDescent="0.25">
      <c r="A324" t="s">
        <v>171</v>
      </c>
      <c r="B324" t="s">
        <v>25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3">
        <v>1</v>
      </c>
      <c r="G324" s="173">
        <v>1</v>
      </c>
    </row>
    <row r="325" spans="1:7" hidden="1" x14ac:dyDescent="0.25">
      <c r="A325" t="s">
        <v>171</v>
      </c>
      <c r="B325" t="s">
        <v>25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3">
        <v>1</v>
      </c>
      <c r="G325" s="173">
        <v>1</v>
      </c>
    </row>
    <row r="326" spans="1:7" hidden="1" x14ac:dyDescent="0.25">
      <c r="A326" t="s">
        <v>123</v>
      </c>
      <c r="B326" t="s">
        <v>24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0</v>
      </c>
      <c r="F326" s="173">
        <v>1</v>
      </c>
    </row>
    <row r="327" spans="1:7" hidden="1" x14ac:dyDescent="0.25">
      <c r="A327" t="s">
        <v>123</v>
      </c>
      <c r="B327" t="s">
        <v>24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110558.91949288752</v>
      </c>
      <c r="F327" s="173">
        <v>1</v>
      </c>
    </row>
    <row r="328" spans="1:7" hidden="1" x14ac:dyDescent="0.25">
      <c r="A328" t="s">
        <v>123</v>
      </c>
      <c r="B328" t="s">
        <v>24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95761.673380129621</v>
      </c>
      <c r="F328" s="173">
        <v>1</v>
      </c>
    </row>
    <row r="329" spans="1:7" hidden="1" x14ac:dyDescent="0.25">
      <c r="A329" t="s">
        <v>123</v>
      </c>
      <c r="B329" t="s">
        <v>24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2094078.7176866641</v>
      </c>
      <c r="F329" s="173">
        <v>1</v>
      </c>
    </row>
    <row r="330" spans="1:7" hidden="1" x14ac:dyDescent="0.25">
      <c r="A330" t="s">
        <v>123</v>
      </c>
      <c r="B330" t="s">
        <v>24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257850.44854778168</v>
      </c>
      <c r="F330" s="173">
        <v>1</v>
      </c>
    </row>
    <row r="331" spans="1:7" hidden="1" x14ac:dyDescent="0.25">
      <c r="A331" t="s">
        <v>123</v>
      </c>
      <c r="B331" t="s">
        <v>24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3">
        <v>1</v>
      </c>
    </row>
    <row r="332" spans="1:7" hidden="1" x14ac:dyDescent="0.25">
      <c r="A332" t="s">
        <v>171</v>
      </c>
      <c r="B332" t="s">
        <v>24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3">
        <v>1</v>
      </c>
      <c r="G332" s="173">
        <v>1</v>
      </c>
    </row>
    <row r="333" spans="1:7" hidden="1" x14ac:dyDescent="0.25">
      <c r="A333" t="s">
        <v>171</v>
      </c>
      <c r="B333" t="s">
        <v>24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3">
        <v>1</v>
      </c>
      <c r="G333" s="173">
        <v>1</v>
      </c>
    </row>
    <row r="334" spans="1:7" hidden="1" x14ac:dyDescent="0.25">
      <c r="A334" t="s">
        <v>171</v>
      </c>
      <c r="B334" t="s">
        <v>24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3">
        <v>1</v>
      </c>
      <c r="G334" s="173">
        <v>1</v>
      </c>
    </row>
    <row r="335" spans="1:7" hidden="1" x14ac:dyDescent="0.25">
      <c r="A335" t="s">
        <v>171</v>
      </c>
      <c r="B335" t="s">
        <v>24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3">
        <v>1</v>
      </c>
      <c r="G335" s="173">
        <v>1</v>
      </c>
    </row>
    <row r="336" spans="1:7" hidden="1" x14ac:dyDescent="0.25">
      <c r="A336" t="s">
        <v>171</v>
      </c>
      <c r="B336" t="s">
        <v>24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3">
        <v>1</v>
      </c>
      <c r="G336" s="173">
        <v>1</v>
      </c>
    </row>
    <row r="337" spans="1:7" hidden="1" x14ac:dyDescent="0.25">
      <c r="A337" t="s">
        <v>171</v>
      </c>
      <c r="B337" t="s">
        <v>24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3">
        <v>1</v>
      </c>
      <c r="G337" s="173">
        <v>1</v>
      </c>
    </row>
    <row r="338" spans="1:7" hidden="1" x14ac:dyDescent="0.25">
      <c r="A338" t="s">
        <v>123</v>
      </c>
      <c r="B338" t="s">
        <v>25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10903.94907837885</v>
      </c>
      <c r="F338" s="173">
        <v>1</v>
      </c>
    </row>
    <row r="339" spans="1:7" hidden="1" x14ac:dyDescent="0.25">
      <c r="A339" t="s">
        <v>123</v>
      </c>
      <c r="B339" t="s">
        <v>25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36868.379751586021</v>
      </c>
      <c r="F339" s="173">
        <v>1</v>
      </c>
    </row>
    <row r="340" spans="1:7" hidden="1" x14ac:dyDescent="0.25">
      <c r="A340" t="s">
        <v>123</v>
      </c>
      <c r="B340" t="s">
        <v>25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31325.762503658123</v>
      </c>
      <c r="F340" s="173">
        <v>1</v>
      </c>
    </row>
    <row r="341" spans="1:7" hidden="1" x14ac:dyDescent="0.25">
      <c r="A341" t="s">
        <v>123</v>
      </c>
      <c r="B341" t="s">
        <v>25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595128.1688444037</v>
      </c>
      <c r="F341" s="173">
        <v>1</v>
      </c>
    </row>
    <row r="342" spans="1:7" hidden="1" x14ac:dyDescent="0.25">
      <c r="A342" t="s">
        <v>123</v>
      </c>
      <c r="B342" t="s">
        <v>25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224958.55145221829</v>
      </c>
      <c r="F342" s="173">
        <v>1</v>
      </c>
    </row>
    <row r="343" spans="1:7" hidden="1" x14ac:dyDescent="0.25">
      <c r="A343" t="s">
        <v>123</v>
      </c>
      <c r="B343" t="s">
        <v>25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3">
        <v>1</v>
      </c>
    </row>
    <row r="344" spans="1:7" hidden="1" x14ac:dyDescent="0.25">
      <c r="A344" t="s">
        <v>171</v>
      </c>
      <c r="B344" t="s">
        <v>25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3">
        <v>1</v>
      </c>
      <c r="G344" s="173">
        <v>1</v>
      </c>
    </row>
    <row r="345" spans="1:7" hidden="1" x14ac:dyDescent="0.25">
      <c r="A345" t="s">
        <v>171</v>
      </c>
      <c r="B345" t="s">
        <v>25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3">
        <v>1</v>
      </c>
      <c r="G345" s="173">
        <v>1</v>
      </c>
    </row>
    <row r="346" spans="1:7" hidden="1" x14ac:dyDescent="0.25">
      <c r="A346" t="s">
        <v>171</v>
      </c>
      <c r="B346" t="s">
        <v>25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3">
        <v>1</v>
      </c>
      <c r="G346" s="173">
        <v>1</v>
      </c>
    </row>
    <row r="347" spans="1:7" hidden="1" x14ac:dyDescent="0.25">
      <c r="A347" t="s">
        <v>171</v>
      </c>
      <c r="B347" t="s">
        <v>25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3">
        <v>1</v>
      </c>
      <c r="G347" s="173">
        <v>1</v>
      </c>
    </row>
    <row r="348" spans="1:7" hidden="1" x14ac:dyDescent="0.25">
      <c r="A348" t="s">
        <v>171</v>
      </c>
      <c r="B348" t="s">
        <v>25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3">
        <v>1</v>
      </c>
      <c r="G348" s="173">
        <v>1</v>
      </c>
    </row>
    <row r="349" spans="1:7" hidden="1" x14ac:dyDescent="0.25">
      <c r="A349" t="s">
        <v>171</v>
      </c>
      <c r="B349" t="s">
        <v>25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3">
        <v>1</v>
      </c>
      <c r="G349" s="173">
        <v>1</v>
      </c>
    </row>
    <row r="350" spans="1:7" hidden="1" x14ac:dyDescent="0.25">
      <c r="A350" t="s">
        <v>117</v>
      </c>
      <c r="B350" t="s">
        <v>24</v>
      </c>
      <c r="C350" t="s">
        <v>141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117</v>
      </c>
      <c r="B351" t="s">
        <v>24</v>
      </c>
      <c r="C351" t="s">
        <v>142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117</v>
      </c>
      <c r="B352" t="s">
        <v>24</v>
      </c>
      <c r="C352" t="s">
        <v>143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117</v>
      </c>
      <c r="B353" t="s">
        <v>24</v>
      </c>
      <c r="C353" t="s">
        <v>103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117</v>
      </c>
      <c r="B354" t="s">
        <v>24</v>
      </c>
      <c r="C354" t="s">
        <v>113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117</v>
      </c>
      <c r="B355" t="s">
        <v>24</v>
      </c>
      <c r="C355" t="s">
        <v>118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117</v>
      </c>
      <c r="B356" t="s">
        <v>24</v>
      </c>
      <c r="C356" t="s">
        <v>141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5276191.611558374</v>
      </c>
    </row>
    <row r="357" spans="1:5" hidden="1" x14ac:dyDescent="0.25">
      <c r="A357" t="s">
        <v>117</v>
      </c>
      <c r="B357" t="s">
        <v>24</v>
      </c>
      <c r="C357" t="s">
        <v>142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25">
      <c r="A358" t="s">
        <v>117</v>
      </c>
      <c r="B358" t="s">
        <v>24</v>
      </c>
      <c r="C358" t="s">
        <v>143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2210.8224259195526</v>
      </c>
    </row>
    <row r="359" spans="1:5" hidden="1" x14ac:dyDescent="0.25">
      <c r="A359" t="s">
        <v>117</v>
      </c>
      <c r="B359" t="s">
        <v>24</v>
      </c>
      <c r="C359" t="s">
        <v>103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251080.47924699794</v>
      </c>
    </row>
    <row r="360" spans="1:5" hidden="1" x14ac:dyDescent="0.25">
      <c r="A360" t="s">
        <v>117</v>
      </c>
      <c r="B360" t="s">
        <v>24</v>
      </c>
      <c r="C360" t="s">
        <v>113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19483465.104424868</v>
      </c>
    </row>
    <row r="361" spans="1:5" hidden="1" x14ac:dyDescent="0.25">
      <c r="A361" t="s">
        <v>117</v>
      </c>
      <c r="B361" t="s">
        <v>24</v>
      </c>
      <c r="C361" t="s">
        <v>118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55055.07188334316</v>
      </c>
    </row>
    <row r="362" spans="1:5" hidden="1" x14ac:dyDescent="0.25">
      <c r="A362" t="s">
        <v>117</v>
      </c>
      <c r="B362" t="s">
        <v>24</v>
      </c>
      <c r="C362" t="s">
        <v>141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2886458.3535159114</v>
      </c>
    </row>
    <row r="363" spans="1:5" hidden="1" x14ac:dyDescent="0.25">
      <c r="A363" t="s">
        <v>117</v>
      </c>
      <c r="B363" t="s">
        <v>24</v>
      </c>
      <c r="C363" t="s">
        <v>142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1687441.3615878511</v>
      </c>
    </row>
    <row r="364" spans="1:5" hidden="1" x14ac:dyDescent="0.25">
      <c r="A364" t="s">
        <v>117</v>
      </c>
      <c r="B364" t="s">
        <v>24</v>
      </c>
      <c r="C364" t="s">
        <v>143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1304.637660833052</v>
      </c>
    </row>
    <row r="365" spans="1:5" hidden="1" x14ac:dyDescent="0.25">
      <c r="A365" t="s">
        <v>117</v>
      </c>
      <c r="B365" t="s">
        <v>24</v>
      </c>
      <c r="C365" t="s">
        <v>103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210332.59938213494</v>
      </c>
    </row>
    <row r="366" spans="1:5" hidden="1" x14ac:dyDescent="0.25">
      <c r="A366" t="s">
        <v>117</v>
      </c>
      <c r="B366" t="s">
        <v>24</v>
      </c>
      <c r="C366" t="s">
        <v>113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20817436.864202589</v>
      </c>
    </row>
    <row r="367" spans="1:5" hidden="1" x14ac:dyDescent="0.25">
      <c r="A367" t="s">
        <v>117</v>
      </c>
      <c r="B367" t="s">
        <v>24</v>
      </c>
      <c r="C367" t="s">
        <v>118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63681.74406389035</v>
      </c>
    </row>
    <row r="368" spans="1:5" hidden="1" x14ac:dyDescent="0.25">
      <c r="A368" t="s">
        <v>117</v>
      </c>
      <c r="B368" t="s">
        <v>25</v>
      </c>
      <c r="C368" t="s">
        <v>141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117</v>
      </c>
      <c r="B369" t="s">
        <v>25</v>
      </c>
      <c r="C369" t="s">
        <v>142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117</v>
      </c>
      <c r="B370" t="s">
        <v>25</v>
      </c>
      <c r="C370" t="s">
        <v>143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117</v>
      </c>
      <c r="B371" t="s">
        <v>25</v>
      </c>
      <c r="C371" t="s">
        <v>103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117</v>
      </c>
      <c r="B372" t="s">
        <v>25</v>
      </c>
      <c r="C372" t="s">
        <v>113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117</v>
      </c>
      <c r="B373" t="s">
        <v>25</v>
      </c>
      <c r="C373" t="s">
        <v>118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117</v>
      </c>
      <c r="B374" t="s">
        <v>25</v>
      </c>
      <c r="C374" t="s">
        <v>141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764504.94331499608</v>
      </c>
    </row>
    <row r="375" spans="1:5" hidden="1" x14ac:dyDescent="0.25">
      <c r="A375" t="s">
        <v>117</v>
      </c>
      <c r="B375" t="s">
        <v>25</v>
      </c>
      <c r="C375" t="s">
        <v>142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25">
      <c r="A376" t="s">
        <v>117</v>
      </c>
      <c r="B376" t="s">
        <v>25</v>
      </c>
      <c r="C376" t="s">
        <v>143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185.55351016550645</v>
      </c>
    </row>
    <row r="377" spans="1:5" hidden="1" x14ac:dyDescent="0.25">
      <c r="A377" t="s">
        <v>117</v>
      </c>
      <c r="B377" t="s">
        <v>25</v>
      </c>
      <c r="C377" t="s">
        <v>103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33887.358586402894</v>
      </c>
    </row>
    <row r="378" spans="1:5" hidden="1" x14ac:dyDescent="0.25">
      <c r="A378" t="s">
        <v>117</v>
      </c>
      <c r="B378" t="s">
        <v>25</v>
      </c>
      <c r="C378" t="s">
        <v>113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3695622.0320317331</v>
      </c>
    </row>
    <row r="379" spans="1:5" hidden="1" x14ac:dyDescent="0.25">
      <c r="A379" t="s">
        <v>117</v>
      </c>
      <c r="B379" t="s">
        <v>25</v>
      </c>
      <c r="C379" t="s">
        <v>118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284186.53350619553</v>
      </c>
    </row>
    <row r="380" spans="1:5" hidden="1" x14ac:dyDescent="0.25">
      <c r="A380" t="s">
        <v>117</v>
      </c>
      <c r="B380" t="s">
        <v>25</v>
      </c>
      <c r="C380" t="s">
        <v>141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418239.48832745384</v>
      </c>
    </row>
    <row r="381" spans="1:5" hidden="1" x14ac:dyDescent="0.25">
      <c r="A381" t="s">
        <v>117</v>
      </c>
      <c r="B381" t="s">
        <v>25</v>
      </c>
      <c r="C381" t="s">
        <v>142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119933.22389205502</v>
      </c>
    </row>
    <row r="382" spans="1:5" hidden="1" x14ac:dyDescent="0.25">
      <c r="A382" t="s">
        <v>117</v>
      </c>
      <c r="B382" t="s">
        <v>25</v>
      </c>
      <c r="C382" t="s">
        <v>143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109.49775731580944</v>
      </c>
    </row>
    <row r="383" spans="1:5" hidden="1" x14ac:dyDescent="0.25">
      <c r="A383" t="s">
        <v>117</v>
      </c>
      <c r="B383" t="s">
        <v>25</v>
      </c>
      <c r="C383" t="s">
        <v>103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28548.68524549713</v>
      </c>
    </row>
    <row r="384" spans="1:5" hidden="1" x14ac:dyDescent="0.25">
      <c r="A384" t="s">
        <v>117</v>
      </c>
      <c r="B384" t="s">
        <v>25</v>
      </c>
      <c r="C384" t="s">
        <v>113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4504284.7839041585</v>
      </c>
    </row>
    <row r="385" spans="1:7" hidden="1" x14ac:dyDescent="0.25">
      <c r="A385" t="s">
        <v>117</v>
      </c>
      <c r="B385" t="s">
        <v>25</v>
      </c>
      <c r="C385" t="s">
        <v>118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257708.57342916247</v>
      </c>
    </row>
    <row r="386" spans="1:7" hidden="1" x14ac:dyDescent="0.25">
      <c r="A386" t="s">
        <v>219</v>
      </c>
      <c r="B386" t="s">
        <v>24</v>
      </c>
      <c r="C386" t="s">
        <v>52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3">
        <v>1</v>
      </c>
    </row>
    <row r="387" spans="1:7" hidden="1" x14ac:dyDescent="0.25">
      <c r="A387" t="s">
        <v>219</v>
      </c>
      <c r="B387" t="s">
        <v>24</v>
      </c>
      <c r="C387" t="s">
        <v>52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15107.676841271819</v>
      </c>
      <c r="G387" s="173">
        <v>1</v>
      </c>
    </row>
    <row r="388" spans="1:7" hidden="1" x14ac:dyDescent="0.25">
      <c r="A388" t="s">
        <v>219</v>
      </c>
      <c r="B388" t="s">
        <v>24</v>
      </c>
      <c r="C388" t="s">
        <v>52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15107.676841271819</v>
      </c>
      <c r="G388" s="173">
        <v>1</v>
      </c>
    </row>
    <row r="389" spans="1:7" hidden="1" x14ac:dyDescent="0.25">
      <c r="A389" t="s">
        <v>219</v>
      </c>
      <c r="B389" t="s">
        <v>25</v>
      </c>
      <c r="C389" t="s">
        <v>52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3">
        <v>1</v>
      </c>
    </row>
    <row r="390" spans="1:7" hidden="1" x14ac:dyDescent="0.25">
      <c r="A390" t="s">
        <v>219</v>
      </c>
      <c r="B390" t="s">
        <v>25</v>
      </c>
      <c r="C390" t="s">
        <v>52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1854.3335592126687</v>
      </c>
      <c r="G390" s="173">
        <v>1</v>
      </c>
    </row>
    <row r="391" spans="1:7" hidden="1" x14ac:dyDescent="0.25">
      <c r="A391" t="s">
        <v>219</v>
      </c>
      <c r="B391" t="s">
        <v>25</v>
      </c>
      <c r="C391" t="s">
        <v>52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1854.3335592126684</v>
      </c>
      <c r="G391" s="173">
        <v>1</v>
      </c>
    </row>
    <row r="392" spans="1:7" hidden="1" x14ac:dyDescent="0.25">
      <c r="A392" t="s">
        <v>249</v>
      </c>
      <c r="B392" t="s">
        <v>24</v>
      </c>
      <c r="C392" t="s">
        <v>51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3">
        <v>1</v>
      </c>
    </row>
    <row r="393" spans="1:7" hidden="1" x14ac:dyDescent="0.25">
      <c r="A393" t="s">
        <v>249</v>
      </c>
      <c r="B393" t="s">
        <v>24</v>
      </c>
      <c r="C393" t="s">
        <v>51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352476.43400802126</v>
      </c>
      <c r="G393" s="173">
        <v>1</v>
      </c>
    </row>
    <row r="394" spans="1:7" hidden="1" x14ac:dyDescent="0.25">
      <c r="A394" t="s">
        <v>249</v>
      </c>
      <c r="B394" t="s">
        <v>24</v>
      </c>
      <c r="C394" t="s">
        <v>51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345496.6234152735</v>
      </c>
      <c r="G394" s="173">
        <v>1</v>
      </c>
    </row>
    <row r="395" spans="1:7" hidden="1" x14ac:dyDescent="0.25">
      <c r="A395" t="s">
        <v>249</v>
      </c>
      <c r="B395" t="s">
        <v>25</v>
      </c>
      <c r="C395" t="s">
        <v>51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3">
        <v>1</v>
      </c>
    </row>
    <row r="396" spans="1:7" hidden="1" x14ac:dyDescent="0.25">
      <c r="A396" t="s">
        <v>249</v>
      </c>
      <c r="B396" t="s">
        <v>25</v>
      </c>
      <c r="C396" t="s">
        <v>51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115336.64661622414</v>
      </c>
      <c r="G396" s="173">
        <v>1</v>
      </c>
    </row>
    <row r="397" spans="1:7" hidden="1" x14ac:dyDescent="0.25">
      <c r="A397" t="s">
        <v>249</v>
      </c>
      <c r="B397" t="s">
        <v>25</v>
      </c>
      <c r="C397" t="s">
        <v>51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115213.68672370631</v>
      </c>
      <c r="G397" s="173">
        <v>1</v>
      </c>
    </row>
    <row r="398" spans="1:7" hidden="1" x14ac:dyDescent="0.25">
      <c r="A398" t="s">
        <v>340</v>
      </c>
      <c r="B398" s="173" t="s">
        <v>24</v>
      </c>
      <c r="C398" t="s">
        <v>69</v>
      </c>
      <c r="D398" s="173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3">
        <v>1</v>
      </c>
    </row>
    <row r="399" spans="1:7" hidden="1" x14ac:dyDescent="0.25">
      <c r="A399" s="173" t="s">
        <v>340</v>
      </c>
      <c r="B399" s="173" t="s">
        <v>24</v>
      </c>
      <c r="C399" s="173" t="s">
        <v>69</v>
      </c>
      <c r="D399" s="173">
        <f>År2</f>
        <v>2030</v>
      </c>
      <c r="E399" s="173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744921.86156949028</v>
      </c>
      <c r="G399" s="173">
        <v>1</v>
      </c>
    </row>
    <row r="400" spans="1:7" hidden="1" x14ac:dyDescent="0.25">
      <c r="A400" s="173" t="s">
        <v>340</v>
      </c>
      <c r="B400" s="173" t="s">
        <v>24</v>
      </c>
      <c r="C400" s="173" t="s">
        <v>69</v>
      </c>
      <c r="D400" s="173">
        <f>År3</f>
        <v>2050</v>
      </c>
      <c r="E400" s="173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731000.31028981879</v>
      </c>
      <c r="G400" s="173">
        <v>1</v>
      </c>
    </row>
    <row r="401" spans="1:7" hidden="1" x14ac:dyDescent="0.25">
      <c r="A401" s="173" t="s">
        <v>340</v>
      </c>
      <c r="B401" s="173" t="s">
        <v>25</v>
      </c>
      <c r="C401" s="173" t="s">
        <v>69</v>
      </c>
      <c r="D401" s="173">
        <f>År1</f>
        <v>2019</v>
      </c>
      <c r="E401" s="173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3">
        <v>1</v>
      </c>
    </row>
    <row r="402" spans="1:7" hidden="1" x14ac:dyDescent="0.25">
      <c r="A402" s="173" t="s">
        <v>340</v>
      </c>
      <c r="B402" s="173" t="s">
        <v>25</v>
      </c>
      <c r="C402" s="173" t="s">
        <v>69</v>
      </c>
      <c r="D402" s="173">
        <f>År2</f>
        <v>2030</v>
      </c>
      <c r="E402" s="173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450078.1384305096</v>
      </c>
      <c r="G402" s="173">
        <v>1</v>
      </c>
    </row>
    <row r="403" spans="1:7" hidden="1" x14ac:dyDescent="0.25">
      <c r="A403" s="173" t="s">
        <v>340</v>
      </c>
      <c r="B403" s="173" t="s">
        <v>25</v>
      </c>
      <c r="C403" s="173" t="s">
        <v>69</v>
      </c>
      <c r="D403" s="173">
        <f>År3</f>
        <v>2050</v>
      </c>
      <c r="E403" s="173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455999.6897101808</v>
      </c>
      <c r="G403" s="173">
        <v>1</v>
      </c>
    </row>
    <row r="404" spans="1:7" hidden="1" x14ac:dyDescent="0.25">
      <c r="A404" s="173" t="s">
        <v>123</v>
      </c>
      <c r="B404" s="173" t="s">
        <v>24</v>
      </c>
      <c r="C404" s="173" t="s">
        <v>336</v>
      </c>
      <c r="D404" s="173">
        <f t="shared" ref="D404:D411" si="33">År1</f>
        <v>2019</v>
      </c>
      <c r="E404" s="173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3">
        <v>1</v>
      </c>
    </row>
    <row r="405" spans="1:7" hidden="1" x14ac:dyDescent="0.25">
      <c r="A405" s="173" t="s">
        <v>123</v>
      </c>
      <c r="B405" s="173" t="s">
        <v>24</v>
      </c>
      <c r="C405" s="173" t="s">
        <v>337</v>
      </c>
      <c r="D405" s="173">
        <f t="shared" si="33"/>
        <v>2019</v>
      </c>
      <c r="E405" s="173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3">
        <v>1</v>
      </c>
    </row>
    <row r="406" spans="1:7" hidden="1" x14ac:dyDescent="0.25">
      <c r="A406" s="173" t="s">
        <v>123</v>
      </c>
      <c r="B406" s="173" t="s">
        <v>24</v>
      </c>
      <c r="C406" s="173" t="s">
        <v>336</v>
      </c>
      <c r="D406" s="173">
        <f>År2</f>
        <v>2030</v>
      </c>
      <c r="E406" s="173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417156.24247891462</v>
      </c>
      <c r="F406" s="173">
        <v>1</v>
      </c>
    </row>
    <row r="407" spans="1:7" hidden="1" x14ac:dyDescent="0.25">
      <c r="A407" s="173" t="s">
        <v>123</v>
      </c>
      <c r="B407" s="173" t="s">
        <v>24</v>
      </c>
      <c r="C407" s="173" t="s">
        <v>337</v>
      </c>
      <c r="D407" s="173">
        <f>År2</f>
        <v>2030</v>
      </c>
      <c r="E407" s="173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104289.06061972865</v>
      </c>
      <c r="F407" s="173">
        <v>1</v>
      </c>
    </row>
    <row r="408" spans="1:7" hidden="1" x14ac:dyDescent="0.25">
      <c r="A408" s="173" t="s">
        <v>123</v>
      </c>
      <c r="B408" s="173" t="s">
        <v>24</v>
      </c>
      <c r="C408" s="173" t="s">
        <v>336</v>
      </c>
      <c r="D408" s="173">
        <f>År3</f>
        <v>2050</v>
      </c>
      <c r="E408" s="173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409360.17376229854</v>
      </c>
      <c r="F408" s="173">
        <v>1</v>
      </c>
    </row>
    <row r="409" spans="1:7" hidden="1" x14ac:dyDescent="0.25">
      <c r="A409" s="173" t="s">
        <v>123</v>
      </c>
      <c r="B409" s="173" t="s">
        <v>24</v>
      </c>
      <c r="C409" s="173" t="s">
        <v>337</v>
      </c>
      <c r="D409" s="173">
        <f>År3</f>
        <v>2050</v>
      </c>
      <c r="E409" s="173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102340.04344057463</v>
      </c>
      <c r="F409" s="173">
        <v>1</v>
      </c>
    </row>
    <row r="410" spans="1:7" hidden="1" x14ac:dyDescent="0.25">
      <c r="A410" s="173" t="s">
        <v>123</v>
      </c>
      <c r="B410" s="173" t="s">
        <v>25</v>
      </c>
      <c r="C410" s="173" t="s">
        <v>336</v>
      </c>
      <c r="D410" s="173">
        <f t="shared" si="33"/>
        <v>2019</v>
      </c>
      <c r="E410" s="173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3">
        <v>1</v>
      </c>
    </row>
    <row r="411" spans="1:7" hidden="1" x14ac:dyDescent="0.25">
      <c r="A411" s="173" t="s">
        <v>123</v>
      </c>
      <c r="B411" s="173" t="s">
        <v>25</v>
      </c>
      <c r="C411" s="173" t="s">
        <v>337</v>
      </c>
      <c r="D411" s="173">
        <f t="shared" si="33"/>
        <v>2019</v>
      </c>
      <c r="E411" s="173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3">
        <v>1</v>
      </c>
    </row>
    <row r="412" spans="1:7" hidden="1" x14ac:dyDescent="0.25">
      <c r="A412" s="173" t="s">
        <v>123</v>
      </c>
      <c r="B412" s="173" t="s">
        <v>25</v>
      </c>
      <c r="C412" s="173" t="s">
        <v>336</v>
      </c>
      <c r="D412" s="173">
        <f>År2</f>
        <v>2030</v>
      </c>
      <c r="E412" s="173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252043.75752108541</v>
      </c>
      <c r="F412" s="173">
        <v>1</v>
      </c>
    </row>
    <row r="413" spans="1:7" hidden="1" x14ac:dyDescent="0.25">
      <c r="A413" s="173" t="s">
        <v>123</v>
      </c>
      <c r="B413" s="173" t="s">
        <v>25</v>
      </c>
      <c r="C413" s="173" t="s">
        <v>337</v>
      </c>
      <c r="D413" s="173">
        <f>År2</f>
        <v>2030</v>
      </c>
      <c r="E413" s="173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63010.939380271353</v>
      </c>
      <c r="F413" s="173">
        <v>1</v>
      </c>
    </row>
    <row r="414" spans="1:7" hidden="1" x14ac:dyDescent="0.25">
      <c r="A414" s="173" t="s">
        <v>123</v>
      </c>
      <c r="B414" s="173" t="s">
        <v>25</v>
      </c>
      <c r="C414" s="173" t="s">
        <v>336</v>
      </c>
      <c r="D414" s="173">
        <f>År3</f>
        <v>2050</v>
      </c>
      <c r="E414" s="173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255359.82623770126</v>
      </c>
      <c r="F414" s="173">
        <v>1</v>
      </c>
    </row>
    <row r="415" spans="1:7" hidden="1" x14ac:dyDescent="0.25">
      <c r="A415" s="173" t="s">
        <v>123</v>
      </c>
      <c r="B415" s="173" t="s">
        <v>25</v>
      </c>
      <c r="C415" s="173" t="s">
        <v>337</v>
      </c>
      <c r="D415" s="173">
        <f>År3</f>
        <v>2050</v>
      </c>
      <c r="E415" s="173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63839.956559425314</v>
      </c>
      <c r="F415" s="173">
        <v>1</v>
      </c>
    </row>
  </sheetData>
  <autoFilter ref="A1:G415" xr:uid="{9891F61F-9FCA-417C-BBAD-AB47A8A15D61}">
    <filterColumn colId="2">
      <filters>
        <filter val="Æg"/>
      </filters>
    </filterColumn>
    <filterColumn colId="3">
      <filters>
        <filter val="2019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78</v>
      </c>
      <c r="E1" t="s">
        <v>172</v>
      </c>
      <c r="F1" t="s">
        <v>199</v>
      </c>
      <c r="G1" t="s">
        <v>173</v>
      </c>
      <c r="H1" t="s">
        <v>240</v>
      </c>
    </row>
    <row r="2" spans="1:8" x14ac:dyDescent="0.25">
      <c r="A2" t="str">
        <f>'Forbrug til andet'!A9</f>
        <v>Halm</v>
      </c>
      <c r="B2" t="s">
        <v>24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24</v>
      </c>
      <c r="C3">
        <f t="shared" si="0"/>
        <v>2019</v>
      </c>
      <c r="D3" s="173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24</v>
      </c>
      <c r="C4">
        <f t="shared" si="0"/>
        <v>2019</v>
      </c>
      <c r="D4" s="173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24</v>
      </c>
      <c r="C5">
        <f t="shared" si="0"/>
        <v>2019</v>
      </c>
      <c r="D5" s="173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24</v>
      </c>
      <c r="C6">
        <f t="shared" si="0"/>
        <v>2019</v>
      </c>
      <c r="D6" s="173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24</v>
      </c>
      <c r="C7">
        <f t="shared" si="0"/>
        <v>2019</v>
      </c>
      <c r="D7" s="173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25</v>
      </c>
      <c r="C8">
        <f t="shared" si="0"/>
        <v>2019</v>
      </c>
      <c r="D8" s="173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25</v>
      </c>
      <c r="C9">
        <f t="shared" si="0"/>
        <v>2019</v>
      </c>
      <c r="D9" s="173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25</v>
      </c>
      <c r="C10">
        <f t="shared" si="0"/>
        <v>2019</v>
      </c>
      <c r="D10" s="173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25</v>
      </c>
      <c r="C11">
        <f t="shared" si="0"/>
        <v>2019</v>
      </c>
      <c r="D11" s="173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25</v>
      </c>
      <c r="C12">
        <f t="shared" si="0"/>
        <v>2019</v>
      </c>
      <c r="D12" s="173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25</v>
      </c>
      <c r="C13">
        <f t="shared" si="0"/>
        <v>2019</v>
      </c>
      <c r="D13" s="173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24</v>
      </c>
      <c r="C14">
        <f t="shared" ref="C14:C25" si="5">År2</f>
        <v>2030</v>
      </c>
      <c r="D14" s="173">
        <f>SUMIFS('Forbrug af biomasse'!E:E,'Forbrug af biomasse'!F:F,"",'Forbrug af biomasse'!B:B,Restprodukter!$B14,'Forbrug af biomasse'!C:C,Restprodukter!$A14,'Forbrug af biomasse'!D:D,Restprodukter!$C14)</f>
        <v>1518007.7551124163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1285774.985687037</v>
      </c>
      <c r="F14">
        <f>E14-D14</f>
        <v>-232232.76942537935</v>
      </c>
      <c r="G14">
        <f t="shared" si="3"/>
        <v>-341.41020267712884</v>
      </c>
      <c r="H14">
        <f t="shared" si="1"/>
        <v>231891.35922270222</v>
      </c>
    </row>
    <row r="15" spans="1:8" x14ac:dyDescent="0.25">
      <c r="A15" t="str">
        <f t="shared" si="4"/>
        <v>Rapsolie</v>
      </c>
      <c r="B15" t="s">
        <v>24</v>
      </c>
      <c r="C15">
        <f t="shared" si="5"/>
        <v>2030</v>
      </c>
      <c r="D15" s="173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112792.4588825668</v>
      </c>
      <c r="F15">
        <f t="shared" si="2"/>
        <v>112792.4588825668</v>
      </c>
      <c r="G15">
        <f t="shared" si="3"/>
        <v>112792.4588825668</v>
      </c>
      <c r="H15">
        <f t="shared" si="1"/>
        <v>36907.726917191729</v>
      </c>
    </row>
    <row r="16" spans="1:8" x14ac:dyDescent="0.25">
      <c r="A16" t="str">
        <f t="shared" si="4"/>
        <v>Pil &amp; poppel</v>
      </c>
      <c r="B16" t="s">
        <v>24</v>
      </c>
      <c r="C16">
        <f t="shared" si="5"/>
        <v>2030</v>
      </c>
      <c r="D16" s="173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97606.291632882203</v>
      </c>
      <c r="F16">
        <f t="shared" si="2"/>
        <v>97606.291632882203</v>
      </c>
      <c r="G16">
        <f t="shared" si="3"/>
        <v>97606.291632882203</v>
      </c>
      <c r="H16">
        <f t="shared" si="1"/>
        <v>31330.310934881738</v>
      </c>
    </row>
    <row r="17" spans="1:8" x14ac:dyDescent="0.25">
      <c r="A17" t="str">
        <f t="shared" si="4"/>
        <v>Træ til energi</v>
      </c>
      <c r="B17" t="s">
        <v>24</v>
      </c>
      <c r="C17">
        <f t="shared" si="5"/>
        <v>2030</v>
      </c>
      <c r="D17" s="173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25">
      <c r="A18" t="str">
        <f t="shared" si="4"/>
        <v>Have/parkaffald</v>
      </c>
      <c r="B18" t="s">
        <v>24</v>
      </c>
      <c r="C18">
        <f t="shared" si="5"/>
        <v>2030</v>
      </c>
      <c r="D18" s="173">
        <f>SUMIFS('Forbrug af biomasse'!E:E,'Forbrug af biomasse'!F:F,"",'Forbrug af biomasse'!B:B,Restprodukter!$B18,'Forbrug af biomasse'!C:C,Restprodukter!$A18,'Forbrug af biomasse'!D:D,Restprodukter!$C18)</f>
        <v>267973.79239933251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258760.31746905867</v>
      </c>
      <c r="G18">
        <f t="shared" si="3"/>
        <v>258760.31746905867</v>
      </c>
      <c r="H18">
        <f t="shared" si="1"/>
        <v>224048.68253094138</v>
      </c>
    </row>
    <row r="19" spans="1:8" x14ac:dyDescent="0.25">
      <c r="A19" t="str">
        <f t="shared" si="4"/>
        <v>Bioaffald</v>
      </c>
      <c r="B19" t="s">
        <v>24</v>
      </c>
      <c r="C19">
        <f t="shared" si="5"/>
        <v>2030</v>
      </c>
      <c r="D19" s="173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25</v>
      </c>
      <c r="C20">
        <f t="shared" si="5"/>
        <v>2030</v>
      </c>
      <c r="D20" s="173">
        <f>SUMIFS('Forbrug af biomasse'!E:E,'Forbrug af biomasse'!F:F,"",'Forbrug af biomasse'!B:B,Restprodukter!$B20,'Forbrug af biomasse'!C:C,Restprodukter!$A20,'Forbrug af biomasse'!D:D,Restprodukter!$C20)</f>
        <v>544967.58646492218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776858.94568762439</v>
      </c>
      <c r="F20">
        <f t="shared" si="2"/>
        <v>231891.35922270222</v>
      </c>
      <c r="G20">
        <f t="shared" si="3"/>
        <v>-341.41020267712884</v>
      </c>
      <c r="H20">
        <f t="shared" si="1"/>
        <v>-232232.76942537935</v>
      </c>
    </row>
    <row r="21" spans="1:8" x14ac:dyDescent="0.25">
      <c r="A21" t="str">
        <f t="shared" si="4"/>
        <v>Rapsolie</v>
      </c>
      <c r="B21" t="s">
        <v>25</v>
      </c>
      <c r="C21">
        <f t="shared" si="5"/>
        <v>2030</v>
      </c>
      <c r="D21" s="173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36907.726917191729</v>
      </c>
      <c r="F21">
        <f t="shared" si="2"/>
        <v>36907.726917191729</v>
      </c>
      <c r="G21">
        <f t="shared" si="3"/>
        <v>36907.726917191729</v>
      </c>
      <c r="H21">
        <f t="shared" si="1"/>
        <v>112792.4588825668</v>
      </c>
    </row>
    <row r="22" spans="1:8" x14ac:dyDescent="0.25">
      <c r="A22" t="str">
        <f t="shared" si="4"/>
        <v>Pil &amp; poppel</v>
      </c>
      <c r="B22" t="s">
        <v>25</v>
      </c>
      <c r="C22">
        <f t="shared" si="5"/>
        <v>2030</v>
      </c>
      <c r="D22" s="173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31330.310934881738</v>
      </c>
      <c r="F22">
        <f t="shared" si="2"/>
        <v>31330.310934881738</v>
      </c>
      <c r="G22">
        <f t="shared" si="3"/>
        <v>31330.310934881738</v>
      </c>
      <c r="H22">
        <f t="shared" si="1"/>
        <v>97606.291632882203</v>
      </c>
    </row>
    <row r="23" spans="1:8" x14ac:dyDescent="0.25">
      <c r="A23" t="str">
        <f t="shared" si="4"/>
        <v>Træ til energi</v>
      </c>
      <c r="B23" t="s">
        <v>25</v>
      </c>
      <c r="C23">
        <f t="shared" si="5"/>
        <v>2030</v>
      </c>
      <c r="D23" s="173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25">
      <c r="A24" t="str">
        <f t="shared" si="4"/>
        <v>Have/parkaffald</v>
      </c>
      <c r="B24" t="s">
        <v>25</v>
      </c>
      <c r="C24">
        <f t="shared" si="5"/>
        <v>2030</v>
      </c>
      <c r="D24" s="173">
        <f>SUMIFS('Forbrug af biomasse'!E:E,'Forbrug af biomasse'!F:F,"",'Forbrug af biomasse'!B:B,Restprodukter!$B24,'Forbrug af biomasse'!C:C,Restprodukter!$A24,'Forbrug af biomasse'!D:D,Restprodukter!$C24)</f>
        <v>232026.20760066749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224048.68253094138</v>
      </c>
      <c r="G24">
        <f t="shared" si="3"/>
        <v>224048.68253094138</v>
      </c>
      <c r="H24">
        <f t="shared" si="1"/>
        <v>258760.31746905867</v>
      </c>
    </row>
    <row r="25" spans="1:8" x14ac:dyDescent="0.25">
      <c r="A25" t="str">
        <f t="shared" si="4"/>
        <v>Bioaffald</v>
      </c>
      <c r="B25" t="s">
        <v>25</v>
      </c>
      <c r="C25">
        <f t="shared" si="5"/>
        <v>2030</v>
      </c>
      <c r="D25" s="173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24</v>
      </c>
      <c r="C26">
        <f t="shared" ref="C26:C37" si="6">År3</f>
        <v>2050</v>
      </c>
      <c r="D26" s="173">
        <f>SUMIFS('Forbrug af biomasse'!E:E,'Forbrug af biomasse'!F:F,"",'Forbrug af biomasse'!B:B,Restprodukter!$B26,'Forbrug af biomasse'!C:C,Restprodukter!$A26,'Forbrug af biomasse'!D:D,Restprodukter!$C26)</f>
        <v>1504086.2038327449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1272248.0223173045</v>
      </c>
      <c r="F26">
        <f t="shared" si="2"/>
        <v>-231838.18151544034</v>
      </c>
      <c r="G26">
        <f t="shared" si="3"/>
        <v>0</v>
      </c>
      <c r="H26">
        <f t="shared" si="1"/>
        <v>242742.13059381919</v>
      </c>
    </row>
    <row r="27" spans="1:8" x14ac:dyDescent="0.25">
      <c r="A27" t="str">
        <f t="shared" si="4"/>
        <v>Rapsolie</v>
      </c>
      <c r="B27" t="s">
        <v>24</v>
      </c>
      <c r="C27">
        <f t="shared" si="6"/>
        <v>2050</v>
      </c>
      <c r="D27" s="173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110558.91949288752</v>
      </c>
      <c r="F27">
        <f t="shared" si="2"/>
        <v>110558.91949288752</v>
      </c>
      <c r="G27">
        <f t="shared" si="3"/>
        <v>110558.91949288752</v>
      </c>
      <c r="H27">
        <f t="shared" si="1"/>
        <v>36868.379751586021</v>
      </c>
    </row>
    <row r="28" spans="1:8" x14ac:dyDescent="0.25">
      <c r="A28" t="str">
        <f t="shared" si="4"/>
        <v>Pil &amp; poppel</v>
      </c>
      <c r="B28" t="s">
        <v>24</v>
      </c>
      <c r="C28">
        <f t="shared" si="6"/>
        <v>2050</v>
      </c>
      <c r="D28" s="173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95761.673380129621</v>
      </c>
      <c r="F28">
        <f t="shared" si="2"/>
        <v>95761.673380129621</v>
      </c>
      <c r="G28">
        <f t="shared" si="3"/>
        <v>95761.673380129621</v>
      </c>
      <c r="H28">
        <f t="shared" si="1"/>
        <v>31325.762503658123</v>
      </c>
    </row>
    <row r="29" spans="1:8" x14ac:dyDescent="0.25">
      <c r="A29" t="str">
        <f t="shared" si="4"/>
        <v>Træ til energi</v>
      </c>
      <c r="B29" t="s">
        <v>24</v>
      </c>
      <c r="C29">
        <f t="shared" si="6"/>
        <v>2050</v>
      </c>
      <c r="D29" s="173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2094078.7176866641</v>
      </c>
      <c r="F29">
        <f t="shared" si="2"/>
        <v>2094078.7176866641</v>
      </c>
      <c r="G29">
        <f t="shared" si="3"/>
        <v>2094078.7176866641</v>
      </c>
      <c r="H29">
        <f t="shared" si="1"/>
        <v>595128.1688444037</v>
      </c>
    </row>
    <row r="30" spans="1:8" x14ac:dyDescent="0.25">
      <c r="A30" t="str">
        <f t="shared" si="4"/>
        <v>Have/parkaffald</v>
      </c>
      <c r="B30" t="s">
        <v>24</v>
      </c>
      <c r="C30">
        <f t="shared" si="6"/>
        <v>2050</v>
      </c>
      <c r="D30" s="173">
        <f>SUMIFS('Forbrug af biomasse'!E:E,'Forbrug af biomasse'!F:F,"",'Forbrug af biomasse'!B:B,Restprodukter!$B30,'Forbrug af biomasse'!C:C,Restprodukter!$A30,'Forbrug af biomasse'!D:D,Restprodukter!$C30)</f>
        <v>267031.5264916165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257850.44854778168</v>
      </c>
      <c r="G30">
        <f t="shared" si="3"/>
        <v>257850.44854778168</v>
      </c>
      <c r="H30">
        <f t="shared" si="1"/>
        <v>224958.55145221829</v>
      </c>
    </row>
    <row r="31" spans="1:8" x14ac:dyDescent="0.25">
      <c r="A31" t="str">
        <f t="shared" si="4"/>
        <v>Bioaffald</v>
      </c>
      <c r="B31" t="s">
        <v>24</v>
      </c>
      <c r="C31">
        <f t="shared" si="6"/>
        <v>2050</v>
      </c>
      <c r="D31" s="173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25</v>
      </c>
      <c r="C32">
        <f t="shared" si="6"/>
        <v>2050</v>
      </c>
      <c r="D32" s="173">
        <f>SUMIFS('Forbrug af biomasse'!E:E,'Forbrug af biomasse'!F:F,"",'Forbrug af biomasse'!B:B,Restprodukter!$B32,'Forbrug af biomasse'!C:C,Restprodukter!$A32,'Forbrug af biomasse'!D:D,Restprodukter!$C32)</f>
        <v>550889.13774459332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793631.26833841251</v>
      </c>
      <c r="F32">
        <f t="shared" si="2"/>
        <v>242742.13059381919</v>
      </c>
      <c r="G32">
        <f t="shared" si="3"/>
        <v>10903.94907837885</v>
      </c>
      <c r="H32">
        <f t="shared" si="1"/>
        <v>-231838.18151544034</v>
      </c>
    </row>
    <row r="33" spans="1:8" x14ac:dyDescent="0.25">
      <c r="A33" t="str">
        <f t="shared" si="4"/>
        <v>Rapsolie</v>
      </c>
      <c r="B33" t="s">
        <v>25</v>
      </c>
      <c r="C33">
        <f t="shared" si="6"/>
        <v>2050</v>
      </c>
      <c r="D33" s="173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36868.379751586021</v>
      </c>
      <c r="F33">
        <f t="shared" si="2"/>
        <v>36868.379751586021</v>
      </c>
      <c r="G33">
        <f t="shared" si="3"/>
        <v>36868.379751586021</v>
      </c>
      <c r="H33">
        <f t="shared" si="1"/>
        <v>110558.91949288752</v>
      </c>
    </row>
    <row r="34" spans="1:8" x14ac:dyDescent="0.25">
      <c r="A34" t="str">
        <f t="shared" si="4"/>
        <v>Pil &amp; poppel</v>
      </c>
      <c r="B34" t="s">
        <v>25</v>
      </c>
      <c r="C34">
        <f t="shared" si="6"/>
        <v>2050</v>
      </c>
      <c r="D34" s="173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31325.762503658123</v>
      </c>
      <c r="F34">
        <f t="shared" si="2"/>
        <v>31325.762503658123</v>
      </c>
      <c r="G34">
        <f t="shared" si="3"/>
        <v>31325.762503658123</v>
      </c>
      <c r="H34">
        <f t="shared" si="1"/>
        <v>95761.673380129621</v>
      </c>
    </row>
    <row r="35" spans="1:8" x14ac:dyDescent="0.25">
      <c r="A35" t="str">
        <f t="shared" si="4"/>
        <v>Træ til energi</v>
      </c>
      <c r="B35" t="s">
        <v>25</v>
      </c>
      <c r="C35">
        <f t="shared" si="6"/>
        <v>2050</v>
      </c>
      <c r="D35" s="173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595128.1688444037</v>
      </c>
      <c r="F35">
        <f t="shared" si="2"/>
        <v>595128.1688444037</v>
      </c>
      <c r="G35">
        <f t="shared" si="3"/>
        <v>595128.1688444037</v>
      </c>
      <c r="H35">
        <f t="shared" si="1"/>
        <v>2094078.7176866641</v>
      </c>
    </row>
    <row r="36" spans="1:8" x14ac:dyDescent="0.25">
      <c r="A36" t="str">
        <f t="shared" si="4"/>
        <v>Have/parkaffald</v>
      </c>
      <c r="B36" t="s">
        <v>25</v>
      </c>
      <c r="C36">
        <f t="shared" si="6"/>
        <v>2050</v>
      </c>
      <c r="D36" s="173">
        <f>SUMIFS('Forbrug af biomasse'!E:E,'Forbrug af biomasse'!F:F,"",'Forbrug af biomasse'!B:B,Restprodukter!$B36,'Forbrug af biomasse'!C:C,Restprodukter!$A36,'Forbrug af biomasse'!D:D,Restprodukter!$C36)</f>
        <v>232968.47350838353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224958.55145221829</v>
      </c>
      <c r="G36">
        <f t="shared" si="3"/>
        <v>224958.55145221829</v>
      </c>
      <c r="H36">
        <f t="shared" si="1"/>
        <v>257850.44854778168</v>
      </c>
    </row>
    <row r="37" spans="1:8" x14ac:dyDescent="0.25">
      <c r="A37" t="str">
        <f t="shared" si="4"/>
        <v>Bioaffald</v>
      </c>
      <c r="B37" t="s">
        <v>25</v>
      </c>
      <c r="C37">
        <f t="shared" si="6"/>
        <v>2050</v>
      </c>
      <c r="D37" s="173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 filterMode="1">
    <tabColor rgb="FFFF0000"/>
  </sheetPr>
  <dimension ref="A1:U480"/>
  <sheetViews>
    <sheetView zoomScale="81" workbookViewId="0">
      <selection activeCell="H78" sqref="H78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x14ac:dyDescent="0.25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hidden="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3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4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5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3">
        <f>SUMIF($F$3:$F$472,"Roer",I3:I472)</f>
        <v>280098.82292581868</v>
      </c>
      <c r="O3" s="173">
        <f>SUMIF($F$3:$F$472,"Roer",J3:J472)</f>
        <v>274805.35881915229</v>
      </c>
    </row>
    <row r="4" spans="1:21" hidden="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0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1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2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3"/>
      <c r="O4" s="173"/>
    </row>
    <row r="5" spans="1:21" hidden="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0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1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2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3" customFormat="1" hidden="1" x14ac:dyDescent="0.25">
      <c r="A6" s="173" t="str">
        <f>IF('[1]Processer - data'!A6&lt;&gt;"",'[1]Processer - data'!A6,"")</f>
        <v>Bioaffaldsproduktion</v>
      </c>
      <c r="B6" s="173" t="str">
        <f>IF('[1]Processer - data'!B6&lt;&gt;"",'[1]Processer - data'!B6,"")</f>
        <v/>
      </c>
      <c r="C6" s="173" t="str">
        <f>IF('[1]Processer - data'!C6&lt;&gt;"",'[1]Processer - data'!C6,"")</f>
        <v/>
      </c>
      <c r="D6" s="173" t="str">
        <f>IF('[1]Processer - data'!D6&lt;&gt;"",'[1]Processer - data'!D6,"")</f>
        <v>Befolkning</v>
      </c>
      <c r="E6" s="173" t="str">
        <f>IF('[1]Processer - data'!E6&lt;&gt;"",'[1]Processer - data'!E6,"")</f>
        <v>Antal</v>
      </c>
      <c r="F6" s="173" t="str">
        <f>IF('[1]Processer - data'!F6&lt;&gt;"",'[1]Processer - data'!F6,"")</f>
        <v>Industriaffald</v>
      </c>
      <c r="G6" s="173" t="str">
        <f>IF('[1]Processer - data'!G6&lt;&gt;"",'[1]Processer - data'!G6,"")</f>
        <v>Ton</v>
      </c>
      <c r="H6" s="320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1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2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hidden="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0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1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2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hidden="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0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1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2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hidden="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0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1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2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hidden="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0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1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2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hidden="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0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1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2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hidden="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0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1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2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hidden="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0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1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2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hidden="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0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1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2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hidden="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0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1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2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hidden="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0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1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-1263443.3709704424</v>
      </c>
      <c r="J16" s="322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-91926.904937424333</v>
      </c>
    </row>
    <row r="17" spans="1:10" hidden="1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0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1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2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hidden="1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0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1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2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hidden="1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0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1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-277957.54161349731</v>
      </c>
      <c r="J19" s="322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-202239.19086233352</v>
      </c>
    </row>
    <row r="20" spans="1:10" hidden="1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0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1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2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hidden="1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0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1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2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hidden="1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0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1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2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-7075282.8774344772</v>
      </c>
    </row>
    <row r="23" spans="1:10" hidden="1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0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1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2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96485.210890222734</v>
      </c>
    </row>
    <row r="24" spans="1:10" hidden="1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0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1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2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50402.722106832771</v>
      </c>
    </row>
    <row r="25" spans="1:10" hidden="1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0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1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2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-732797.15516285656</v>
      </c>
    </row>
    <row r="26" spans="1:10" hidden="1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0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1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2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hidden="1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0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1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2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hidden="1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0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1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2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hidden="1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0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1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2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hidden="1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0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1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2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hidden="1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0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1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2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hidden="1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0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1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2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hidden="1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0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1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2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hidden="1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0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1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2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hidden="1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0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1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2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hidden="1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0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1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2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hidden="1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0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1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2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hidden="1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0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1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2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hidden="1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0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1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2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hidden="1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0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1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2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hidden="1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0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1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2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hidden="1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0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1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2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hidden="1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0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1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2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hidden="1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0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1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2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hidden="1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0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1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2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hidden="1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0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1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2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hidden="1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0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1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2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hidden="1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0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1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2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hidden="1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0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1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2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hidden="1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0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1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2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hidden="1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0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1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2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hidden="1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0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1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2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hidden="1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0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1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2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hidden="1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0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1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2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hidden="1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0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1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2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hidden="1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0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1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2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hidden="1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0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1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2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hidden="1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0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1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2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hidden="1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0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1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2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hidden="1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0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1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2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hidden="1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0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1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2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hidden="1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0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1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2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hidden="1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0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1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2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hidden="1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0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1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2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hidden="1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0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1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2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hidden="1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0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1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2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hidden="1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0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1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2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hidden="1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0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1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2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hidden="1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0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1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2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hidden="1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0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1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2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hidden="1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0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1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2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hidden="1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0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1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2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hidden="1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0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1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2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hidden="1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0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1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22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hidden="1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0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1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22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hidden="1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0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1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22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hidden="1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0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1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22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0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1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22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hidden="1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0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1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22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hidden="1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0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1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22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hidden="1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0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1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22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hidden="1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0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1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2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hidden="1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0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1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22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hidden="1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0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1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22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0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1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22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hidden="1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0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1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22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hidden="1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0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1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22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hidden="1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0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1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22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hidden="1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0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1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22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hidden="1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0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1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22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hidden="1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0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1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22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hidden="1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0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1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22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0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1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22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hidden="1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0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1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22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hidden="1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0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1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22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hidden="1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0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1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22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hidden="1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0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1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22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hidden="1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0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1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22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hidden="1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0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1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22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hidden="1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0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1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22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0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1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22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hidden="1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0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1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22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hidden="1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0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1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22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hidden="1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0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1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22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hidden="1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0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1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22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hidden="1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0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1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22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hidden="1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0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1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22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hidden="1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0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1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22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0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1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22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hidden="1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0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1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22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hidden="1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0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1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22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hidden="1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0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1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22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hidden="1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0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1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22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hidden="1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0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1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22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hidden="1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0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1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22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hidden="1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0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1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22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0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1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22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hidden="1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0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1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22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hidden="1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0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1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22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hidden="1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0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1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4686191.7734308224</v>
      </c>
      <c r="J120" s="322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4495094.5655391654</v>
      </c>
    </row>
    <row r="121" spans="1:10" hidden="1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0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1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1517832.161018454</v>
      </c>
      <c r="J121" s="322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1458658.1865174596</v>
      </c>
    </row>
    <row r="122" spans="1:10" hidden="1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0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1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-99776263.619793072</v>
      </c>
      <c r="J122" s="322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-93271317.661297694</v>
      </c>
    </row>
    <row r="123" spans="1:10" hidden="1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0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1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1417879.553756675</v>
      </c>
      <c r="J123" s="322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1325440.4350902482</v>
      </c>
    </row>
    <row r="124" spans="1:10" hidden="1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0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1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0</v>
      </c>
      <c r="J124" s="322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0</v>
      </c>
    </row>
    <row r="125" spans="1:10" hidden="1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0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1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0</v>
      </c>
      <c r="J125" s="322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0</v>
      </c>
    </row>
    <row r="126" spans="1:10" hidden="1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0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1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0</v>
      </c>
      <c r="J126" s="322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0</v>
      </c>
    </row>
    <row r="127" spans="1:10" hidden="1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0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1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0</v>
      </c>
      <c r="J127" s="322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0</v>
      </c>
    </row>
    <row r="128" spans="1:10" hidden="1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0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1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0</v>
      </c>
      <c r="J128" s="322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0</v>
      </c>
    </row>
    <row r="129" spans="1:10" hidden="1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0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1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0</v>
      </c>
      <c r="J129" s="322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0</v>
      </c>
    </row>
    <row r="130" spans="1:10" hidden="1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0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1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0</v>
      </c>
      <c r="J130" s="322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0</v>
      </c>
    </row>
    <row r="131" spans="1:10" hidden="1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0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1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0</v>
      </c>
      <c r="J131" s="322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0</v>
      </c>
    </row>
    <row r="132" spans="1:10" hidden="1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0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1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490018.55018129229</v>
      </c>
      <c r="J132" s="322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638848.28825389966</v>
      </c>
    </row>
    <row r="133" spans="1:10" hidden="1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0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1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158714.35718395282</v>
      </c>
      <c r="J133" s="322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207306.26953839045</v>
      </c>
    </row>
    <row r="134" spans="1:10" hidden="1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0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1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-10433252.074462757</v>
      </c>
      <c r="J134" s="322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-13255832.722166248</v>
      </c>
    </row>
    <row r="135" spans="1:10" hidden="1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0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1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221287.5604128915</v>
      </c>
      <c r="J135" s="322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281154.03168581025</v>
      </c>
    </row>
    <row r="136" spans="1:10" hidden="1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0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1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0</v>
      </c>
      <c r="J136" s="322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0</v>
      </c>
    </row>
    <row r="137" spans="1:10" hidden="1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0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1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0</v>
      </c>
      <c r="J137" s="322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0</v>
      </c>
    </row>
    <row r="138" spans="1:10" hidden="1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0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1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0</v>
      </c>
      <c r="J138" s="322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0</v>
      </c>
    </row>
    <row r="139" spans="1:10" hidden="1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0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1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0</v>
      </c>
      <c r="J139" s="322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0</v>
      </c>
    </row>
    <row r="140" spans="1:10" hidden="1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0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1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0</v>
      </c>
      <c r="J140" s="322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0</v>
      </c>
    </row>
    <row r="141" spans="1:10" hidden="1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0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1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0</v>
      </c>
      <c r="J141" s="322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0</v>
      </c>
    </row>
    <row r="142" spans="1:10" hidden="1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0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1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0</v>
      </c>
      <c r="J142" s="322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0</v>
      </c>
    </row>
    <row r="143" spans="1:10" hidden="1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0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1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0</v>
      </c>
      <c r="J143" s="322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0</v>
      </c>
    </row>
    <row r="144" spans="1:10" hidden="1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0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1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112220.83817052147</v>
      </c>
      <c r="J144" s="322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106961.81735470655</v>
      </c>
    </row>
    <row r="145" spans="1:10" hidden="1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0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1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-1015575.058775702</v>
      </c>
      <c r="J145" s="322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-943342.48052432865</v>
      </c>
    </row>
    <row r="146" spans="1:10" hidden="1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0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1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11545.536454485147</v>
      </c>
      <c r="J146" s="322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10724.362422889644</v>
      </c>
    </row>
    <row r="147" spans="1:10" hidden="1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0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1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0</v>
      </c>
      <c r="J147" s="322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0</v>
      </c>
    </row>
    <row r="148" spans="1:10" hidden="1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0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1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0</v>
      </c>
      <c r="J148" s="322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0</v>
      </c>
    </row>
    <row r="149" spans="1:10" hidden="1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0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1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0</v>
      </c>
      <c r="J149" s="322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0</v>
      </c>
    </row>
    <row r="150" spans="1:10" hidden="1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0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1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0</v>
      </c>
      <c r="J150" s="322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0</v>
      </c>
    </row>
    <row r="151" spans="1:10" hidden="1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0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1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0</v>
      </c>
      <c r="J151" s="322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0</v>
      </c>
    </row>
    <row r="152" spans="1:10" hidden="1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0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1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0</v>
      </c>
      <c r="J152" s="322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0</v>
      </c>
    </row>
    <row r="153" spans="1:10" hidden="1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0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1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9983.113869620378</v>
      </c>
      <c r="J153" s="322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12932.656098341789</v>
      </c>
    </row>
    <row r="154" spans="1:10" hidden="1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0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1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-90345.087598601473</v>
      </c>
      <c r="J154" s="322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-114058.68173612336</v>
      </c>
    </row>
    <row r="155" spans="1:10" hidden="1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0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1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1801.9045333589536</v>
      </c>
      <c r="J155" s="322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2274.8647563705304</v>
      </c>
    </row>
    <row r="156" spans="1:10" hidden="1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0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1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0</v>
      </c>
      <c r="J156" s="322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0</v>
      </c>
    </row>
    <row r="157" spans="1:10" hidden="1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0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1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0</v>
      </c>
      <c r="J157" s="322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0</v>
      </c>
    </row>
    <row r="158" spans="1:10" hidden="1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0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1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0</v>
      </c>
      <c r="J158" s="322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0</v>
      </c>
    </row>
    <row r="159" spans="1:10" hidden="1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0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1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0</v>
      </c>
      <c r="J159" s="322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0</v>
      </c>
    </row>
    <row r="160" spans="1:10" hidden="1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0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1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0</v>
      </c>
      <c r="J160" s="322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0</v>
      </c>
    </row>
    <row r="161" spans="1:10" hidden="1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0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1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0</v>
      </c>
      <c r="J161" s="322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0</v>
      </c>
    </row>
    <row r="162" spans="1:10" hidden="1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0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1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12462.780426294514</v>
      </c>
      <c r="J162" s="322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11576.367595856127</v>
      </c>
    </row>
    <row r="163" spans="1:10" hidden="1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0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1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-10663538.117144872</v>
      </c>
      <c r="J163" s="322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-9905096.045505451</v>
      </c>
    </row>
    <row r="164" spans="1:10" hidden="1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0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1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2309.1072908970295</v>
      </c>
      <c r="J164" s="322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2144.8724845779288</v>
      </c>
    </row>
    <row r="165" spans="1:10" hidden="1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0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1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1108.6831835877028</v>
      </c>
      <c r="J165" s="322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1399.6880820444223</v>
      </c>
    </row>
    <row r="166" spans="1:10" hidden="1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0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1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-948623.41978531552</v>
      </c>
      <c r="J166" s="322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-1197616.1582292954</v>
      </c>
    </row>
    <row r="167" spans="1:10" hidden="1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0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1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360.38090667179074</v>
      </c>
      <c r="J167" s="322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454.97295127410609</v>
      </c>
    </row>
    <row r="168" spans="1:10" hidden="1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0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1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-176255.27436329544</v>
      </c>
      <c r="J168" s="322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-167995.3988189224</v>
      </c>
    </row>
    <row r="169" spans="1:10" hidden="1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0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1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580693.73004628811</v>
      </c>
      <c r="J169" s="322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539392.00159874628</v>
      </c>
    </row>
    <row r="170" spans="1:10" hidden="1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0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1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-8802.133754935785</v>
      </c>
      <c r="J170" s="322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-8176.0837060118529</v>
      </c>
    </row>
    <row r="171" spans="1:10" hidden="1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0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1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0</v>
      </c>
      <c r="J171" s="322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0</v>
      </c>
    </row>
    <row r="172" spans="1:10" hidden="1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0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1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0</v>
      </c>
      <c r="J172" s="322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0</v>
      </c>
    </row>
    <row r="173" spans="1:10" hidden="1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0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1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0</v>
      </c>
      <c r="J173" s="322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0</v>
      </c>
    </row>
    <row r="174" spans="1:10" hidden="1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0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1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0</v>
      </c>
      <c r="J174" s="322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0</v>
      </c>
    </row>
    <row r="175" spans="1:10" hidden="1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0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1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0</v>
      </c>
      <c r="J175" s="322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0</v>
      </c>
    </row>
    <row r="176" spans="1:10" hidden="1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0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1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0</v>
      </c>
      <c r="J176" s="322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0</v>
      </c>
    </row>
    <row r="177" spans="1:10" hidden="1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0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1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-15679.587702029579</v>
      </c>
      <c r="J177" s="322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-20312.170948106072</v>
      </c>
    </row>
    <row r="178" spans="1:10" hidden="1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0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1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51658.245696025282</v>
      </c>
      <c r="J178" s="322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65217.396556939319</v>
      </c>
    </row>
    <row r="179" spans="1:10" hidden="1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0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1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-1373.743418400383</v>
      </c>
      <c r="J179" s="322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-1734.3207861237265</v>
      </c>
    </row>
    <row r="180" spans="1:10" hidden="1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0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1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0</v>
      </c>
      <c r="J180" s="322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0</v>
      </c>
    </row>
    <row r="181" spans="1:10" hidden="1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0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1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0</v>
      </c>
      <c r="J181" s="322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0</v>
      </c>
    </row>
    <row r="182" spans="1:10" hidden="1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0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1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0</v>
      </c>
      <c r="J182" s="322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0</v>
      </c>
    </row>
    <row r="183" spans="1:10" hidden="1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0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1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0</v>
      </c>
      <c r="J183" s="322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0</v>
      </c>
    </row>
    <row r="184" spans="1:10" hidden="1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0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1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0</v>
      </c>
      <c r="J184" s="322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0</v>
      </c>
    </row>
    <row r="185" spans="1:10" hidden="1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0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1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0</v>
      </c>
      <c r="J185" s="322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0</v>
      </c>
    </row>
    <row r="186" spans="1:10" hidden="1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0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1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7433627.2335032215</v>
      </c>
      <c r="J186" s="322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7460080.5510446159</v>
      </c>
    </row>
    <row r="187" spans="1:10" hidden="1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0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1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-21661121.185054913</v>
      </c>
      <c r="J187" s="322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-21184868.370743386</v>
      </c>
    </row>
    <row r="188" spans="1:10" hidden="1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0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1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317746.8982701893</v>
      </c>
      <c r="J188" s="322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310760.74768051691</v>
      </c>
    </row>
    <row r="189" spans="1:10" hidden="1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0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1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0</v>
      </c>
      <c r="J189" s="322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0</v>
      </c>
    </row>
    <row r="190" spans="1:10" hidden="1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0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1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0</v>
      </c>
      <c r="J190" s="322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0</v>
      </c>
    </row>
    <row r="191" spans="1:10" hidden="1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0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1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0</v>
      </c>
      <c r="J191" s="322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0</v>
      </c>
    </row>
    <row r="192" spans="1:10" hidden="1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0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1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0</v>
      </c>
      <c r="J192" s="322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0</v>
      </c>
    </row>
    <row r="193" spans="1:10" hidden="1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0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1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0</v>
      </c>
      <c r="J193" s="322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0</v>
      </c>
    </row>
    <row r="194" spans="1:10" hidden="1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0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1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0</v>
      </c>
      <c r="J194" s="322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0</v>
      </c>
    </row>
    <row r="195" spans="1:10" hidden="1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0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1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904925.95108426514</v>
      </c>
      <c r="J195" s="322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1234304.2366273822</v>
      </c>
    </row>
    <row r="196" spans="1:10" hidden="1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0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1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-2636897.1800997485</v>
      </c>
      <c r="J196" s="322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-3505132.7667957237</v>
      </c>
    </row>
    <row r="197" spans="1:10" hidden="1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0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1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49590.556377428387</v>
      </c>
      <c r="J197" s="322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65918.9464776854</v>
      </c>
    </row>
    <row r="198" spans="1:10" hidden="1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0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1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0</v>
      </c>
      <c r="J198" s="322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0</v>
      </c>
    </row>
    <row r="199" spans="1:10" hidden="1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0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1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0</v>
      </c>
      <c r="J199" s="322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0</v>
      </c>
    </row>
    <row r="200" spans="1:10" hidden="1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0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1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0</v>
      </c>
      <c r="J200" s="322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0</v>
      </c>
    </row>
    <row r="201" spans="1:10" hidden="1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0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1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0</v>
      </c>
      <c r="J201" s="322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0</v>
      </c>
    </row>
    <row r="202" spans="1:10" hidden="1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0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1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0</v>
      </c>
      <c r="J202" s="322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0</v>
      </c>
    </row>
    <row r="203" spans="1:10" hidden="1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0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1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0</v>
      </c>
      <c r="J203" s="322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0</v>
      </c>
    </row>
    <row r="204" spans="1:10" hidden="1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0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1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169342.62699097471</v>
      </c>
      <c r="J204" s="322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161406.69980606929</v>
      </c>
    </row>
    <row r="205" spans="1:10" hidden="1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0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1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49888.709015608292</v>
      </c>
      <c r="J205" s="322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47639.647415040577</v>
      </c>
    </row>
    <row r="206" spans="1:10" hidden="1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0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1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2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hidden="1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0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1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93049.980948053737</v>
      </c>
      <c r="J207" s="322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86431.819176513483</v>
      </c>
    </row>
    <row r="208" spans="1:10" hidden="1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0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1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0</v>
      </c>
      <c r="J208" s="322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0</v>
      </c>
    </row>
    <row r="209" spans="1:10" hidden="1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0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1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0</v>
      </c>
      <c r="J209" s="322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0</v>
      </c>
    </row>
    <row r="210" spans="1:10" hidden="1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0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1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2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hidden="1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0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1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0</v>
      </c>
      <c r="J211" s="322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0</v>
      </c>
    </row>
    <row r="212" spans="1:10" hidden="1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0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1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0</v>
      </c>
      <c r="J212" s="322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0</v>
      </c>
    </row>
    <row r="213" spans="1:10" hidden="1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0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1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0</v>
      </c>
      <c r="J213" s="322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0</v>
      </c>
    </row>
    <row r="214" spans="1:10" hidden="1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0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1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2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hidden="1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0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1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0</v>
      </c>
      <c r="J215" s="322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0</v>
      </c>
    </row>
    <row r="216" spans="1:10" hidden="1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0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1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15064.641788387869</v>
      </c>
      <c r="J216" s="322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19515.537340188377</v>
      </c>
    </row>
    <row r="217" spans="1:10" hidden="1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0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1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4438.0764841052705</v>
      </c>
      <c r="J217" s="322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5760.06646018218</v>
      </c>
    </row>
    <row r="218" spans="1:10" hidden="1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0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1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2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hidden="1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0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1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14522.251361834979</v>
      </c>
      <c r="J219" s="322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18334.02224956347</v>
      </c>
    </row>
    <row r="220" spans="1:10" hidden="1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0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1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0</v>
      </c>
      <c r="J220" s="322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0</v>
      </c>
    </row>
    <row r="221" spans="1:10" hidden="1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0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1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0</v>
      </c>
      <c r="J221" s="322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0</v>
      </c>
    </row>
    <row r="222" spans="1:10" hidden="1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0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1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2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hidden="1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0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1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0</v>
      </c>
      <c r="J223" s="322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0</v>
      </c>
    </row>
    <row r="224" spans="1:10" hidden="1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0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1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0</v>
      </c>
      <c r="J224" s="322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0</v>
      </c>
    </row>
    <row r="225" spans="1:10" hidden="1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0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1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0</v>
      </c>
      <c r="J225" s="322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0</v>
      </c>
    </row>
    <row r="226" spans="1:10" hidden="1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0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1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2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hidden="1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0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1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0</v>
      </c>
      <c r="J227" s="322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0</v>
      </c>
    </row>
    <row r="228" spans="1:10" hidden="1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0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1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257216.924285613</v>
      </c>
      <c r="J228" s="322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245162.9316310361</v>
      </c>
    </row>
    <row r="229" spans="1:10" hidden="1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0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1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-398653.15919541876</v>
      </c>
      <c r="J229" s="322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-370299.0308935144</v>
      </c>
    </row>
    <row r="230" spans="1:10" hidden="1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0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1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6714.188464021543</v>
      </c>
      <c r="J230" s="322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6236.6431172437651</v>
      </c>
    </row>
    <row r="231" spans="1:10" hidden="1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0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1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0</v>
      </c>
      <c r="J231" s="322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0</v>
      </c>
    </row>
    <row r="232" spans="1:10" hidden="1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0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1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0</v>
      </c>
      <c r="J232" s="322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0</v>
      </c>
    </row>
    <row r="233" spans="1:10" hidden="1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0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1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0</v>
      </c>
      <c r="J233" s="322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0</v>
      </c>
    </row>
    <row r="234" spans="1:10" hidden="1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0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1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0</v>
      </c>
      <c r="J234" s="322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0</v>
      </c>
    </row>
    <row r="235" spans="1:10" hidden="1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0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1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0</v>
      </c>
      <c r="J235" s="322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0</v>
      </c>
    </row>
    <row r="236" spans="1:10" hidden="1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0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1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0</v>
      </c>
      <c r="J236" s="322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0</v>
      </c>
    </row>
    <row r="237" spans="1:10" hidden="1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0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1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22881.898640205691</v>
      </c>
      <c r="J237" s="322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29642.427188116184</v>
      </c>
    </row>
    <row r="238" spans="1:10" hidden="1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0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1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-35464.000693742746</v>
      </c>
      <c r="J238" s="322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-44772.519189852188</v>
      </c>
    </row>
    <row r="239" spans="1:10" hidden="1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0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1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1047.8791244426686</v>
      </c>
      <c r="J239" s="322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1322.9242975971622</v>
      </c>
    </row>
    <row r="240" spans="1:10" hidden="1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0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1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0</v>
      </c>
      <c r="J240" s="322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0</v>
      </c>
    </row>
    <row r="241" spans="1:10" hidden="1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0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1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0</v>
      </c>
      <c r="J241" s="322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0</v>
      </c>
    </row>
    <row r="242" spans="1:10" hidden="1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0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1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0</v>
      </c>
      <c r="J242" s="322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0</v>
      </c>
    </row>
    <row r="243" spans="1:10" hidden="1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0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1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0</v>
      </c>
      <c r="J243" s="322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0</v>
      </c>
    </row>
    <row r="244" spans="1:10" hidden="1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0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1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0</v>
      </c>
      <c r="J244" s="322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0</v>
      </c>
    </row>
    <row r="245" spans="1:10" hidden="1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0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1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0</v>
      </c>
      <c r="J245" s="322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0</v>
      </c>
    </row>
    <row r="246" spans="1:10" hidden="1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0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1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16911.80489940973</v>
      </c>
      <c r="J246" s="322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16119.264623923184</v>
      </c>
    </row>
    <row r="247" spans="1:10" hidden="1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0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1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-260145.02200980103</v>
      </c>
      <c r="J247" s="322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-241642.25798792648</v>
      </c>
    </row>
    <row r="248" spans="1:10" hidden="1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0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1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3652.6114606717647</v>
      </c>
      <c r="J248" s="322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3392.8201819523974</v>
      </c>
    </row>
    <row r="249" spans="1:10" hidden="1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0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1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0</v>
      </c>
      <c r="J249" s="322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0</v>
      </c>
    </row>
    <row r="250" spans="1:10" hidden="1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0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1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0</v>
      </c>
      <c r="J250" s="322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0</v>
      </c>
    </row>
    <row r="251" spans="1:10" hidden="1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0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1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0</v>
      </c>
      <c r="J251" s="322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0</v>
      </c>
    </row>
    <row r="252" spans="1:10" hidden="1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0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1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0</v>
      </c>
      <c r="J252" s="322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0</v>
      </c>
    </row>
    <row r="253" spans="1:10" hidden="1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0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1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0</v>
      </c>
      <c r="J253" s="322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0</v>
      </c>
    </row>
    <row r="254" spans="1:10" hidden="1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0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1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0</v>
      </c>
      <c r="J254" s="322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0</v>
      </c>
    </row>
    <row r="255" spans="1:10" hidden="1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0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1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1504.4663433636747</v>
      </c>
      <c r="J255" s="322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1948.9656318016214</v>
      </c>
    </row>
    <row r="256" spans="1:10" hidden="1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0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1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-23142.380859715824</v>
      </c>
      <c r="J256" s="322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-29216.745738540205</v>
      </c>
    </row>
    <row r="257" spans="1:10" hidden="1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0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1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570.06074819732748</v>
      </c>
      <c r="J257" s="322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719.6891295050541</v>
      </c>
    </row>
    <row r="258" spans="1:10" hidden="1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0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1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0</v>
      </c>
      <c r="J258" s="322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0</v>
      </c>
    </row>
    <row r="259" spans="1:10" hidden="1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0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1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0</v>
      </c>
      <c r="J259" s="322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0</v>
      </c>
    </row>
    <row r="260" spans="1:10" hidden="1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0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1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0</v>
      </c>
      <c r="J260" s="322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0</v>
      </c>
    </row>
    <row r="261" spans="1:10" hidden="1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0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1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0</v>
      </c>
      <c r="J261" s="322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0</v>
      </c>
    </row>
    <row r="262" spans="1:10" hidden="1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0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1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0</v>
      </c>
      <c r="J262" s="322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0</v>
      </c>
    </row>
    <row r="263" spans="1:10" hidden="1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0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1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0</v>
      </c>
      <c r="J263" s="322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0</v>
      </c>
    </row>
    <row r="264" spans="1:10" hidden="1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0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1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323128.54413707386</v>
      </c>
      <c r="J264" s="322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307985.72603390965</v>
      </c>
    </row>
    <row r="265" spans="1:10" hidden="1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0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1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-1437363.2395483747</v>
      </c>
      <c r="J265" s="322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-1335131.0590914343</v>
      </c>
    </row>
    <row r="266" spans="1:10" hidden="1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0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1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23001.464176833742</v>
      </c>
      <c r="J266" s="322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21365.489517262817</v>
      </c>
    </row>
    <row r="267" spans="1:10" hidden="1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0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1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0</v>
      </c>
      <c r="J267" s="322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0</v>
      </c>
    </row>
    <row r="268" spans="1:10" hidden="1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0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1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0</v>
      </c>
      <c r="J268" s="322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0</v>
      </c>
    </row>
    <row r="269" spans="1:10" hidden="1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0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1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0</v>
      </c>
      <c r="J269" s="322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0</v>
      </c>
    </row>
    <row r="270" spans="1:10" hidden="1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0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1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0</v>
      </c>
      <c r="J270" s="322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0</v>
      </c>
    </row>
    <row r="271" spans="1:10" hidden="1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0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1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0</v>
      </c>
      <c r="J271" s="322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0</v>
      </c>
    </row>
    <row r="272" spans="1:10" hidden="1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0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1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0</v>
      </c>
      <c r="J272" s="322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0</v>
      </c>
    </row>
    <row r="273" spans="1:10" hidden="1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0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1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28745.365862829869</v>
      </c>
      <c r="J273" s="322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37238.274147736345</v>
      </c>
    </row>
    <row r="274" spans="1:10" hidden="1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0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1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-127867.16911358085</v>
      </c>
      <c r="J274" s="322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-161429.48259923703</v>
      </c>
    </row>
    <row r="275" spans="1:10" hidden="1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0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1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3589.8238888700062</v>
      </c>
      <c r="J275" s="322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4532.07353396484</v>
      </c>
    </row>
    <row r="276" spans="1:10" hidden="1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0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1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0</v>
      </c>
      <c r="J276" s="322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0</v>
      </c>
    </row>
    <row r="277" spans="1:10" hidden="1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0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1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0</v>
      </c>
      <c r="J277" s="322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0</v>
      </c>
    </row>
    <row r="278" spans="1:10" hidden="1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0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1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0</v>
      </c>
      <c r="J278" s="322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0</v>
      </c>
    </row>
    <row r="279" spans="1:10" hidden="1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0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1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0</v>
      </c>
      <c r="J279" s="322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0</v>
      </c>
    </row>
    <row r="280" spans="1:10" hidden="1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0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1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0</v>
      </c>
      <c r="J280" s="322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0</v>
      </c>
    </row>
    <row r="281" spans="1:10" hidden="1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0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1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0</v>
      </c>
      <c r="J281" s="322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0</v>
      </c>
    </row>
    <row r="282" spans="1:10" hidden="1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0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1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4825096.3239537952</v>
      </c>
      <c r="J282" s="322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4857605.4939975683</v>
      </c>
    </row>
    <row r="283" spans="1:10" hidden="1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0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1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-16179816.455647377</v>
      </c>
      <c r="J283" s="322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-15874203.530148704</v>
      </c>
    </row>
    <row r="284" spans="1:10" hidden="1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0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1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229924.73463846257</v>
      </c>
      <c r="J284" s="322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225581.79471760575</v>
      </c>
    </row>
    <row r="285" spans="1:10" hidden="1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0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1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0</v>
      </c>
      <c r="J285" s="322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0</v>
      </c>
    </row>
    <row r="286" spans="1:10" hidden="1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0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1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0</v>
      </c>
      <c r="J286" s="322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0</v>
      </c>
    </row>
    <row r="287" spans="1:10" hidden="1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0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1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0</v>
      </c>
      <c r="J287" s="322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0</v>
      </c>
    </row>
    <row r="288" spans="1:10" hidden="1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0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1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0</v>
      </c>
      <c r="J288" s="322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0</v>
      </c>
    </row>
    <row r="289" spans="1:10" hidden="1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0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1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0</v>
      </c>
      <c r="J289" s="322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0</v>
      </c>
    </row>
    <row r="290" spans="1:10" hidden="1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0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1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0</v>
      </c>
      <c r="J290" s="322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0</v>
      </c>
    </row>
    <row r="291" spans="1:10" hidden="1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0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1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625031.26369829208</v>
      </c>
      <c r="J291" s="322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855232.96727654128</v>
      </c>
    </row>
    <row r="292" spans="1:10" hidden="1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0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1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-2095894.1431853045</v>
      </c>
      <c r="J292" s="322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-2794821.8942473922</v>
      </c>
    </row>
    <row r="293" spans="1:10" hidden="1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0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1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35884.207140106875</v>
      </c>
      <c r="J293" s="322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47850.683727976975</v>
      </c>
    </row>
    <row r="294" spans="1:10" hidden="1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0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1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0</v>
      </c>
      <c r="J294" s="322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0</v>
      </c>
    </row>
    <row r="295" spans="1:10" hidden="1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0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1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0</v>
      </c>
      <c r="J295" s="322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0</v>
      </c>
    </row>
    <row r="296" spans="1:10" hidden="1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0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1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0</v>
      </c>
      <c r="J296" s="322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0</v>
      </c>
    </row>
    <row r="297" spans="1:10" hidden="1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0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1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0</v>
      </c>
      <c r="J297" s="322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0</v>
      </c>
    </row>
    <row r="298" spans="1:10" hidden="1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0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1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0</v>
      </c>
      <c r="J298" s="322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0</v>
      </c>
    </row>
    <row r="299" spans="1:10" hidden="1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0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1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0</v>
      </c>
      <c r="J299" s="322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0</v>
      </c>
    </row>
    <row r="300" spans="1:10" hidden="1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0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1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324612.31345960969</v>
      </c>
      <c r="J300" s="322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309399.96126740909</v>
      </c>
    </row>
    <row r="301" spans="1:10" hidden="1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0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1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172047.55423353208</v>
      </c>
      <c r="J301" s="322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164291.3794329942</v>
      </c>
    </row>
    <row r="302" spans="1:10" hidden="1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0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1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-12043579.302796746</v>
      </c>
      <c r="J302" s="322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-11186982.070619129</v>
      </c>
    </row>
    <row r="303" spans="1:10" hidden="1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0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1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156476.67671504818</v>
      </c>
      <c r="J303" s="322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145347.30356072885</v>
      </c>
    </row>
    <row r="304" spans="1:10" hidden="1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0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1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0</v>
      </c>
      <c r="J304" s="322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0</v>
      </c>
    </row>
    <row r="305" spans="1:10" hidden="1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0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1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0</v>
      </c>
      <c r="J305" s="322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0</v>
      </c>
    </row>
    <row r="306" spans="1:10" hidden="1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0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1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0</v>
      </c>
      <c r="J306" s="322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0</v>
      </c>
    </row>
    <row r="307" spans="1:10" hidden="1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0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1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0</v>
      </c>
      <c r="J307" s="322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0</v>
      </c>
    </row>
    <row r="308" spans="1:10" hidden="1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0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1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0</v>
      </c>
      <c r="J308" s="322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0</v>
      </c>
    </row>
    <row r="309" spans="1:10" hidden="1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0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1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0</v>
      </c>
      <c r="J309" s="322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0</v>
      </c>
    </row>
    <row r="310" spans="1:10" hidden="1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0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1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0</v>
      </c>
      <c r="J310" s="322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0</v>
      </c>
    </row>
    <row r="311" spans="1:10" hidden="1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0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1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0</v>
      </c>
      <c r="J311" s="322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0</v>
      </c>
    </row>
    <row r="312" spans="1:10" hidden="1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0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1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27864.120548411585</v>
      </c>
      <c r="J312" s="322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36096.662147864401</v>
      </c>
    </row>
    <row r="313" spans="1:10" hidden="1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0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1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14768.24381715579</v>
      </c>
      <c r="J313" s="322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19167.32760051599</v>
      </c>
    </row>
    <row r="314" spans="1:10" hidden="1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0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1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-1033798.5702111658</v>
      </c>
      <c r="J314" s="322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-1305147.9082388985</v>
      </c>
    </row>
    <row r="315" spans="1:10" hidden="1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0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1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24421.215441076882</v>
      </c>
      <c r="J315" s="322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30831.246209851575</v>
      </c>
    </row>
    <row r="316" spans="1:10" hidden="1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0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1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0</v>
      </c>
      <c r="J316" s="322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0</v>
      </c>
    </row>
    <row r="317" spans="1:10" hidden="1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0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1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0</v>
      </c>
      <c r="J317" s="322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0</v>
      </c>
    </row>
    <row r="318" spans="1:10" hidden="1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0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1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0</v>
      </c>
      <c r="J318" s="322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0</v>
      </c>
    </row>
    <row r="319" spans="1:10" hidden="1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0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1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0</v>
      </c>
      <c r="J319" s="322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0</v>
      </c>
    </row>
    <row r="320" spans="1:10" hidden="1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0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1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0</v>
      </c>
      <c r="J320" s="322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0</v>
      </c>
    </row>
    <row r="321" spans="1:10" hidden="1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0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1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0</v>
      </c>
      <c r="J321" s="322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0</v>
      </c>
    </row>
    <row r="322" spans="1:10" hidden="1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0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1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0</v>
      </c>
      <c r="J322" s="322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0</v>
      </c>
    </row>
    <row r="323" spans="1:10" hidden="1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0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1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0</v>
      </c>
      <c r="J323" s="322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0</v>
      </c>
    </row>
    <row r="324" spans="1:10" hidden="1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0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1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529525.04300446378</v>
      </c>
      <c r="J324" s="322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504709.83694242901</v>
      </c>
    </row>
    <row r="325" spans="1:10" hidden="1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0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1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87295.105720782798</v>
      </c>
      <c r="J325" s="322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83359.70482410524</v>
      </c>
    </row>
    <row r="326" spans="1:10" hidden="1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0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1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-5185437.1369069461</v>
      </c>
      <c r="J326" s="322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-4816623.9305145545</v>
      </c>
    </row>
    <row r="327" spans="1:10" hidden="1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0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1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78600.661407568376</v>
      </c>
      <c r="J327" s="322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73010.204674044158</v>
      </c>
    </row>
    <row r="328" spans="1:10" hidden="1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0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1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0</v>
      </c>
      <c r="J328" s="322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0</v>
      </c>
    </row>
    <row r="329" spans="1:10" hidden="1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0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1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0</v>
      </c>
      <c r="J329" s="322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0</v>
      </c>
    </row>
    <row r="330" spans="1:10" hidden="1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0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1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0</v>
      </c>
      <c r="J330" s="322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0</v>
      </c>
    </row>
    <row r="331" spans="1:10" hidden="1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0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1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0</v>
      </c>
      <c r="J331" s="322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0</v>
      </c>
    </row>
    <row r="332" spans="1:10" hidden="1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0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1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0</v>
      </c>
      <c r="J332" s="322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0</v>
      </c>
    </row>
    <row r="333" spans="1:10" hidden="1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0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1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0</v>
      </c>
      <c r="J333" s="322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0</v>
      </c>
    </row>
    <row r="334" spans="1:10" hidden="1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0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1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0</v>
      </c>
      <c r="J334" s="322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0</v>
      </c>
    </row>
    <row r="335" spans="1:10" hidden="1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0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1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0</v>
      </c>
      <c r="J335" s="322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0</v>
      </c>
    </row>
    <row r="336" spans="1:10" hidden="1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0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1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47106.302958605185</v>
      </c>
      <c r="J336" s="322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61024.007557584591</v>
      </c>
    </row>
    <row r="337" spans="1:10" hidden="1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0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1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7765.7322372418903</v>
      </c>
      <c r="J337" s="322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10078.946128732721</v>
      </c>
    </row>
    <row r="338" spans="1:10" hidden="1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0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1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-461294.08980923635</v>
      </c>
      <c r="J338" s="322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-582373.62068948697</v>
      </c>
    </row>
    <row r="339" spans="1:10" hidden="1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0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1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12267.155248580035</v>
      </c>
      <c r="J339" s="322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15487.013112676033</v>
      </c>
    </row>
    <row r="340" spans="1:10" hidden="1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0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1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0</v>
      </c>
      <c r="J340" s="322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0</v>
      </c>
    </row>
    <row r="341" spans="1:10" hidden="1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0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1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0</v>
      </c>
      <c r="J341" s="322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0</v>
      </c>
    </row>
    <row r="342" spans="1:10" hidden="1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0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1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0</v>
      </c>
      <c r="J342" s="322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0</v>
      </c>
    </row>
    <row r="343" spans="1:10" hidden="1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0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1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0</v>
      </c>
      <c r="J343" s="322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0</v>
      </c>
    </row>
    <row r="344" spans="1:10" hidden="1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0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1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0</v>
      </c>
      <c r="J344" s="322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0</v>
      </c>
    </row>
    <row r="345" spans="1:10" hidden="1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0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1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0</v>
      </c>
      <c r="J345" s="322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0</v>
      </c>
    </row>
    <row r="346" spans="1:10" hidden="1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0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1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0</v>
      </c>
      <c r="J346" s="322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0</v>
      </c>
    </row>
    <row r="347" spans="1:10" hidden="1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0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1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0</v>
      </c>
      <c r="J347" s="322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0</v>
      </c>
    </row>
    <row r="348" spans="1:10" hidden="1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0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1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499540.06062080408</v>
      </c>
      <c r="J348" s="322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476130.04497695074</v>
      </c>
    </row>
    <row r="349" spans="1:10" hidden="1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0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1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-1025175.4975426949</v>
      </c>
      <c r="J349" s="322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-952260.08995390136</v>
      </c>
    </row>
    <row r="350" spans="1:10" hidden="1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0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1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18319.833647307089</v>
      </c>
      <c r="J350" s="322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17016.83904730529</v>
      </c>
    </row>
    <row r="351" spans="1:10" hidden="1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0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1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0</v>
      </c>
      <c r="J351" s="322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0</v>
      </c>
    </row>
    <row r="352" spans="1:10" hidden="1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0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1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0</v>
      </c>
      <c r="J352" s="322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0</v>
      </c>
    </row>
    <row r="353" spans="1:10" hidden="1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0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1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0</v>
      </c>
      <c r="J353" s="322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0</v>
      </c>
    </row>
    <row r="354" spans="1:10" hidden="1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0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1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0</v>
      </c>
      <c r="J354" s="322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0</v>
      </c>
    </row>
    <row r="355" spans="1:10" hidden="1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0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1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0</v>
      </c>
      <c r="J355" s="322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0</v>
      </c>
    </row>
    <row r="356" spans="1:10" hidden="1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0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1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0</v>
      </c>
      <c r="J356" s="322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0</v>
      </c>
    </row>
    <row r="357" spans="1:10" hidden="1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0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1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44438.852791642625</v>
      </c>
      <c r="J357" s="322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57568.450892667672</v>
      </c>
    </row>
    <row r="358" spans="1:10" hidden="1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0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1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-91199.138191803897</v>
      </c>
      <c r="J358" s="322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-115136.90178533533</v>
      </c>
    </row>
    <row r="359" spans="1:10" hidden="1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0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1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2859.164788886078</v>
      </c>
      <c r="J359" s="322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3609.6325251859703</v>
      </c>
    </row>
    <row r="360" spans="1:10" hidden="1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0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1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0</v>
      </c>
      <c r="J360" s="322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0</v>
      </c>
    </row>
    <row r="361" spans="1:10" hidden="1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0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1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0</v>
      </c>
      <c r="J361" s="322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0</v>
      </c>
    </row>
    <row r="362" spans="1:10" hidden="1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0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1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0</v>
      </c>
      <c r="J362" s="322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0</v>
      </c>
    </row>
    <row r="363" spans="1:10" hidden="1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0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1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0</v>
      </c>
      <c r="J363" s="322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0</v>
      </c>
    </row>
    <row r="364" spans="1:10" hidden="1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0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1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0</v>
      </c>
      <c r="J364" s="322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0</v>
      </c>
    </row>
    <row r="365" spans="1:10" hidden="1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0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1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0</v>
      </c>
      <c r="J365" s="322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0</v>
      </c>
    </row>
    <row r="366" spans="1:10" hidden="1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0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1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89632.615597901269</v>
      </c>
      <c r="J366" s="322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85432.149811956682</v>
      </c>
    </row>
    <row r="367" spans="1:10" hidden="1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0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1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-411373.57158738264</v>
      </c>
      <c r="J367" s="322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-382114.7064316608</v>
      </c>
    </row>
    <row r="368" spans="1:10" hidden="1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0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1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6738.6226050141249</v>
      </c>
      <c r="J368" s="322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6259.3393847172993</v>
      </c>
    </row>
    <row r="369" spans="1:10" hidden="1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0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1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0</v>
      </c>
      <c r="J369" s="322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0</v>
      </c>
    </row>
    <row r="370" spans="1:10" hidden="1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0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1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0</v>
      </c>
      <c r="J370" s="322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0</v>
      </c>
    </row>
    <row r="371" spans="1:10" hidden="1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0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1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0</v>
      </c>
      <c r="J371" s="322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0</v>
      </c>
    </row>
    <row r="372" spans="1:10" hidden="1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0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1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0</v>
      </c>
      <c r="J372" s="322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0</v>
      </c>
    </row>
    <row r="373" spans="1:10" hidden="1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0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1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0</v>
      </c>
      <c r="J373" s="322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0</v>
      </c>
    </row>
    <row r="374" spans="1:10" hidden="1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0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1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0</v>
      </c>
      <c r="J374" s="322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0</v>
      </c>
    </row>
    <row r="375" spans="1:10" hidden="1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0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1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7973.6760349809283</v>
      </c>
      <c r="J375" s="322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10329.523568172945</v>
      </c>
    </row>
    <row r="376" spans="1:10" hidden="1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0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1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-36595.602697860231</v>
      </c>
      <c r="J376" s="322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-46201.141777646255</v>
      </c>
    </row>
    <row r="377" spans="1:10" hidden="1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0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1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1051.6925452912221</v>
      </c>
      <c r="J377" s="322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1327.7386573642757</v>
      </c>
    </row>
    <row r="378" spans="1:10" hidden="1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0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1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0</v>
      </c>
      <c r="J378" s="322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0</v>
      </c>
    </row>
    <row r="379" spans="1:10" hidden="1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0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1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0</v>
      </c>
      <c r="J379" s="322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0</v>
      </c>
    </row>
    <row r="380" spans="1:10" hidden="1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0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1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0</v>
      </c>
      <c r="J380" s="322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0</v>
      </c>
    </row>
    <row r="381" spans="1:10" hidden="1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0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1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0</v>
      </c>
      <c r="J381" s="322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0</v>
      </c>
    </row>
    <row r="382" spans="1:10" hidden="1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0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1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0</v>
      </c>
      <c r="J382" s="322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0</v>
      </c>
    </row>
    <row r="383" spans="1:10" hidden="1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0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1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0</v>
      </c>
      <c r="J383" s="322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0</v>
      </c>
    </row>
    <row r="384" spans="1:10" hidden="1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0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1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1473706.0908482545</v>
      </c>
      <c r="J384" s="322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1164260.4434255478</v>
      </c>
    </row>
    <row r="385" spans="1:10" hidden="1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0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1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-4984502.6505263327</v>
      </c>
      <c r="J385" s="322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-3837630.8373180423</v>
      </c>
    </row>
    <row r="386" spans="1:10" hidden="1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0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1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195960.17569711921</v>
      </c>
      <c r="J386" s="322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150872.18642809175</v>
      </c>
    </row>
    <row r="387" spans="1:10" hidden="1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0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1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0</v>
      </c>
      <c r="J387" s="322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0</v>
      </c>
    </row>
    <row r="388" spans="1:10" hidden="1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0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1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0</v>
      </c>
      <c r="J388" s="322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0</v>
      </c>
    </row>
    <row r="389" spans="1:10" hidden="1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0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1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0</v>
      </c>
      <c r="J389" s="322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0</v>
      </c>
    </row>
    <row r="390" spans="1:10" hidden="1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0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1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0</v>
      </c>
      <c r="J390" s="322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0</v>
      </c>
    </row>
    <row r="391" spans="1:10" hidden="1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0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1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0</v>
      </c>
      <c r="J391" s="322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0</v>
      </c>
    </row>
    <row r="392" spans="1:10" hidden="1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0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1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0</v>
      </c>
      <c r="J392" s="322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0</v>
      </c>
    </row>
    <row r="393" spans="1:10" hidden="1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0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1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230000.37256013221</v>
      </c>
      <c r="J393" s="322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246964.33648420713</v>
      </c>
    </row>
    <row r="394" spans="1:10" hidden="1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0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1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-777928.15933069936</v>
      </c>
      <c r="J394" s="322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-814042.90488564537</v>
      </c>
    </row>
    <row r="395" spans="1:10" hidden="1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0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1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30583.380022093752</v>
      </c>
      <c r="J395" s="322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32003.191060504312</v>
      </c>
    </row>
    <row r="396" spans="1:10" hidden="1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0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1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0</v>
      </c>
      <c r="J396" s="322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0</v>
      </c>
    </row>
    <row r="397" spans="1:10" hidden="1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0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1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0</v>
      </c>
      <c r="J397" s="322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0</v>
      </c>
    </row>
    <row r="398" spans="1:10" hidden="1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0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1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0</v>
      </c>
      <c r="J398" s="322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0</v>
      </c>
    </row>
    <row r="399" spans="1:10" hidden="1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0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1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0</v>
      </c>
      <c r="J399" s="322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0</v>
      </c>
    </row>
    <row r="400" spans="1:10" hidden="1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0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1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0</v>
      </c>
      <c r="J400" s="322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0</v>
      </c>
    </row>
    <row r="401" spans="1:10" hidden="1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0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1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0</v>
      </c>
      <c r="J401" s="322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0</v>
      </c>
    </row>
    <row r="402" spans="1:10" hidden="1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0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1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22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594445.36947787507</v>
      </c>
    </row>
    <row r="403" spans="1:10" hidden="1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0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1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22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643982.48360103136</v>
      </c>
    </row>
    <row r="404" spans="1:10" hidden="1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0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1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22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hidden="1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0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1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22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3" customFormat="1" hidden="1" x14ac:dyDescent="0.25">
      <c r="A406" s="173" t="str">
        <f>IF('[1]Processer - data'!A406&lt;&gt;"",'[1]Processer - data'!A406,"")</f>
        <v>Mejeri</v>
      </c>
      <c r="B406" s="173" t="str">
        <f>IF('[1]Processer - data'!B406&lt;&gt;"",'[1]Processer - data'!B406,"")</f>
        <v/>
      </c>
      <c r="C406" s="173" t="str">
        <f>IF('[1]Processer - data'!C406&lt;&gt;"",'[1]Processer - data'!C406,"")</f>
        <v/>
      </c>
      <c r="D406" s="173" t="str">
        <f>IF('[1]Processer - data'!D406&lt;&gt;"",'[1]Processer - data'!D406,"")</f>
        <v>Råmælk</v>
      </c>
      <c r="E406" s="173" t="str">
        <f>IF('[1]Processer - data'!E406&lt;&gt;"",'[1]Processer - data'!E406,"")</f>
        <v>Ton</v>
      </c>
      <c r="F406" s="173" t="str">
        <f>IF('[1]Processer - data'!F406&lt;&gt;"",'[1]Processer - data'!F406,"")</f>
        <v>Industriaffald</v>
      </c>
      <c r="G406" s="173" t="str">
        <f>IF('[1]Processer - data'!G406&lt;&gt;"",'[1]Processer - data'!G406,"")</f>
        <v>Ton</v>
      </c>
      <c r="H406" s="320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1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22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hidden="1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0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1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22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hidden="1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0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1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22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hidden="1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0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1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22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hidden="1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0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1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22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hidden="1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0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1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22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hidden="1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0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1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22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hidden="1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0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1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22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hidden="1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0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1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22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hidden="1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0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1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22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hidden="1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0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1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22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0" ht="15.75" hidden="1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26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27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28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0" hidden="1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5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96">
        <f>SUMIFS('Forbrug af biomasse'!$E$1:$E$425,'Forbrug af biomasse'!$A$1:$A$425,$F418,'Forbrug af biomasse'!$C$1:$C$425,$D418,'Forbrug af biomasse'!$B$1:$B$425,$A$1,'Forbrug af biomasse'!$D$1:$D$425,I$2)*'[1]Processer - data'!I418</f>
        <v>5476581677.2174196</v>
      </c>
      <c r="J418" s="297">
        <f>SUMIFS('Forbrug af biomasse'!$E$1:$E$425,'Forbrug af biomasse'!$A$1:$A$425,$F418,'Forbrug af biomasse'!$C$1:$C$425,$D418,'Forbrug af biomasse'!$B$1:$B$425,$A$1,'Forbrug af biomasse'!$D$1:$D$425,J$2)*'[1]Processer - data'!J418</f>
        <v>5476581677.2174196</v>
      </c>
    </row>
    <row r="419" spans="1:10" hidden="1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98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99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300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</row>
    <row r="420" spans="1:10" hidden="1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98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99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0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hidden="1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98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99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300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</row>
    <row r="422" spans="1:10" hidden="1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98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99">
        <f>SUMIFS('Forbrug af biomasse'!$E$1:$E$425,'Forbrug af biomasse'!$A$1:$A$425,$F422,'Forbrug af biomasse'!$C$1:$C$425,$D422,'Forbrug af biomasse'!$B$1:$B$425,$A$1,'Forbrug af biomasse'!$D$1:$D$425,I$2)*'[1]Processer - data'!I422</f>
        <v>132284581.57529999</v>
      </c>
      <c r="J422" s="300">
        <f>SUMIFS('Forbrug af biomasse'!$E$1:$E$425,'Forbrug af biomasse'!$A$1:$A$425,$F422,'Forbrug af biomasse'!$C$1:$C$425,$D422,'Forbrug af biomasse'!$B$1:$B$425,$A$1,'Forbrug af biomasse'!$D$1:$D$425,J$2)*'[1]Processer - data'!J422</f>
        <v>132284581.57529999</v>
      </c>
    </row>
    <row r="423" spans="1:10" hidden="1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98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99">
        <f>SUMIFS('Forbrug af biomasse'!$E$1:$E$425,'Forbrug af biomasse'!$A$1:$A$425,$F423,'Forbrug af biomasse'!$C$1:$C$425,$D423,'Forbrug af biomasse'!$B$1:$B$425,$A$1,'Forbrug af biomasse'!$D$1:$D$425,I$2)*'[1]Processer - data'!I423</f>
        <v>1499371334.9561889</v>
      </c>
      <c r="J423" s="300">
        <f>SUMIFS('Forbrug af biomasse'!$E$1:$E$425,'Forbrug af biomasse'!$A$1:$A$425,$F423,'Forbrug af biomasse'!$C$1:$C$425,$D423,'Forbrug af biomasse'!$B$1:$B$425,$A$1,'Forbrug af biomasse'!$D$1:$D$425,J$2)*'[1]Processer - data'!J423</f>
        <v>1499371334.9561889</v>
      </c>
    </row>
    <row r="424" spans="1:10" hidden="1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98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99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300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</row>
    <row r="425" spans="1:10" hidden="1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98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99">
        <f>SUMIFS('Forbrug af biomasse'!$E$1:$E$425,'Forbrug af biomasse'!$A$1:$A$425,$F425,'Forbrug af biomasse'!$C$1:$C$425,$D425,'Forbrug af biomasse'!$B$1:$B$425,$A$1,'Forbrug af biomasse'!$D$1:$D$425,I$2)*'[1]Processer - data'!I425</f>
        <v>13228458.157529999</v>
      </c>
      <c r="J425" s="300">
        <f>SUMIFS('Forbrug af biomasse'!$E$1:$E$425,'Forbrug af biomasse'!$A$1:$A$425,$F425,'Forbrug af biomasse'!$C$1:$C$425,$D425,'Forbrug af biomasse'!$B$1:$B$425,$A$1,'Forbrug af biomasse'!$D$1:$D$425,J$2)*'[1]Processer - data'!J425</f>
        <v>13228458.157529999</v>
      </c>
    </row>
    <row r="426" spans="1:10" hidden="1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98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99">
        <f>SUMIFS('Forbrug af biomasse'!$E$1:$E$425,'Forbrug af biomasse'!$A$1:$A$425,$F426,'Forbrug af biomasse'!$C$1:$C$425,$D426,'Forbrug af biomasse'!$B$1:$B$425,$A$1,'Forbrug af biomasse'!$D$1:$D$425,I$2)*'[1]Processer - data'!I426</f>
        <v>66142290.787649989</v>
      </c>
      <c r="J426" s="300">
        <f>SUMIFS('Forbrug af biomasse'!$E$1:$E$425,'Forbrug af biomasse'!$A$1:$A$425,$F426,'Forbrug af biomasse'!$C$1:$C$425,$D426,'Forbrug af biomasse'!$B$1:$B$425,$A$1,'Forbrug af biomasse'!$D$1:$D$425,J$2)*'[1]Processer - data'!J426</f>
        <v>66142290.787649989</v>
      </c>
    </row>
    <row r="427" spans="1:10" hidden="1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98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99">
        <f>SUMIFS('Forbrug af biomasse'!$E$1:$E$425,'Forbrug af biomasse'!$A$1:$A$425,$F427,'Forbrug af biomasse'!$C$1:$C$425,$D427,'Forbrug af biomasse'!$B$1:$B$425,$A$1,'Forbrug af biomasse'!$D$1:$D$425,I$2)*'[1]Processer - data'!I427</f>
        <v>1759384934.9514902</v>
      </c>
      <c r="J427" s="300">
        <f>SUMIFS('Forbrug af biomasse'!$E$1:$E$425,'Forbrug af biomasse'!$A$1:$A$425,$F427,'Forbrug af biomasse'!$C$1:$C$425,$D427,'Forbrug af biomasse'!$B$1:$B$425,$A$1,'Forbrug af biomasse'!$D$1:$D$425,J$2)*'[1]Processer - data'!J427</f>
        <v>1759384934.9514902</v>
      </c>
    </row>
    <row r="428" spans="1:10" hidden="1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98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99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300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</row>
    <row r="429" spans="1:10" hidden="1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98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1609281.7537140117</v>
      </c>
      <c r="J429" s="300">
        <f>SUMIFS('Forbrug af biomasse'!$E$1:$E$425,'Forbrug af biomasse'!$A$1:$A$425,$F429,'Forbrug af biomasse'!$C$1:$C$425,$D429,'Forbrug af biomasse'!$B$1:$B$425,$A$1,'Forbrug af biomasse'!$D$1:$D$425,J$2)*'[1]Processer - data'!J429</f>
        <v>1609281.7537140117</v>
      </c>
    </row>
    <row r="430" spans="1:10" hidden="1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98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6945321.2528709965</v>
      </c>
      <c r="J430" s="300">
        <f>SUMIFS('Forbrug af biomasse'!$E$1:$E$425,'Forbrug af biomasse'!$A$1:$A$425,$F430,'Forbrug af biomasse'!$C$1:$C$425,$D430,'Forbrug af biomasse'!$B$1:$B$425,$A$1,'Forbrug af biomasse'!$D$1:$D$425,J$2)*'[1]Processer - data'!J430</f>
        <v>6945321.2528709965</v>
      </c>
    </row>
    <row r="431" spans="1:10" hidden="1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98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99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300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</row>
    <row r="432" spans="1:10" hidden="1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98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99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300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</row>
    <row r="433" spans="1:13" hidden="1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98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99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0</v>
      </c>
      <c r="J433" s="300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0</v>
      </c>
      <c r="L433" s="134"/>
      <c r="M433" s="127"/>
    </row>
    <row r="434" spans="1:13" hidden="1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98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99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0</v>
      </c>
      <c r="J434" s="300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0</v>
      </c>
      <c r="L434" s="129"/>
      <c r="M434" s="127"/>
    </row>
    <row r="435" spans="1:13" hidden="1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98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99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0</v>
      </c>
      <c r="J435" s="300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0</v>
      </c>
      <c r="L435" s="129"/>
      <c r="M435" s="127"/>
    </row>
    <row r="436" spans="1:13" hidden="1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98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99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117583698.77187234</v>
      </c>
      <c r="J436" s="300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138550000.9687638</v>
      </c>
      <c r="L436" s="129"/>
      <c r="M436" s="127"/>
    </row>
    <row r="437" spans="1:13" s="173" customFormat="1" hidden="1" x14ac:dyDescent="0.25">
      <c r="A437" s="173" t="str">
        <f>IF('[1]Processer - data'!A437&lt;&gt;"",'[1]Processer - data'!A437,"")</f>
        <v>Biogasanlæg</v>
      </c>
      <c r="B437" s="173" t="str">
        <f>IF('[1]Processer - data'!B437&lt;&gt;"",'[1]Processer - data'!B437,"")</f>
        <v/>
      </c>
      <c r="C437" s="173" t="str">
        <f>IF('[1]Processer - data'!C437&lt;&gt;"",'[1]Processer - data'!C437,"")</f>
        <v/>
      </c>
      <c r="D437" s="173" t="str">
        <f>IF('[1]Processer - data'!D437&lt;&gt;"",'[1]Processer - data'!D437,"")</f>
        <v>Svinegylle</v>
      </c>
      <c r="E437" s="173" t="str">
        <f>IF('[1]Processer - data'!E437&lt;&gt;"",'[1]Processer - data'!E437,"")</f>
        <v>Ton</v>
      </c>
      <c r="F437" s="173" t="str">
        <f>IF('[1]Processer - data'!F437&lt;&gt;"",'[1]Processer - data'!F437,"")</f>
        <v>CO2 - atmosfære</v>
      </c>
      <c r="G437" s="173" t="str">
        <f>IF('[1]Processer - data'!G437&lt;&gt;"",'[1]Processer - data'!G437,"")</f>
        <v>t CO2-ækvivalenter</v>
      </c>
      <c r="H437" s="304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5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-124713.19081636546</v>
      </c>
      <c r="J437" s="306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-146950.74988199334</v>
      </c>
      <c r="L437" s="129"/>
      <c r="M437" s="127"/>
    </row>
    <row r="438" spans="1:13" hidden="1" x14ac:dyDescent="0.25">
      <c r="A438" s="173" t="str">
        <f>IF('[1]Processer - data'!A438&lt;&gt;"",'[1]Processer - data'!A438,"")</f>
        <v>Biogasanlæg</v>
      </c>
      <c r="B438" s="173" t="str">
        <f>IF('[1]Processer - data'!B438&lt;&gt;"",'[1]Processer - data'!B438,"")</f>
        <v/>
      </c>
      <c r="C438" s="173" t="str">
        <f>IF('[1]Processer - data'!C438&lt;&gt;"",'[1]Processer - data'!C438,"")</f>
        <v/>
      </c>
      <c r="D438" s="173" t="str">
        <f>IF('[1]Processer - data'!D438&lt;&gt;"",'[1]Processer - data'!D438,"")</f>
        <v>Kvæggylle</v>
      </c>
      <c r="E438" s="173" t="str">
        <f>IF('[1]Processer - data'!E438&lt;&gt;"",'[1]Processer - data'!E438,"")</f>
        <v>Ton</v>
      </c>
      <c r="F438" s="173" t="str">
        <f>IF('[1]Processer - data'!F438&lt;&gt;"",'[1]Processer - data'!F438,"")</f>
        <v>Biogas</v>
      </c>
      <c r="G438" s="173" t="str">
        <f>IF('[1]Processer - data'!G438&lt;&gt;"",'[1]Processer - data'!G438,"")</f>
        <v>Nm3 CH4</v>
      </c>
      <c r="H438" s="298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99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300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143655385.34876204</v>
      </c>
      <c r="L438" s="129"/>
      <c r="M438" s="127"/>
    </row>
    <row r="439" spans="1:13" s="173" customFormat="1" hidden="1" x14ac:dyDescent="0.25">
      <c r="A439" s="173" t="str">
        <f>IF('[1]Processer - data'!A439&lt;&gt;"",'[1]Processer - data'!A439,"")</f>
        <v>Biogasanlæg</v>
      </c>
      <c r="B439" s="173" t="str">
        <f>IF('[1]Processer - data'!B439&lt;&gt;"",'[1]Processer - data'!B439,"")</f>
        <v/>
      </c>
      <c r="C439" s="173" t="str">
        <f>IF('[1]Processer - data'!C439&lt;&gt;"",'[1]Processer - data'!C439,"")</f>
        <v/>
      </c>
      <c r="D439" s="173" t="str">
        <f>IF('[1]Processer - data'!D439&lt;&gt;"",'[1]Processer - data'!D439,"")</f>
        <v>Kvæggylle</v>
      </c>
      <c r="E439" s="173" t="str">
        <f>IF('[1]Processer - data'!E439&lt;&gt;"",'[1]Processer - data'!E439,"")</f>
        <v>Ton</v>
      </c>
      <c r="F439" s="173" t="str">
        <f>IF('[1]Processer - data'!F439&lt;&gt;"",'[1]Processer - data'!F439,"")</f>
        <v>CO2 - atmosfære</v>
      </c>
      <c r="G439" s="173" t="str">
        <f>IF('[1]Processer - data'!G439&lt;&gt;"",'[1]Processer - data'!G439,"")</f>
        <v>t CO2-ækvivalenter</v>
      </c>
      <c r="H439" s="304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5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306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-299805.27165132586</v>
      </c>
      <c r="L439" s="129"/>
      <c r="M439" s="127"/>
    </row>
    <row r="440" spans="1:13" hidden="1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98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99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71038.313044169787</v>
      </c>
      <c r="J440" s="300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90290.772451615776</v>
      </c>
      <c r="L440" s="129"/>
      <c r="M440" s="127"/>
    </row>
    <row r="441" spans="1:13" hidden="1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98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99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119381661.83064809</v>
      </c>
      <c r="J441" s="300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133342930.92905165</v>
      </c>
      <c r="L441" s="129"/>
      <c r="M441" s="127"/>
    </row>
    <row r="442" spans="1:13" hidden="1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98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99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0</v>
      </c>
      <c r="J442" s="300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0</v>
      </c>
      <c r="L442" s="130"/>
      <c r="M442" s="127"/>
    </row>
    <row r="443" spans="1:13" hidden="1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98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99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0</v>
      </c>
      <c r="J443" s="300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0</v>
      </c>
      <c r="L443" s="129"/>
      <c r="M443" s="127"/>
    </row>
    <row r="444" spans="1:13" hidden="1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98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99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0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9"/>
      <c r="M444" s="127"/>
    </row>
    <row r="445" spans="1:13" hidden="1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98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99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300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9"/>
      <c r="M445" s="127"/>
    </row>
    <row r="446" spans="1:13" hidden="1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98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99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0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9"/>
      <c r="M446" s="127"/>
    </row>
    <row r="447" spans="1:13" hidden="1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98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99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0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9"/>
      <c r="M447" s="127"/>
    </row>
    <row r="448" spans="1:13" hidden="1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98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99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12675160.380488427</v>
      </c>
      <c r="J448" s="300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12630591.20305346</v>
      </c>
      <c r="L448" s="129"/>
      <c r="M448" s="127"/>
    </row>
    <row r="449" spans="1:13" hidden="1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98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99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58403.83780823338</v>
      </c>
      <c r="J449" s="300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93446.140493173414</v>
      </c>
      <c r="L449" s="130"/>
      <c r="M449" s="127"/>
    </row>
    <row r="450" spans="1:13" hidden="1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98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99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0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9"/>
      <c r="M450" s="127"/>
    </row>
    <row r="451" spans="1:13" ht="15.75" hidden="1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98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99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27618681.432657667</v>
      </c>
      <c r="J451" s="300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45834778.487355754</v>
      </c>
      <c r="L451" s="144"/>
      <c r="M451" s="127"/>
    </row>
    <row r="452" spans="1:13" hidden="1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4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5">
        <f ca="1">SUMIFS('Forbrug af biomasse'!$E$1:$E$425,'Forbrug af biomasse'!$A$1:$A$425,"Biogas",'Forbrug af biomasse'!$B$1:$B$425,$A$1,'Forbrug af biomasse'!$D$1:$D$425,I$2)*'[1]Processer - data'!I452</f>
        <v>22754669.572022874</v>
      </c>
      <c r="J452" s="306">
        <f ca="1">SUMIFS('Forbrug af biomasse'!$E$1:$E$425,'Forbrug af biomasse'!$A$1:$A$425,"Biogas",'Forbrug af biomasse'!$B$1:$B$425,$A$1,'Forbrug af biomasse'!$D$1:$D$425,J$2)*'[1]Processer - data'!J452</f>
        <v>26076139.147760522</v>
      </c>
    </row>
    <row r="453" spans="1:13" hidden="1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4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5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27963815.541259382</v>
      </c>
      <c r="J453" s="306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15298229.273634329</v>
      </c>
    </row>
    <row r="454" spans="1:13" hidden="1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4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5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306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13499530.892702809</v>
      </c>
    </row>
    <row r="455" spans="1:13" hidden="1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4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5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15475.756981436869</v>
      </c>
      <c r="J455" s="306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9132.463625831364</v>
      </c>
    </row>
    <row r="456" spans="1:13" hidden="1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4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5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3515126.7094579712</v>
      </c>
      <c r="J456" s="306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2944656.3913498893</v>
      </c>
    </row>
    <row r="457" spans="1:13" hidden="1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4">
        <f ca="1">H452*'[1]Processer - data'!H$457*Biogasanlæg!AA$3</f>
        <v>49012317.500056781</v>
      </c>
      <c r="I457" s="305">
        <f ca="1">I452*'[1]Processer - data'!I$457*Biogasanlæg!AB$3</f>
        <v>136384255.73097408</v>
      </c>
      <c r="J457" s="306">
        <f ca="1">J452*'[1]Processer - data'!J$457*Biogasanlæg!AC$3</f>
        <v>145722058.04941812</v>
      </c>
    </row>
    <row r="458" spans="1:13" hidden="1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4">
        <f ca="1">-SUMIFS('Resultater - Vestdanmark'!H$3:H$482,'Resultater - Vestdanmark'!$F$3:$F$482,"Gødning",'Resultater - Vestdanmark'!$A$3:$A$482,"&lt;&gt;Gødning")-SUM(H453:H457)</f>
        <v>115302944.8742784</v>
      </c>
      <c r="I458" s="305">
        <f ca="1">-SUMIFS('Resultater - Vestdanmark'!I$3:I$482,'Resultater - Vestdanmark'!$F$3:$F$482,"Gødning",'Resultater - Vestdanmark'!$A$3:$A$482,"&lt;&gt;Gødning")-SUM(I453:I457)</f>
        <v>8808811.5013349056</v>
      </c>
      <c r="J458" s="306">
        <f ca="1">-SUMIFS('Resultater - Vestdanmark'!J$3:J$482,'Resultater - Vestdanmark'!$F$3:$F$482,"Gødning",'Resultater - Vestdanmark'!$A$3:$A$482,"&lt;&gt;Gødning")-SUM(J453:J457)</f>
        <v>10189079.050222456</v>
      </c>
    </row>
    <row r="459" spans="1:13" hidden="1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07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09">
        <f>SUMIFS('Forbrug af biomasse'!$E$1:$E$425,'Forbrug af biomasse'!$A$1:$A$425,$F459,'Forbrug af biomasse'!$C$1:$C$425,$D459,'Forbrug af biomasse'!$B$1:$B$425,$A$1,'Forbrug af biomasse'!$D$1:$D$425,I$2)*'[1]Processer - data'!I459</f>
        <v>0</v>
      </c>
      <c r="J459" s="310">
        <f>SUMIFS('Forbrug af biomasse'!$E$1:$E$425,'Forbrug af biomasse'!$A$1:$A$425,$F459,'Forbrug af biomasse'!$C$1:$C$425,$D459,'Forbrug af biomasse'!$B$1:$B$425,$A$1,'Forbrug af biomasse'!$D$1:$D$425,J$2)*'[1]Processer - data'!J459</f>
        <v>0</v>
      </c>
    </row>
    <row r="460" spans="1:13" hidden="1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07">
        <f>SUMIFS('Forbrug af biomasse'!$E$1:$E$425,'Forbrug af biomasse'!$A$1:$A$425,$F460,'Forbrug af biomasse'!$C$1:$C$425,$D460,'Forbrug af biomasse'!$B$1:$B$425,$A$1,'Forbrug af biomasse'!$D$1:$D$425,H$2)*'[1]Processer - data'!H460</f>
        <v>5.4301372708208842</v>
      </c>
      <c r="I460" s="309">
        <f>SUMIFS('Forbrug af biomasse'!$E$1:$E$425,'Forbrug af biomasse'!$A$1:$A$425,$F460,'Forbrug af biomasse'!$C$1:$C$425,$D460,'Forbrug af biomasse'!$B$1:$B$425,$A$1,'Forbrug af biomasse'!$D$1:$D$425,I$2)*'[1]Processer - data'!I460</f>
        <v>3.947736060889838</v>
      </c>
      <c r="J460" s="310">
        <f>SUMIFS('Forbrug af biomasse'!$E$1:$E$425,'Forbrug af biomasse'!$A$1:$A$425,$F460,'Forbrug af biomasse'!$C$1:$C$425,$D460,'Forbrug af biomasse'!$B$1:$B$425,$A$1,'Forbrug af biomasse'!$D$1:$D$425,J$2)*'[1]Processer - data'!J460</f>
        <v>3.8695621822510629</v>
      </c>
    </row>
    <row r="461" spans="1:13" hidden="1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07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09">
        <f>SUMIFS('Forbrug af biomasse'!$E$1:$E$425,'Forbrug af biomasse'!$A$1:$A$425,$F461,'Forbrug af biomasse'!$C$1:$C$425,$D461,'Forbrug af biomasse'!$B$1:$B$425,$A$1,'Forbrug af biomasse'!$D$1:$D$425,I$2)*'[1]Processer - data'!I461</f>
        <v>1.7959557660450323</v>
      </c>
      <c r="J461" s="310">
        <f>SUMIFS('Forbrug af biomasse'!$E$1:$E$425,'Forbrug af biomasse'!$A$1:$A$425,$F461,'Forbrug af biomasse'!$C$1:$C$425,$D461,'Forbrug af biomasse'!$B$1:$B$425,$A$1,'Forbrug af biomasse'!$D$1:$D$425,J$2)*'[1]Processer - data'!J461</f>
        <v>1.7620147901943848</v>
      </c>
    </row>
    <row r="462" spans="1:13" hidden="1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07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09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310">
        <f>SUMIFS('Forbrug af biomasse'!$E$1:$E$425,'Forbrug af biomasse'!$A$1:$A$425,$F462,'Forbrug af biomasse'!$C$1:$C$425,$D462,'Forbrug af biomasse'!$B$1:$B$425,$A$1,'Forbrug af biomasse'!$D$1:$D$425,J$2)*'[1]Processer - data'!J462</f>
        <v>30.350674178438894</v>
      </c>
    </row>
    <row r="463" spans="1:13" hidden="1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07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09">
        <f>SUMIFS('Forbrug af biomasse'!$E$1:$E$425,'Forbrug af biomasse'!$A$1:$A$425,$F463,'Forbrug af biomasse'!$C$1:$C$425,$D463,'Forbrug af biomasse'!$B$1:$B$425,$A$1,'Forbrug af biomasse'!$D$1:$D$425,I$2)*'[1]Processer - data'!I463</f>
        <v>4.6194462494572006</v>
      </c>
      <c r="J463" s="310">
        <f>SUMIFS('Forbrug af biomasse'!$E$1:$E$425,'Forbrug af biomasse'!$A$1:$A$425,$F463,'Forbrug af biomasse'!$C$1:$C$425,$D463,'Forbrug af biomasse'!$B$1:$B$425,$A$1,'Forbrug af biomasse'!$D$1:$D$425,J$2)*'[1]Processer - data'!J463</f>
        <v>4.6032030688296555</v>
      </c>
    </row>
    <row r="464" spans="1:13" hidden="1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07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09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0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3" customFormat="1" hidden="1" x14ac:dyDescent="0.25">
      <c r="A465" s="173" t="str">
        <f>IF('[1]Processer - data'!A465&lt;&gt;"",'[1]Processer - data'!A465,"")</f>
        <v>Til energi</v>
      </c>
      <c r="B465" s="173" t="str">
        <f>IF('[1]Processer - data'!B465&lt;&gt;"",'[1]Processer - data'!B465,"")</f>
        <v/>
      </c>
      <c r="C465" s="173" t="str">
        <f>IF('[1]Processer - data'!C465&lt;&gt;"",'[1]Processer - data'!C465,"")</f>
        <v/>
      </c>
      <c r="D465" s="173" t="str">
        <f>IF('[1]Processer - data'!D465&lt;&gt;"",'[1]Processer - data'!D465,"")</f>
        <v>Pyrolyseolie</v>
      </c>
      <c r="E465" s="173" t="str">
        <f>IF('[1]Processer - data'!E465&lt;&gt;"",'[1]Processer - data'!E465,"")</f>
        <v>Ton</v>
      </c>
      <c r="F465" s="173" t="str">
        <f>IF('[1]Processer - data'!F465&lt;&gt;"",'[1]Processer - data'!F465,"")</f>
        <v>Energi</v>
      </c>
      <c r="G465" s="173" t="str">
        <f>IF('[1]Processer - data'!G465&lt;&gt;"",'[1]Processer - data'!G465,"")</f>
        <v>PJ</v>
      </c>
      <c r="H465" s="307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09">
        <f>SUMIFS('Forbrug af biomasse'!$E$1:$E$425,'Forbrug af biomasse'!$A$1:$A$425,$F465,'Forbrug af biomasse'!$C$1:$C$425,$D465,'Forbrug af biomasse'!$B$1:$B$425,$A$1,'Forbrug af biomasse'!$D$1:$D$425,I$2)*'[1]Processer - data'!I465</f>
        <v>3.4695480624460577</v>
      </c>
      <c r="J465" s="310">
        <f>SUMIFS('Forbrug af biomasse'!$E$1:$E$425,'Forbrug af biomasse'!$A$1:$A$425,$F465,'Forbrug af biomasse'!$C$1:$C$425,$D465,'Forbrug af biomasse'!$B$1:$B$425,$A$1,'Forbrug af biomasse'!$D$1:$D$425,J$2)*'[1]Processer - data'!J465</f>
        <v>3.4047070452058592</v>
      </c>
    </row>
    <row r="466" spans="1:10" s="173" customFormat="1" hidden="1" x14ac:dyDescent="0.25">
      <c r="A466" s="173" t="str">
        <f>IF('[1]Processer - data'!A466&lt;&gt;"",'[1]Processer - data'!A466,"")</f>
        <v>Til energi</v>
      </c>
      <c r="B466" s="173" t="str">
        <f>IF('[1]Processer - data'!B466&lt;&gt;"",'[1]Processer - data'!B466,"")</f>
        <v/>
      </c>
      <c r="C466" s="173" t="str">
        <f>IF('[1]Processer - data'!C466&lt;&gt;"",'[1]Processer - data'!C466,"")</f>
        <v/>
      </c>
      <c r="D466" s="173" t="str">
        <f>IF('[1]Processer - data'!D466&lt;&gt;"",'[1]Processer - data'!D466,"")</f>
        <v>Pyrolysegas</v>
      </c>
      <c r="E466" s="173" t="str">
        <f>IF('[1]Processer - data'!E466&lt;&gt;"",'[1]Processer - data'!E466,"")</f>
        <v>Ton</v>
      </c>
      <c r="F466" s="173" t="str">
        <f>IF('[1]Processer - data'!F466&lt;&gt;"",'[1]Processer - data'!F466,"")</f>
        <v>Energi</v>
      </c>
      <c r="G466" s="173" t="str">
        <f>IF('[1]Processer - data'!G466&lt;&gt;"",'[1]Processer - data'!G466,"")</f>
        <v>PJ</v>
      </c>
      <c r="H466" s="307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09">
        <f>SUMIFS('Forbrug af biomasse'!$E$1:$E$425,'Forbrug af biomasse'!$A$1:$A$425,$F466,'Forbrug af biomasse'!$C$1:$C$425,$D466,'Forbrug af biomasse'!$B$1:$B$425,$A$1,'Forbrug af biomasse'!$D$1:$D$425,I$2)*'[1]Processer - data'!I466</f>
        <v>3.7383158701003296</v>
      </c>
      <c r="J466" s="310">
        <f>SUMIFS('Forbrug af biomasse'!$E$1:$E$425,'Forbrug af biomasse'!$A$1:$A$425,$F466,'Forbrug af biomasse'!$C$1:$C$425,$D466,'Forbrug af biomasse'!$B$1:$B$425,$A$1,'Forbrug af biomasse'!$D$1:$D$425,J$2)*'[1]Processer - data'!J466</f>
        <v>3.6684519571584255</v>
      </c>
    </row>
    <row r="467" spans="1:10" hidden="1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4">
        <f ca="1">SUM(H433:H451)*'[1]Processer - data'!$H$467</f>
        <v>12.653144702450682</v>
      </c>
      <c r="I467" s="305">
        <f ca="1">SUM(I433:I451)*'[1]Processer - data'!$H$467</f>
        <v>19.311736961289061</v>
      </c>
      <c r="J467" s="306">
        <f ca="1">SUM(J433:J451)*'[1]Processer - data'!$H$467</f>
        <v>21.375488266171409</v>
      </c>
    </row>
    <row r="468" spans="1:10" hidden="1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98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99">
        <f>SUMIFS('Forbrug af biomasse'!$E$1:$E$425,'Forbrug af biomasse'!$A$1:$A$425,$A468,'Forbrug af biomasse'!$C$1:$C$425,$D468,'Forbrug af biomasse'!$B$1:$B$425,$A$1,'Forbrug af biomasse'!$D$1:$D$425,I$2)*'[1]Processer - data'!I468</f>
        <v>2525.5713646803624</v>
      </c>
      <c r="J468" s="300">
        <f>SUMIFS('Forbrug af biomasse'!$E$1:$E$425,'Forbrug af biomasse'!$A$1:$A$425,$A468,'Forbrug af biomasse'!$C$1:$C$425,$D468,'Forbrug af biomasse'!$B$1:$B$425,$A$1,'Forbrug af biomasse'!$D$1:$D$425,J$2)*'[1]Processer - data'!J468</f>
        <v>2525.5713646803624</v>
      </c>
    </row>
    <row r="469" spans="1:10" hidden="1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98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99">
        <f>SUMIFS('Forbrug af biomasse'!$E$1:$E$425,'Forbrug af biomasse'!$A$1:$A$425,$A469,'Forbrug af biomasse'!$C$1:$C$425,$D469,'Forbrug af biomasse'!$B$1:$B$425,$A$1,'Forbrug af biomasse'!$D$1:$D$425,I$2)*'[1]Processer - data'!I469</f>
        <v>5199.7057508125108</v>
      </c>
      <c r="J469" s="300">
        <f>SUMIFS('Forbrug af biomasse'!$E$1:$E$425,'Forbrug af biomasse'!$A$1:$A$425,$A469,'Forbrug af biomasse'!$C$1:$C$425,$D469,'Forbrug af biomasse'!$B$1:$B$425,$A$1,'Forbrug af biomasse'!$D$1:$D$425,J$2)*'[1]Processer - data'!J469</f>
        <v>5199.7057508125108</v>
      </c>
    </row>
    <row r="470" spans="1:10" hidden="1" x14ac:dyDescent="0.25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98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99">
        <f>SUMIFS('Forbrug af biomasse'!$E$1:$E$425,'Forbrug af biomasse'!$A$1:$A$425,$A470,'Forbrug af biomasse'!$C$1:$C$425,$D470,'Forbrug af biomasse'!$B$1:$B$425,$A$1,'Forbrug af biomasse'!$D$1:$D$425,I$2)*'[1]Processer - data'!I470</f>
        <v>7382.3997257789451</v>
      </c>
      <c r="J470" s="300">
        <f>SUMIFS('Forbrug af biomasse'!$E$1:$E$425,'Forbrug af biomasse'!$A$1:$A$425,$A470,'Forbrug af biomasse'!$C$1:$C$425,$D470,'Forbrug af biomasse'!$B$1:$B$425,$A$1,'Forbrug af biomasse'!$D$1:$D$425,J$2)*'[1]Processer - data'!J470</f>
        <v>7382.3997257789451</v>
      </c>
    </row>
    <row r="471" spans="1:10" hidden="1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20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1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176238.21700401063</v>
      </c>
      <c r="J471" s="322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172748.31170763675</v>
      </c>
    </row>
    <row r="472" spans="1:10" hidden="1" x14ac:dyDescent="0.25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20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1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112792.4588825668</v>
      </c>
      <c r="J472" s="322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110558.91949288752</v>
      </c>
    </row>
    <row r="473" spans="1:10" hidden="1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95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96">
        <f>SUMIFS('Forbrug af biomasse'!$E$1:$E$425,'Forbrug af biomasse'!$A$1:$A$425,$A473,'Forbrug af biomasse'!$C$1:$C$425,$D473,'Forbrug af biomasse'!$B$1:$B$425,$A$1,'Forbrug af biomasse'!$D$1:$D$425,I$2)*'[1]Processer - data'!I473</f>
        <v>-486185.66831768729</v>
      </c>
      <c r="J473" s="297">
        <f>SUMIFS('Forbrug af biomasse'!$E$1:$E$425,'Forbrug af biomasse'!$A$1:$A$425,$A473,'Forbrug af biomasse'!$C$1:$C$425,$D473,'Forbrug af biomasse'!$B$1:$B$425,$A$1,'Forbrug af biomasse'!$D$1:$D$425,J$2)*'[1]Processer - data'!J473</f>
        <v>-477099.53584915504</v>
      </c>
    </row>
    <row r="474" spans="1:10" hidden="1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98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99">
        <f>SUMIFS('Forbrug af biomasse'!$E$1:$E$425,'Forbrug af biomasse'!$A$1:$A$425,$A474,'Forbrug af biomasse'!$C$1:$C$425,$D474,'Forbrug af biomasse'!$B$1:$B$425,$A$1,'Forbrug af biomasse'!$D$1:$D$425,I$2)*'[1]Processer - data'!I474</f>
        <v>104289.06061972865</v>
      </c>
      <c r="J474" s="300">
        <f>SUMIFS('Forbrug af biomasse'!$E$1:$E$425,'Forbrug af biomasse'!$A$1:$A$425,$A474,'Forbrug af biomasse'!$C$1:$C$425,$D474,'Forbrug af biomasse'!$B$1:$B$425,$A$1,'Forbrug af biomasse'!$D$1:$D$425,J$2)*'[1]Processer - data'!J474</f>
        <v>102340.04344057463</v>
      </c>
    </row>
    <row r="475" spans="1:10" ht="15.75" hidden="1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301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2">
        <f>SUMIFS('Forbrug af biomasse'!$E$1:$E$425,'Forbrug af biomasse'!$A$1:$A$425,$A475,'Forbrug af biomasse'!$C$1:$C$425,$D475,'Forbrug af biomasse'!$B$1:$B$425,$A$1,'Forbrug af biomasse'!$D$1:$D$425,I$2)*'[1]Processer - data'!I475</f>
        <v>417156.24247891462</v>
      </c>
      <c r="J475" s="303">
        <f>SUMIFS('Forbrug af biomasse'!$E$1:$E$425,'Forbrug af biomasse'!$A$1:$A$425,$A475,'Forbrug af biomasse'!$C$1:$C$425,$D475,'Forbrug af biomasse'!$B$1:$B$425,$A$1,'Forbrug af biomasse'!$D$1:$D$425,J$2)*'[1]Processer - data'!J475</f>
        <v>409360.17376229854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autoFilter ref="A2:U475" xr:uid="{909A89E6-B9A6-46D5-83F7-24899AA46FB2}">
    <filterColumn colId="0">
      <filters>
        <filter val="Fjerkræbrug"/>
        <filter val="Grisestald"/>
        <filter val="Kostald"/>
      </filters>
    </filterColumn>
    <filterColumn colId="5">
      <filters>
        <filter val="Foder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3"/>
      <c r="N2" s="173"/>
      <c r="O2" s="173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3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4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5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3">
        <f>SUMIF($F$3:$F$472,"Roer",H3:H472)</f>
        <v>2252973.7408705982</v>
      </c>
      <c r="N3" s="173">
        <f>SUMIF($F$3:$F$472,"Roer",I3:I472)</f>
        <v>2129245.811636521</v>
      </c>
      <c r="O3" s="173">
        <f>SUMIF($F$3:$F$472,"Roer",J3:J472)</f>
        <v>2128936.6947511984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0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1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2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3">
        <f ca="1">SUMIF($F$3:$F$472,"Bioaffald",H3:H472)</f>
        <v>165083.0224523381</v>
      </c>
      <c r="N4" s="173">
        <f ca="1">SUMIF($F$3:$F$472,"Bioaffald",I3:I472)</f>
        <v>168912.745758362</v>
      </c>
      <c r="O4" s="173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0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1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2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3" customFormat="1" x14ac:dyDescent="0.25">
      <c r="A6" s="173" t="str">
        <f>IF('[1]Processer - data'!A6&lt;&gt;"",'[1]Processer - data'!A6,"")</f>
        <v>Bioaffaldsproduktion</v>
      </c>
      <c r="B6" s="173" t="str">
        <f>IF('[1]Processer - data'!B6&lt;&gt;"",'[1]Processer - data'!B6,"")</f>
        <v/>
      </c>
      <c r="C6" s="173" t="str">
        <f>IF('[1]Processer - data'!C6&lt;&gt;"",'[1]Processer - data'!C6,"")</f>
        <v/>
      </c>
      <c r="D6" s="173" t="str">
        <f>IF('[1]Processer - data'!D6&lt;&gt;"",'[1]Processer - data'!D6,"")</f>
        <v>Befolkning</v>
      </c>
      <c r="E6" s="173" t="str">
        <f>IF('[1]Processer - data'!E6&lt;&gt;"",'[1]Processer - data'!E6,"")</f>
        <v>Antal</v>
      </c>
      <c r="F6" s="173" t="str">
        <f>IF('[1]Processer - data'!F6&lt;&gt;"",'[1]Processer - data'!F6,"")</f>
        <v>Industriaffald</v>
      </c>
      <c r="G6" s="173" t="str">
        <f>IF('[1]Processer - data'!G6&lt;&gt;"",'[1]Processer - data'!G6,"")</f>
        <v>Ton</v>
      </c>
      <c r="H6" s="320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1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2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0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1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2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0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1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2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0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1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2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0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1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2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0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1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2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0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1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2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0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1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2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0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1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2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0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1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2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0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1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-145973.35994507192</v>
      </c>
      <c r="J16" s="322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-18978.107996938252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0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1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2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0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1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2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0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1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-32114.139187915822</v>
      </c>
      <c r="J19" s="322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-41751.83759326415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0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1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2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0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1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2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0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1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2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-817450.81569240277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0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1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2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11147.528050930074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0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1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2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5823.3355489933219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0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1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2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-84664.548768141714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0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1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2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0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1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2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0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1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2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0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1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2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0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1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2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0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1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2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0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1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2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0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1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2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0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1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2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0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1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2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0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1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2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0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1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2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0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1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2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0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1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2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0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1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2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0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1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2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0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1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2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0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1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2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0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1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2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0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1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2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0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1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2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0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1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2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0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1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2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0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1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2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0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1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2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0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1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2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0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1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2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0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1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2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0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1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2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0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1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2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0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1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2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0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1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2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0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1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2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0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1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2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0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1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2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0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1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2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0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1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2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0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1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2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0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1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2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0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1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2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0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1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2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0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1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2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0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1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2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0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1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2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0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1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2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0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1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2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0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1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2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0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1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2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0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1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22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0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1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22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0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1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22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0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1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22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0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1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22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0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1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22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0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1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22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0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1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22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0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1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2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0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1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22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0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1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22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0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1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22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0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1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22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0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1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22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0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1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22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0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1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22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0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1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22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0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1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22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0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1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22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0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1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22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0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1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22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0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1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22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0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1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22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0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1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22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0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1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22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0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1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22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0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1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22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0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1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22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0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1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22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0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1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22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0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1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22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0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1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22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0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1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22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0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1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22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0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1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22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0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1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22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0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1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22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0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1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22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0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1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22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0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1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22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0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1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22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0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1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22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0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1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22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0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1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22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0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1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22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0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1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22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0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1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2018382.3190896129</v>
      </c>
      <c r="J120" s="322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1991806.9957258692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0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1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653743.11280102609</v>
      </c>
      <c r="J121" s="322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646341.37011304463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0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1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-42974478.231303103</v>
      </c>
      <c r="J122" s="322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-41329155.662837386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0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1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610692.68187587755</v>
      </c>
      <c r="J123" s="322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587311.67777201987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0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1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0</v>
      </c>
      <c r="J124" s="322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0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0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1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0</v>
      </c>
      <c r="J125" s="322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0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0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1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0</v>
      </c>
      <c r="J126" s="322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0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0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1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0</v>
      </c>
      <c r="J127" s="322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0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0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1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0</v>
      </c>
      <c r="J128" s="322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0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0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1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0</v>
      </c>
      <c r="J129" s="322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0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0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1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0</v>
      </c>
      <c r="J130" s="322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0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0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1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0</v>
      </c>
      <c r="J131" s="322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0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0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1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211055.12226780987</v>
      </c>
      <c r="J132" s="322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283078.02454407053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0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1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68359.612199829862</v>
      </c>
      <c r="J133" s="322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91858.818964550897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0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1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-4493689.6601403086</v>
      </c>
      <c r="J134" s="322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-5873749.6987487078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0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1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95310.41855866299</v>
      </c>
      <c r="J135" s="322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124581.26498194363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0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1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0</v>
      </c>
      <c r="J136" s="322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0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0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1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0</v>
      </c>
      <c r="J137" s="322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0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0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1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0</v>
      </c>
      <c r="J138" s="322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0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0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1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0</v>
      </c>
      <c r="J139" s="322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0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0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1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0</v>
      </c>
      <c r="J140" s="322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0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0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1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0</v>
      </c>
      <c r="J141" s="322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0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0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1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0</v>
      </c>
      <c r="J142" s="322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0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0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1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0</v>
      </c>
      <c r="J143" s="322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0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0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1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74390.798057176362</v>
      </c>
      <c r="J144" s="322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72259.926475723129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0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1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-673221.12667247769</v>
      </c>
      <c r="J145" s="322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-637291.51177436335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0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1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7653.495418937141</v>
      </c>
      <c r="J146" s="322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7245.0306038383196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0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1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0</v>
      </c>
      <c r="J147" s="322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0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0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1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0</v>
      </c>
      <c r="J148" s="322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0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0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1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0</v>
      </c>
      <c r="J149" s="322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0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0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1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0</v>
      </c>
      <c r="J150" s="322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0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0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1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0</v>
      </c>
      <c r="J151" s="322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0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0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1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0</v>
      </c>
      <c r="J152" s="322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0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0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1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6617.7709947973635</v>
      </c>
      <c r="J153" s="322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8736.8820193374322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0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1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-59889.44011265567</v>
      </c>
      <c r="J154" s="322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-77054.337332718467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0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1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1194.4761636491494</v>
      </c>
      <c r="J155" s="322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1536.8246735414618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0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1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0</v>
      </c>
      <c r="J156" s="322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0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0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1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0</v>
      </c>
      <c r="J157" s="322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0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0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1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0</v>
      </c>
      <c r="J158" s="322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0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0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1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0</v>
      </c>
      <c r="J159" s="322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0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0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1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0</v>
      </c>
      <c r="J160" s="322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0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0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1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0</v>
      </c>
      <c r="J161" s="322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0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0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1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8261.5332146658584</v>
      </c>
      <c r="J162" s="322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7820.6176000028408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0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1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-7068821.8300610157</v>
      </c>
      <c r="J163" s="322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-6691560.8736308152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0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1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1530.6990837874282</v>
      </c>
      <c r="J164" s="322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1449.006120767664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0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1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734.94217441449473</v>
      </c>
      <c r="J165" s="322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945.58376436397975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0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1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-628839.12118288467</v>
      </c>
      <c r="J166" s="322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-809070.54199354397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0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1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238.89523272982987</v>
      </c>
      <c r="J167" s="322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307.36493470829237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0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1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-96538.058451840639</v>
      </c>
      <c r="J168" s="322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-93772.794324339455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0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1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318055.987012778</v>
      </c>
      <c r="J169" s="322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301081.4318827393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0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1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-4821.0807081065477</v>
      </c>
      <c r="J170" s="322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-4563.7810388416119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0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1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0</v>
      </c>
      <c r="J171" s="322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0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0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1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0</v>
      </c>
      <c r="J172" s="322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0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0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1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0</v>
      </c>
      <c r="J173" s="322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0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0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1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0</v>
      </c>
      <c r="J174" s="322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0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0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1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0</v>
      </c>
      <c r="J175" s="322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0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0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1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0</v>
      </c>
      <c r="J176" s="322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0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0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1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-8587.9810379990031</v>
      </c>
      <c r="J177" s="322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-11337.98331376104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0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1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28294.113526743662</v>
      </c>
      <c r="J178" s="322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36403.482218549383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0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1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-752.42300068714928</v>
      </c>
      <c r="J179" s="322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-968.07476581488731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0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1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0</v>
      </c>
      <c r="J180" s="322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0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0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1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0</v>
      </c>
      <c r="J181" s="322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0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0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1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0</v>
      </c>
      <c r="J182" s="322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0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0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1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0</v>
      </c>
      <c r="J183" s="322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0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0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1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0</v>
      </c>
      <c r="J184" s="322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0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0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1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0</v>
      </c>
      <c r="J185" s="322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0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0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1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1142640.3718985375</v>
      </c>
      <c r="J186" s="322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1331039.9381164375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0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1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-3329582.0181941204</v>
      </c>
      <c r="J187" s="322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-3779839.3317952403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0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1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48841.625037734477</v>
      </c>
      <c r="J188" s="322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55446.44773356674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0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1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0</v>
      </c>
      <c r="J189" s="322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0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0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1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0</v>
      </c>
      <c r="J190" s="322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0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0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1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0</v>
      </c>
      <c r="J191" s="322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0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0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1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0</v>
      </c>
      <c r="J192" s="322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0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0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1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0</v>
      </c>
      <c r="J193" s="322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0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0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1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0</v>
      </c>
      <c r="J194" s="322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0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0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1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139098.30192013411</v>
      </c>
      <c r="J195" s="322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220226.60794290149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0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1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-405323.6838333421</v>
      </c>
      <c r="J196" s="322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-625391.5985333944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0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1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7622.6813642706993</v>
      </c>
      <c r="J197" s="322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11761.367701059613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0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1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0</v>
      </c>
      <c r="J198" s="322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0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0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1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0</v>
      </c>
      <c r="J199" s="322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0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0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1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0</v>
      </c>
      <c r="J200" s="322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0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0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1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0</v>
      </c>
      <c r="J201" s="322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0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0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1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0</v>
      </c>
      <c r="J202" s="322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0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0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1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0</v>
      </c>
      <c r="J203" s="322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0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0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1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23065.003116266154</v>
      </c>
      <c r="J204" s="322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22404.322481696188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0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1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6795.0004636034573</v>
      </c>
      <c r="J205" s="322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6612.6996269874726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0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1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2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0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1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12673.702650483561</v>
      </c>
      <c r="J207" s="322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11997.310841724091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0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1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0</v>
      </c>
      <c r="J208" s="322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0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0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1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0</v>
      </c>
      <c r="J209" s="322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0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0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1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2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0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1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0</v>
      </c>
      <c r="J211" s="322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0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0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1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0</v>
      </c>
      <c r="J212" s="322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0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0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1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0</v>
      </c>
      <c r="J213" s="322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0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0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1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2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0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1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0</v>
      </c>
      <c r="J215" s="322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0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0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1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2051.8520113256418</v>
      </c>
      <c r="J216" s="322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2708.8862636959939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0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1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604.48009904541732</v>
      </c>
      <c r="J217" s="322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799.53550035393994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0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1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2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0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1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1977.9767142373189</v>
      </c>
      <c r="J219" s="322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2544.884117941474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0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1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0</v>
      </c>
      <c r="J220" s="322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0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0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1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0</v>
      </c>
      <c r="J221" s="322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0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0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1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2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0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1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0</v>
      </c>
      <c r="J223" s="322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0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0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1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0</v>
      </c>
      <c r="J224" s="322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0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0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1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0</v>
      </c>
      <c r="J225" s="322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0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0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1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2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0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1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0</v>
      </c>
      <c r="J227" s="322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0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0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1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1955302.964133543</v>
      </c>
      <c r="J228" s="322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1899294.6992914178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0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1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-3030468.1777877975</v>
      </c>
      <c r="J229" s="322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-2868732.9762692661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0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1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51039.692049481797</v>
      </c>
      <c r="J230" s="322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48315.718592320241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0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1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0</v>
      </c>
      <c r="J231" s="322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0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0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1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0</v>
      </c>
      <c r="J232" s="322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0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0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1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0</v>
      </c>
      <c r="J233" s="322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0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0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1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0</v>
      </c>
      <c r="J234" s="322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0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0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1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0</v>
      </c>
      <c r="J235" s="322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0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0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1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0</v>
      </c>
      <c r="J236" s="322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0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0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1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173942.8475029782</v>
      </c>
      <c r="J237" s="322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229641.99545978048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0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1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-269589.04772343469</v>
      </c>
      <c r="J238" s="322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-346855.89622164756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0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1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7965.7322851792414</v>
      </c>
      <c r="J239" s="322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10248.788792310354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0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1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0</v>
      </c>
      <c r="J240" s="322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0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0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1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0</v>
      </c>
      <c r="J241" s="322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0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0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1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0</v>
      </c>
      <c r="J242" s="322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0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0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1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0</v>
      </c>
      <c r="J243" s="322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0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0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1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0</v>
      </c>
      <c r="J244" s="322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0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0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1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0</v>
      </c>
      <c r="J245" s="322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0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0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1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13445.480877634343</v>
      </c>
      <c r="J246" s="322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13060.344626251439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0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1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-206824.46017140534</v>
      </c>
      <c r="J247" s="322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-195786.29914072185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0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1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2903.9548315510888</v>
      </c>
      <c r="J248" s="322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2748.9716103695741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0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1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0</v>
      </c>
      <c r="J249" s="322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0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0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1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0</v>
      </c>
      <c r="J250" s="322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0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0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1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0</v>
      </c>
      <c r="J251" s="322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0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0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1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0</v>
      </c>
      <c r="J252" s="322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0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0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1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0</v>
      </c>
      <c r="J253" s="322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0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0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1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0</v>
      </c>
      <c r="J254" s="322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0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0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1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1196.1037613109397</v>
      </c>
      <c r="J255" s="322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1579.1143957194922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0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1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-18399.008335479353</v>
      </c>
      <c r="J256" s="322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-23672.343441560006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0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1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453.21838411490984</v>
      </c>
      <c r="J257" s="322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583.11519007839456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0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1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0</v>
      </c>
      <c r="J258" s="322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0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0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1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0</v>
      </c>
      <c r="J259" s="322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0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0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1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0</v>
      </c>
      <c r="J260" s="322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0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0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1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0</v>
      </c>
      <c r="J261" s="322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0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0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1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0</v>
      </c>
      <c r="J262" s="322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0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0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1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0</v>
      </c>
      <c r="J263" s="322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0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0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1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200240.5265020529</v>
      </c>
      <c r="J264" s="322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194504.77882193658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0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1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-890724.06967478537</v>
      </c>
      <c r="J265" s="322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-843186.38623624144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0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1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14253.848447178554</v>
      </c>
      <c r="J266" s="322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13493.124718773692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0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1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0</v>
      </c>
      <c r="J267" s="322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0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0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1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0</v>
      </c>
      <c r="J268" s="322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0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0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1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0</v>
      </c>
      <c r="J269" s="322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0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0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1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0</v>
      </c>
      <c r="J270" s="322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0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0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1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0</v>
      </c>
      <c r="J271" s="322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0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0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1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0</v>
      </c>
      <c r="J272" s="322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0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0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1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17813.304640847364</v>
      </c>
      <c r="J273" s="322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23517.395984834144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0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1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-79238.401342745346</v>
      </c>
      <c r="J274" s="322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-101948.89942674553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0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1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2224.5890640105258</v>
      </c>
      <c r="J275" s="322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2862.1779706489647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0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1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0</v>
      </c>
      <c r="J276" s="322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0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0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1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0</v>
      </c>
      <c r="J277" s="322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0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0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1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0</v>
      </c>
      <c r="J278" s="322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0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0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1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0</v>
      </c>
      <c r="J279" s="322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0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0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1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0</v>
      </c>
      <c r="J280" s="322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0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0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1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0</v>
      </c>
      <c r="J281" s="322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0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0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1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302945.76713136304</v>
      </c>
      <c r="J282" s="322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294268.10076991864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0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1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-1015856.7993486724</v>
      </c>
      <c r="J283" s="322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-961640.81867582304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0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1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14435.924267818025</v>
      </c>
      <c r="J284" s="322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13665.483206045788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0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1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0</v>
      </c>
      <c r="J285" s="322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0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0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1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0</v>
      </c>
      <c r="J286" s="322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0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0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1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0</v>
      </c>
      <c r="J287" s="322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0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0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1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0</v>
      </c>
      <c r="J288" s="322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0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0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1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0</v>
      </c>
      <c r="J289" s="322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0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0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1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0</v>
      </c>
      <c r="J290" s="322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0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0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1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39242.859198923972</v>
      </c>
      <c r="J291" s="322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51809.020165855371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0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1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-131591.62354568639</v>
      </c>
      <c r="J292" s="322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-169307.06534868278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0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1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2253.0055215669754</v>
      </c>
      <c r="J293" s="322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2898.7388618885007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0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1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0</v>
      </c>
      <c r="J294" s="322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0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0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1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0</v>
      </c>
      <c r="J295" s="322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0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0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1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0</v>
      </c>
      <c r="J296" s="322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0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0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1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0</v>
      </c>
      <c r="J297" s="322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0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0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1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0</v>
      </c>
      <c r="J298" s="322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0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0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1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0</v>
      </c>
      <c r="J299" s="322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0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0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1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106219.00380413508</v>
      </c>
      <c r="J300" s="322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103176.4358719758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0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1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56297.062865107669</v>
      </c>
      <c r="J301" s="322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54786.687448019147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0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1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-3940876.3707860494</v>
      </c>
      <c r="J302" s="322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-3730552.9499164801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0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1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51201.990898358767</v>
      </c>
      <c r="J303" s="322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48469.355599036404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0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1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0</v>
      </c>
      <c r="J304" s="322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0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0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1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0</v>
      </c>
      <c r="J305" s="322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0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0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1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0</v>
      </c>
      <c r="J306" s="322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0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0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1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0</v>
      </c>
      <c r="J307" s="322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0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0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1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0</v>
      </c>
      <c r="J308" s="322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0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0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1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0</v>
      </c>
      <c r="J309" s="322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0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0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1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0</v>
      </c>
      <c r="J310" s="322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0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0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1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0</v>
      </c>
      <c r="J311" s="322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0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0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1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9117.642812089056</v>
      </c>
      <c r="J312" s="322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12037.250851730512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0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1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4832.4357430453692</v>
      </c>
      <c r="J313" s="322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6391.7802022689002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0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1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-338277.53818597022</v>
      </c>
      <c r="J314" s="322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-435231.17749025609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0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1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7991.0621633276696</v>
      </c>
      <c r="J315" s="322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10281.37846040166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0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1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0</v>
      </c>
      <c r="J316" s="322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0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0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1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0</v>
      </c>
      <c r="J317" s="322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0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0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1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0</v>
      </c>
      <c r="J318" s="322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0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0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1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0</v>
      </c>
      <c r="J319" s="322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0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0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1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0</v>
      </c>
      <c r="J320" s="322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0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0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1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0</v>
      </c>
      <c r="J321" s="322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0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0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1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0</v>
      </c>
      <c r="J322" s="322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0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0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1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0</v>
      </c>
      <c r="J323" s="322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0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0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1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499931.07703276828</v>
      </c>
      <c r="J324" s="322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485610.90635902929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0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1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82416.378222762214</v>
      </c>
      <c r="J325" s="322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80205.256269004298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0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1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-4895634.6956337448</v>
      </c>
      <c r="J326" s="322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-4634356.1018299861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0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1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74207.846884858955</v>
      </c>
      <c r="J327" s="322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70247.395771018098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0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1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0</v>
      </c>
      <c r="J328" s="322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0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0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1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0</v>
      </c>
      <c r="J329" s="322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0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0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1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0</v>
      </c>
      <c r="J330" s="322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0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0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1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0</v>
      </c>
      <c r="J331" s="322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0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0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1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0</v>
      </c>
      <c r="J332" s="322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0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0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1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0</v>
      </c>
      <c r="J333" s="322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0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0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1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0</v>
      </c>
      <c r="J334" s="322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0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0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1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0</v>
      </c>
      <c r="J335" s="322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0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0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1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44473.637430834126</v>
      </c>
      <c r="J336" s="322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58714.773223409902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0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1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7331.7228950769395</v>
      </c>
      <c r="J337" s="322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9697.5446216159726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0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1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-435513.39864626201</v>
      </c>
      <c r="J338" s="322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-560335.78322126181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0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1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11581.571479139839</v>
      </c>
      <c r="J339" s="322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14900.962739306869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0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1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0</v>
      </c>
      <c r="J340" s="322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0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0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1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0</v>
      </c>
      <c r="J341" s="322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0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0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1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0</v>
      </c>
      <c r="J342" s="322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0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0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1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0</v>
      </c>
      <c r="J343" s="322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0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0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1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0</v>
      </c>
      <c r="J344" s="322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0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0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1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0</v>
      </c>
      <c r="J345" s="322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0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0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1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0</v>
      </c>
      <c r="J346" s="322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0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0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1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0</v>
      </c>
      <c r="J347" s="322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0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0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1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124081.22509959503</v>
      </c>
      <c r="J348" s="322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120527.00652334843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0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1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-254644.30524170623</v>
      </c>
      <c r="J349" s="322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-241054.01304669687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0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1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4550.4806956897291</v>
      </c>
      <c r="J350" s="322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4307.622870051443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0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1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0</v>
      </c>
      <c r="J351" s="322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0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0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1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0</v>
      </c>
      <c r="J352" s="322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0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0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1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0</v>
      </c>
      <c r="J353" s="322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0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0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1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0</v>
      </c>
      <c r="J354" s="322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0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0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1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0</v>
      </c>
      <c r="J355" s="322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0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0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1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0</v>
      </c>
      <c r="J356" s="322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0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0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1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11038.208406258771</v>
      </c>
      <c r="J357" s="322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14572.810788732129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0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1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-22653.039639710165</v>
      </c>
      <c r="J358" s="322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-29145.621577464259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0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1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710.1906288070677</v>
      </c>
      <c r="J359" s="322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913.73818455636683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0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1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0</v>
      </c>
      <c r="J360" s="322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0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0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1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0</v>
      </c>
      <c r="J361" s="322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0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0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1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0</v>
      </c>
      <c r="J362" s="322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0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0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1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0</v>
      </c>
      <c r="J363" s="322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0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0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1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0</v>
      </c>
      <c r="J364" s="322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0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0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1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0</v>
      </c>
      <c r="J365" s="322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0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0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1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28770.867836586553</v>
      </c>
      <c r="J366" s="322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27946.746759143502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0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1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-132045.40089179648</v>
      </c>
      <c r="J367" s="322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-124998.17641362365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0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1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2163.0075065446999</v>
      </c>
      <c r="J368" s="322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2047.5684276851164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0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1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0</v>
      </c>
      <c r="J369" s="322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0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0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1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0</v>
      </c>
      <c r="J370" s="322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0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0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1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0</v>
      </c>
      <c r="J371" s="322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0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0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1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0</v>
      </c>
      <c r="J372" s="322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0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0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1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0</v>
      </c>
      <c r="J373" s="322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0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0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1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0</v>
      </c>
      <c r="J374" s="322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0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0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1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2559.4430982951849</v>
      </c>
      <c r="J375" s="322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3379.0157445146228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0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1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-11746.697801877153</v>
      </c>
      <c r="J376" s="322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-15113.415875465404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0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1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337.57920622373922</v>
      </c>
      <c r="J377" s="322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434.33269678169131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0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1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0</v>
      </c>
      <c r="J378" s="322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0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0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1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0</v>
      </c>
      <c r="J379" s="322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0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0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1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0</v>
      </c>
      <c r="J380" s="322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0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0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1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0</v>
      </c>
      <c r="J381" s="322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0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0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1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0</v>
      </c>
      <c r="J382" s="322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0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0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1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0</v>
      </c>
      <c r="J383" s="322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0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0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1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531693.31832281977</v>
      </c>
      <c r="J384" s="322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393554.09450900235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0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1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-1798341.4541781428</v>
      </c>
      <c r="J385" s="322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-1297231.5067209515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0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1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70699.79334587176</v>
      </c>
      <c r="J386" s="322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50999.213321721043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0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1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0</v>
      </c>
      <c r="J387" s="322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0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0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1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0</v>
      </c>
      <c r="J388" s="322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0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0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1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0</v>
      </c>
      <c r="J389" s="322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0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0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1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0</v>
      </c>
      <c r="J390" s="322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0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0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1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0</v>
      </c>
      <c r="J391" s="322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0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0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1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0</v>
      </c>
      <c r="J392" s="322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0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0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1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82981.038119746445</v>
      </c>
      <c r="J393" s="322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83481.17156251565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0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1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-280666.00729947898</v>
      </c>
      <c r="J394" s="322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-275170.31960747461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0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1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11034.071793864379</v>
      </c>
      <c r="J395" s="322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10818.014947031736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0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1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0</v>
      </c>
      <c r="J396" s="322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0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0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1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0</v>
      </c>
      <c r="J397" s="322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0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0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1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0</v>
      </c>
      <c r="J398" s="322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0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0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1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0</v>
      </c>
      <c r="J399" s="322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0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0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1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0</v>
      </c>
      <c r="J400" s="322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0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0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1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0</v>
      </c>
      <c r="J401" s="322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0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0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1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22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165791.82373780277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0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1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22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179607.80904928633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0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1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22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0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1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22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3" customFormat="1" x14ac:dyDescent="0.25">
      <c r="A406" s="173" t="str">
        <f>IF('[1]Processer - data'!A406&lt;&gt;"",'[1]Processer - data'!A406,"")</f>
        <v>Mejeri</v>
      </c>
      <c r="B406" s="173" t="str">
        <f>IF('[1]Processer - data'!B406&lt;&gt;"",'[1]Processer - data'!B406,"")</f>
        <v/>
      </c>
      <c r="C406" s="173" t="str">
        <f>IF('[1]Processer - data'!C406&lt;&gt;"",'[1]Processer - data'!C406,"")</f>
        <v/>
      </c>
      <c r="D406" s="173" t="str">
        <f>IF('[1]Processer - data'!D406&lt;&gt;"",'[1]Processer - data'!D406,"")</f>
        <v>Råmælk</v>
      </c>
      <c r="E406" s="173" t="str">
        <f>IF('[1]Processer - data'!E406&lt;&gt;"",'[1]Processer - data'!E406,"")</f>
        <v>Ton</v>
      </c>
      <c r="F406" s="173" t="str">
        <f>IF('[1]Processer - data'!F406&lt;&gt;"",'[1]Processer - data'!F406,"")</f>
        <v>Industriaffald</v>
      </c>
      <c r="G406" s="173" t="str">
        <f>IF('[1]Processer - data'!G406&lt;&gt;"",'[1]Processer - data'!G406,"")</f>
        <v>Ton</v>
      </c>
      <c r="H406" s="320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1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22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0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1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22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0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1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22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0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1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22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0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1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22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0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1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22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0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1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22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0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1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22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0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1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22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0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1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22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0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1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22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26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27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28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5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96">
        <f>SUMIFS('Forbrug af biomasse'!$E$1:$E$425,'Forbrug af biomasse'!$A$1:$A$425,$F418,'Forbrug af biomasse'!$C$1:$C$425,$D418,'Forbrug af biomasse'!$B$1:$B$425,$A$1,'Forbrug af biomasse'!$D$1:$D$425,I$2)*'[1]Processer - data'!I418</f>
        <v>672201907.71425998</v>
      </c>
      <c r="J418" s="297">
        <f>SUMIFS('Forbrug af biomasse'!$E$1:$E$425,'Forbrug af biomasse'!$A$1:$A$425,$F418,'Forbrug af biomasse'!$C$1:$C$425,$D418,'Forbrug af biomasse'!$B$1:$B$425,$A$1,'Forbrug af biomasse'!$D$1:$D$425,J$2)*'[1]Processer - data'!J418</f>
        <v>672201907.71425998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98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99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300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98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99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0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98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99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300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98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99">
        <f>SUMIFS('Forbrug af biomasse'!$E$1:$E$425,'Forbrug af biomasse'!$A$1:$A$425,$F422,'Forbrug af biomasse'!$C$1:$C$425,$D422,'Forbrug af biomasse'!$B$1:$B$425,$A$1,'Forbrug af biomasse'!$D$1:$D$425,I$2)*'[1]Processer - data'!I422</f>
        <v>16236761.055900002</v>
      </c>
      <c r="J422" s="300">
        <f>SUMIFS('Forbrug af biomasse'!$E$1:$E$425,'Forbrug af biomasse'!$A$1:$A$425,$F422,'Forbrug af biomasse'!$C$1:$C$425,$D422,'Forbrug af biomasse'!$B$1:$B$425,$A$1,'Forbrug af biomasse'!$D$1:$D$425,J$2)*'[1]Processer - data'!J422</f>
        <v>16236761.0559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98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99">
        <f>SUMIFS('Forbrug af biomasse'!$E$1:$E$425,'Forbrug af biomasse'!$A$1:$A$425,$F423,'Forbrug af biomasse'!$C$1:$C$425,$D423,'Forbrug af biomasse'!$B$1:$B$425,$A$1,'Forbrug af biomasse'!$D$1:$D$425,I$2)*'[1]Processer - data'!I423</f>
        <v>184034554.9711071</v>
      </c>
      <c r="J423" s="300">
        <f>SUMIFS('Forbrug af biomasse'!$E$1:$E$425,'Forbrug af biomasse'!$A$1:$A$425,$F423,'Forbrug af biomasse'!$C$1:$C$425,$D423,'Forbrug af biomasse'!$B$1:$B$425,$A$1,'Forbrug af biomasse'!$D$1:$D$425,J$2)*'[1]Processer - data'!J423</f>
        <v>184034554.97110707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98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99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300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98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99">
        <f>SUMIFS('Forbrug af biomasse'!$E$1:$E$425,'Forbrug af biomasse'!$A$1:$A$425,$F425,'Forbrug af biomasse'!$C$1:$C$425,$D425,'Forbrug af biomasse'!$B$1:$B$425,$A$1,'Forbrug af biomasse'!$D$1:$D$425,I$2)*'[1]Processer - data'!I425</f>
        <v>1623676.1055900003</v>
      </c>
      <c r="J425" s="300">
        <f>SUMIFS('Forbrug af biomasse'!$E$1:$E$425,'Forbrug af biomasse'!$A$1:$A$425,$F425,'Forbrug af biomasse'!$C$1:$C$425,$D425,'Forbrug af biomasse'!$B$1:$B$425,$A$1,'Forbrug af biomasse'!$D$1:$D$425,J$2)*'[1]Processer - data'!J425</f>
        <v>1623676.1055900001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98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99">
        <f>SUMIFS('Forbrug af biomasse'!$E$1:$E$425,'Forbrug af biomasse'!$A$1:$A$425,$F426,'Forbrug af biomasse'!$C$1:$C$425,$D426,'Forbrug af biomasse'!$B$1:$B$425,$A$1,'Forbrug af biomasse'!$D$1:$D$425,I$2)*'[1]Processer - data'!I426</f>
        <v>8118380.5279500009</v>
      </c>
      <c r="J426" s="300">
        <f>SUMIFS('Forbrug af biomasse'!$E$1:$E$425,'Forbrug af biomasse'!$A$1:$A$425,$F426,'Forbrug af biomasse'!$C$1:$C$425,$D426,'Forbrug af biomasse'!$B$1:$B$425,$A$1,'Forbrug af biomasse'!$D$1:$D$425,J$2)*'[1]Processer - data'!J426</f>
        <v>8118380.52795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98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99">
        <f>SUMIFS('Forbrug af biomasse'!$E$1:$E$425,'Forbrug af biomasse'!$A$1:$A$425,$F427,'Forbrug af biomasse'!$C$1:$C$425,$D427,'Forbrug af biomasse'!$B$1:$B$425,$A$1,'Forbrug af biomasse'!$D$1:$D$425,I$2)*'[1]Processer - data'!I427</f>
        <v>215948922.04347003</v>
      </c>
      <c r="J427" s="300">
        <f>SUMIFS('Forbrug af biomasse'!$E$1:$E$425,'Forbrug af biomasse'!$A$1:$A$425,$F427,'Forbrug af biomasse'!$C$1:$C$425,$D427,'Forbrug af biomasse'!$B$1:$B$425,$A$1,'Forbrug af biomasse'!$D$1:$D$425,J$2)*'[1]Processer - data'!J427</f>
        <v>215948922.04347003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98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99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300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98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197525.08565633922</v>
      </c>
      <c r="J429" s="300">
        <f>SUMIFS('Forbrug af biomasse'!$E$1:$E$425,'Forbrug af biomasse'!$A$1:$A$425,$F429,'Forbrug af biomasse'!$C$1:$C$425,$D429,'Forbrug af biomasse'!$B$1:$B$425,$A$1,'Forbrug af biomasse'!$D$1:$D$425,J$2)*'[1]Processer - data'!J429</f>
        <v>197525.08565633916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98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852476.6854642008</v>
      </c>
      <c r="J430" s="300">
        <f>SUMIFS('Forbrug af biomasse'!$E$1:$E$425,'Forbrug af biomasse'!$A$1:$A$425,$F430,'Forbrug af biomasse'!$C$1:$C$425,$D430,'Forbrug af biomasse'!$B$1:$B$425,$A$1,'Forbrug af biomasse'!$D$1:$D$425,J$2)*'[1]Processer - data'!J430</f>
        <v>852476.68546420056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98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99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300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98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99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300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98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99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0</v>
      </c>
      <c r="J433" s="300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0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98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99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0</v>
      </c>
      <c r="J434" s="300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0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98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99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0</v>
      </c>
      <c r="J435" s="300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0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98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99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17037538.736734197</v>
      </c>
      <c r="J436" s="300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20075495.439717792</v>
      </c>
    </row>
    <row r="437" spans="1:10" s="173" customFormat="1" x14ac:dyDescent="0.25">
      <c r="A437" s="173" t="str">
        <f>IF('[1]Processer - data'!A437&lt;&gt;"",'[1]Processer - data'!A437,"")</f>
        <v>Biogasanlæg</v>
      </c>
      <c r="B437" s="173" t="str">
        <f>IF('[1]Processer - data'!B437&lt;&gt;"",'[1]Processer - data'!B437,"")</f>
        <v/>
      </c>
      <c r="C437" s="173" t="str">
        <f>IF('[1]Processer - data'!C437&lt;&gt;"",'[1]Processer - data'!C437,"")</f>
        <v/>
      </c>
      <c r="D437" s="173" t="str">
        <f>IF('[1]Processer - data'!D437&lt;&gt;"",'[1]Processer - data'!D437,"")</f>
        <v>Svinegylle</v>
      </c>
      <c r="E437" s="173" t="str">
        <f>IF('[1]Processer - data'!E437&lt;&gt;"",'[1]Processer - data'!E437,"")</f>
        <v>Ton</v>
      </c>
      <c r="F437" s="173" t="str">
        <f>IF('[1]Processer - data'!F437&lt;&gt;"",'[1]Processer - data'!F437,"")</f>
        <v>CO2 - atmosfære</v>
      </c>
      <c r="G437" s="173" t="str">
        <f>IF('[1]Processer - data'!G437&lt;&gt;"",'[1]Processer - data'!G437,"")</f>
        <v>t CO2-ækvivalenter</v>
      </c>
      <c r="H437" s="304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5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-18070.581566225006</v>
      </c>
      <c r="J437" s="306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-21292.739722060134</v>
      </c>
    </row>
    <row r="438" spans="1:10" x14ac:dyDescent="0.25">
      <c r="A438" s="173" t="str">
        <f>IF('[1]Processer - data'!A438&lt;&gt;"",'[1]Processer - data'!A438,"")</f>
        <v>Biogasanlæg</v>
      </c>
      <c r="B438" s="173" t="str">
        <f>IF('[1]Processer - data'!B438&lt;&gt;"",'[1]Processer - data'!B438,"")</f>
        <v/>
      </c>
      <c r="C438" s="173" t="str">
        <f>IF('[1]Processer - data'!C438&lt;&gt;"",'[1]Processer - data'!C438,"")</f>
        <v/>
      </c>
      <c r="D438" s="173" t="str">
        <f>IF('[1]Processer - data'!D438&lt;&gt;"",'[1]Processer - data'!D438,"")</f>
        <v>Kvæggylle</v>
      </c>
      <c r="E438" s="173" t="str">
        <f>IF('[1]Processer - data'!E438&lt;&gt;"",'[1]Processer - data'!E438,"")</f>
        <v>Ton</v>
      </c>
      <c r="F438" s="173" t="str">
        <f>IF('[1]Processer - data'!F438&lt;&gt;"",'[1]Processer - data'!F438,"")</f>
        <v>Biogas</v>
      </c>
      <c r="G438" s="173" t="str">
        <f>IF('[1]Processer - data'!G438&lt;&gt;"",'[1]Processer - data'!G438,"")</f>
        <v>Nm3 CH4</v>
      </c>
      <c r="H438" s="298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99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300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10210164.267942498</v>
      </c>
    </row>
    <row r="439" spans="1:10" s="173" customFormat="1" x14ac:dyDescent="0.25">
      <c r="A439" s="173" t="str">
        <f>IF('[1]Processer - data'!A439&lt;&gt;"",'[1]Processer - data'!A439,"")</f>
        <v>Biogasanlæg</v>
      </c>
      <c r="B439" s="173" t="str">
        <f>IF('[1]Processer - data'!B439&lt;&gt;"",'[1]Processer - data'!B439,"")</f>
        <v/>
      </c>
      <c r="C439" s="173" t="str">
        <f>IF('[1]Processer - data'!C439&lt;&gt;"",'[1]Processer - data'!C439,"")</f>
        <v/>
      </c>
      <c r="D439" s="173" t="str">
        <f>IF('[1]Processer - data'!D439&lt;&gt;"",'[1]Processer - data'!D439,"")</f>
        <v>Kvæggylle</v>
      </c>
      <c r="E439" s="173" t="str">
        <f>IF('[1]Processer - data'!E439&lt;&gt;"",'[1]Processer - data'!E439,"")</f>
        <v>Ton</v>
      </c>
      <c r="F439" s="173" t="str">
        <f>IF('[1]Processer - data'!F439&lt;&gt;"",'[1]Processer - data'!F439,"")</f>
        <v>CO2 - atmosfære</v>
      </c>
      <c r="G439" s="173" t="str">
        <f>IF('[1]Processer - data'!G439&lt;&gt;"",'[1]Processer - data'!G439,"")</f>
        <v>t CO2-ækvivalenter</v>
      </c>
      <c r="H439" s="304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5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306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-21308.362819281807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98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99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5962.2193926765576</v>
      </c>
      <c r="J440" s="300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7578.0712044224374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98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99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16112479.931648167</v>
      </c>
      <c r="J441" s="300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18098789.136767995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98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99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0</v>
      </c>
      <c r="J442" s="300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0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98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99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0</v>
      </c>
      <c r="J443" s="300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0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98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99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0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98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99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300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98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99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0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98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99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0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98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99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10974839.619511571</v>
      </c>
      <c r="J448" s="300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11019408.79694654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98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99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7168.553945948961</v>
      </c>
      <c r="J449" s="300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11469.686313518336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98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99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0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98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99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23241175.930811424</v>
      </c>
      <c r="J451" s="300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38923130.189237446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4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5">
        <f ca="1">SUMIFS('Forbrug af biomasse'!$E$1:$E$425,'Forbrug af biomasse'!$A$1:$A$425,"Biogas",'Forbrug af biomasse'!$B$1:$B$425,$A$1,'Forbrug af biomasse'!$D$1:$D$425,I$2)*'[1]Processer - data'!I452</f>
        <v>4316103.8219465185</v>
      </c>
      <c r="J452" s="306">
        <f ca="1">SUMIFS('Forbrug af biomasse'!$E$1:$E$425,'Forbrug af biomasse'!$A$1:$A$425,"Biogas",'Forbrug af biomasse'!$B$1:$B$425,$A$1,'Forbrug af biomasse'!$D$1:$D$425,J$2)*'[1]Processer - data'!J452</f>
        <v>5642114.2310847286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4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5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4051876.1995694791</v>
      </c>
      <c r="J453" s="306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2216669.2881355053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4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5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306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959465.79113644012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4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5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1298.8745711585452</v>
      </c>
      <c r="J455" s="306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766.4843012106661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4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5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474423.0202096405</v>
      </c>
      <c r="J456" s="306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399681.59343695984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4">
        <f ca="1">H452*'[1]Processer - data'!H$457*Biogasanlæg!AA$3</f>
        <v>12612124.648502612</v>
      </c>
      <c r="I457" s="305">
        <f ca="1">I452*'[1]Processer - data'!I$457*Biogasanlæg!AB$3</f>
        <v>25869354.224222131</v>
      </c>
      <c r="J457" s="306">
        <f ca="1">J452*'[1]Processer - data'!J$457*Biogasanlæg!AC$3</f>
        <v>31529993.487329111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4">
        <f ca="1">-SUMIFS('Resultater - Østdanmark'!H$3:H$482,'Resultater - Østdanmark'!$F$3:$F$482,"Gødning",'Resultater - Østdanmark'!$A$3:$A$482,"&lt;&gt;Gødning")-SUM(H453:H457)</f>
        <v>62055543.764534786</v>
      </c>
      <c r="I458" s="305">
        <f ca="1">-SUMIFS('Resultater - Østdanmark'!I$3:I$482,'Resultater - Østdanmark'!$F$3:$F$482,"Gødning",'Resultater - Østdanmark'!$A$3:$A$482,"&lt;&gt;Gødning")-SUM(I453:I457)</f>
        <v>45469845.360991284</v>
      </c>
      <c r="J458" s="306">
        <f ca="1">-SUMIFS('Resultater - Østdanmark'!J$3:J$482,'Resultater - Østdanmark'!$F$3:$F$482,"Gødning",'Resultater - Østdanmark'!$A$3:$A$482,"&lt;&gt;Gødning")-SUM(J453:J457)</f>
        <v>41233371.748665996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07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09">
        <f>SUMIFS('Forbrug af biomasse'!$E$1:$E$425,'Forbrug af biomasse'!$A$1:$A$425,$F459,'Forbrug af biomasse'!$C$1:$C$425,$D459,'Forbrug af biomasse'!$B$1:$B$425,$A$1,'Forbrug af biomasse'!$D$1:$D$425,I$2)*'[1]Processer - data'!I459</f>
        <v>0</v>
      </c>
      <c r="J459" s="310">
        <f>SUMIFS('Forbrug af biomasse'!$E$1:$E$425,'Forbrug af biomasse'!$A$1:$A$425,$F459,'Forbrug af biomasse'!$C$1:$C$425,$D459,'Forbrug af biomasse'!$B$1:$B$425,$A$1,'Forbrug af biomasse'!$D$1:$D$425,J$2)*'[1]Processer - data'!J459</f>
        <v>0.11270110600590644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07">
        <f>SUMIFS('Forbrug af biomasse'!$E$1:$E$425,'Forbrug af biomasse'!$A$1:$A$425,$F460,'Forbrug af biomasse'!$C$1:$C$425,$D460,'Forbrug af biomasse'!$B$1:$B$425,$A$1,'Forbrug af biomasse'!$D$1:$D$425,H$2)*'[1]Processer - data'!H460</f>
        <v>2.1680302826975351</v>
      </c>
      <c r="I460" s="309">
        <f>SUMIFS('Forbrug af biomasse'!$E$1:$E$425,'Forbrug af biomasse'!$A$1:$A$425,$F460,'Forbrug af biomasse'!$C$1:$C$425,$D460,'Forbrug af biomasse'!$B$1:$B$425,$A$1,'Forbrug af biomasse'!$D$1:$D$425,I$2)*'[1]Processer - data'!I460</f>
        <v>1.2917704421017104</v>
      </c>
      <c r="J460" s="310">
        <f>SUMIFS('Forbrug af biomasse'!$E$1:$E$425,'Forbrug af biomasse'!$A$1:$A$425,$F460,'Forbrug af biomasse'!$C$1:$C$425,$D460,'Forbrug af biomasse'!$B$1:$B$425,$A$1,'Forbrug af biomasse'!$D$1:$D$425,J$2)*'[1]Processer - data'!J460</f>
        <v>1.2903932913055105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07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09">
        <f>SUMIFS('Forbrug af biomasse'!$E$1:$E$425,'Forbrug af biomasse'!$A$1:$A$425,$F461,'Forbrug af biomasse'!$C$1:$C$425,$D461,'Forbrug af biomasse'!$B$1:$B$425,$A$1,'Forbrug af biomasse'!$D$1:$D$425,I$2)*'[1]Processer - data'!I461</f>
        <v>0.57647772120182383</v>
      </c>
      <c r="J461" s="310">
        <f>SUMIFS('Forbrug af biomasse'!$E$1:$E$425,'Forbrug af biomasse'!$A$1:$A$425,$F461,'Forbrug af biomasse'!$C$1:$C$425,$D461,'Forbrug af biomasse'!$B$1:$B$425,$A$1,'Forbrug af biomasse'!$D$1:$D$425,J$2)*'[1]Processer - data'!J461</f>
        <v>0.57639403006730938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07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09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310">
        <f>SUMIFS('Forbrug af biomasse'!$E$1:$E$425,'Forbrug af biomasse'!$A$1:$A$425,$F462,'Forbrug af biomasse'!$C$1:$C$425,$D462,'Forbrug af biomasse'!$B$1:$B$425,$A$1,'Forbrug af biomasse'!$D$1:$D$425,J$2)*'[1]Processer - data'!J462</f>
        <v>8.6255311199386124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07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09">
        <f>SUMIFS('Forbrug af biomasse'!$E$1:$E$425,'Forbrug af biomasse'!$A$1:$A$425,$F463,'Forbrug af biomasse'!$C$1:$C$425,$D463,'Forbrug af biomasse'!$B$1:$B$425,$A$1,'Forbrug af biomasse'!$D$1:$D$425,I$2)*'[1]Processer - data'!I463</f>
        <v>3.9997664879088046</v>
      </c>
      <c r="J463" s="310">
        <f>SUMIFS('Forbrug af biomasse'!$E$1:$E$425,'Forbrug af biomasse'!$A$1:$A$425,$F463,'Forbrug af biomasse'!$C$1:$C$425,$D463,'Forbrug af biomasse'!$B$1:$B$425,$A$1,'Forbrug af biomasse'!$D$1:$D$425,J$2)*'[1]Processer - data'!J463</f>
        <v>4.0160096685363476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07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09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0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3" customFormat="1" x14ac:dyDescent="0.25">
      <c r="A465" s="173" t="str">
        <f>IF('[1]Processer - data'!A465&lt;&gt;"",'[1]Processer - data'!A465,"")</f>
        <v>Til energi</v>
      </c>
      <c r="B465" s="173" t="str">
        <f>IF('[1]Processer - data'!B465&lt;&gt;"",'[1]Processer - data'!B465,"")</f>
        <v/>
      </c>
      <c r="C465" s="173" t="str">
        <f>IF('[1]Processer - data'!C465&lt;&gt;"",'[1]Processer - data'!C465,"")</f>
        <v/>
      </c>
      <c r="D465" s="173" t="str">
        <f>IF('[1]Processer - data'!D465&lt;&gt;"",'[1]Processer - data'!D465,"")</f>
        <v>Pyrolyseolie</v>
      </c>
      <c r="E465" s="173" t="str">
        <f>IF('[1]Processer - data'!E465&lt;&gt;"",'[1]Processer - data'!E465,"")</f>
        <v>Ton</v>
      </c>
      <c r="F465" s="173" t="str">
        <f>IF('[1]Processer - data'!F465&lt;&gt;"",'[1]Processer - data'!F465,"")</f>
        <v>Energi</v>
      </c>
      <c r="G465" s="173" t="str">
        <f>IF('[1]Processer - data'!G465&lt;&gt;"",'[1]Processer - data'!G465,"")</f>
        <v>PJ</v>
      </c>
      <c r="H465" s="307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09">
        <f>SUMIFS('Forbrug af biomasse'!$E$1:$E$425,'Forbrug af biomasse'!$A$1:$A$425,$F465,'Forbrug af biomasse'!$C$1:$C$425,$D465,'Forbrug af biomasse'!$B$1:$B$425,$A$1,'Forbrug af biomasse'!$D$1:$D$425,I$2)*'[1]Processer - data'!I465</f>
        <v>2.0962839375539413</v>
      </c>
      <c r="J465" s="310">
        <f>SUMIFS('Forbrug af biomasse'!$E$1:$E$425,'Forbrug af biomasse'!$A$1:$A$425,$F465,'Forbrug af biomasse'!$C$1:$C$425,$D465,'Forbrug af biomasse'!$B$1:$B$425,$A$1,'Forbrug af biomasse'!$D$1:$D$425,J$2)*'[1]Processer - data'!J465</f>
        <v>2.1238641547941377</v>
      </c>
    </row>
    <row r="466" spans="1:10" s="173" customFormat="1" x14ac:dyDescent="0.25">
      <c r="A466" s="173" t="str">
        <f>IF('[1]Processer - data'!A466&lt;&gt;"",'[1]Processer - data'!A466,"")</f>
        <v>Til energi</v>
      </c>
      <c r="B466" s="173" t="str">
        <f>IF('[1]Processer - data'!B466&lt;&gt;"",'[1]Processer - data'!B466,"")</f>
        <v/>
      </c>
      <c r="C466" s="173" t="str">
        <f>IF('[1]Processer - data'!C466&lt;&gt;"",'[1]Processer - data'!C466,"")</f>
        <v/>
      </c>
      <c r="D466" s="173" t="str">
        <f>IF('[1]Processer - data'!D466&lt;&gt;"",'[1]Processer - data'!D466,"")</f>
        <v>Pyrolysegas</v>
      </c>
      <c r="E466" s="173" t="str">
        <f>IF('[1]Processer - data'!E466&lt;&gt;"",'[1]Processer - data'!E466,"")</f>
        <v>Ton</v>
      </c>
      <c r="F466" s="173" t="str">
        <f>IF('[1]Processer - data'!F466&lt;&gt;"",'[1]Processer - data'!F466,"")</f>
        <v>Energi</v>
      </c>
      <c r="G466" s="173" t="str">
        <f>IF('[1]Processer - data'!G466&lt;&gt;"",'[1]Processer - data'!G466,"")</f>
        <v>PJ</v>
      </c>
      <c r="H466" s="307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09">
        <f>SUMIFS('Forbrug af biomasse'!$E$1:$E$425,'Forbrug af biomasse'!$A$1:$A$425,$F466,'Forbrug af biomasse'!$C$1:$C$425,$D466,'Forbrug af biomasse'!$B$1:$B$425,$A$1,'Forbrug af biomasse'!$D$1:$D$425,I$2)*'[1]Processer - data'!I466</f>
        <v>2.258672129899669</v>
      </c>
      <c r="J466" s="310">
        <f>SUMIFS('Forbrug af biomasse'!$E$1:$E$425,'Forbrug af biomasse'!$A$1:$A$425,$F466,'Forbrug af biomasse'!$C$1:$C$425,$D466,'Forbrug af biomasse'!$B$1:$B$425,$A$1,'Forbrug af biomasse'!$D$1:$D$425,J$2)*'[1]Processer - data'!J466</f>
        <v>2.2883888428415706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4">
        <f ca="1">SUM(H433:H451)*'[1]Processer - data'!$H$467</f>
        <v>3.924088547650185</v>
      </c>
      <c r="I467" s="305">
        <f ca="1">SUM(I433:I451)*'[1]Processer - data'!$H$467</f>
        <v>4.515658630284249</v>
      </c>
      <c r="J467" s="306">
        <f ca="1">SUM(J433:J451)*'[1]Processer - data'!$H$467</f>
        <v>5.2842457422157354</v>
      </c>
    </row>
    <row r="468" spans="1:10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98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99">
        <f>SUMIFS('Forbrug af biomasse'!$E$1:$E$425,'Forbrug af biomasse'!$A$1:$A$425,$A468,'Forbrug af biomasse'!$C$1:$C$425,$D468,'Forbrug af biomasse'!$B$1:$B$425,$A$1,'Forbrug af biomasse'!$D$1:$D$425,I$2)*'[1]Processer - data'!I468</f>
        <v>309.99152198698209</v>
      </c>
      <c r="J468" s="300">
        <f>SUMIFS('Forbrug af biomasse'!$E$1:$E$425,'Forbrug af biomasse'!$A$1:$A$425,$A468,'Forbrug af biomasse'!$C$1:$C$425,$D468,'Forbrug af biomasse'!$B$1:$B$425,$A$1,'Forbrug af biomasse'!$D$1:$D$425,J$2)*'[1]Processer - data'!J468</f>
        <v>309.99152198698204</v>
      </c>
    </row>
    <row r="469" spans="1:10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98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99">
        <f>SUMIFS('Forbrug af biomasse'!$E$1:$E$425,'Forbrug af biomasse'!$A$1:$A$425,$A469,'Forbrug af biomasse'!$C$1:$C$425,$D469,'Forbrug af biomasse'!$B$1:$B$425,$A$1,'Forbrug af biomasse'!$D$1:$D$425,I$2)*'[1]Processer - data'!I469</f>
        <v>638.21783938496321</v>
      </c>
      <c r="J469" s="300">
        <f>SUMIFS('Forbrug af biomasse'!$E$1:$E$425,'Forbrug af biomasse'!$A$1:$A$425,$A469,'Forbrug af biomasse'!$C$1:$C$425,$D469,'Forbrug af biomasse'!$B$1:$B$425,$A$1,'Forbrug af biomasse'!$D$1:$D$425,J$2)*'[1]Processer - data'!J469</f>
        <v>638.2178393849631</v>
      </c>
    </row>
    <row r="470" spans="1:10" ht="15.75" thickBot="1" x14ac:dyDescent="0.3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98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99">
        <f>SUMIFS('Forbrug af biomasse'!$E$1:$E$425,'Forbrug af biomasse'!$A$1:$A$425,$A470,'Forbrug af biomasse'!$C$1:$C$425,$D470,'Forbrug af biomasse'!$B$1:$B$425,$A$1,'Forbrug af biomasse'!$D$1:$D$425,I$2)*'[1]Processer - data'!I470</f>
        <v>906.12419784072335</v>
      </c>
      <c r="J470" s="300">
        <f>SUMIFS('Forbrug af biomasse'!$E$1:$E$425,'Forbrug af biomasse'!$A$1:$A$425,$A470,'Forbrug af biomasse'!$C$1:$C$425,$D470,'Forbrug af biomasse'!$B$1:$B$425,$A$1,'Forbrug af biomasse'!$D$1:$D$425,J$2)*'[1]Processer - data'!J470</f>
        <v>906.12419784072324</v>
      </c>
    </row>
    <row r="471" spans="1:10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23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4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57668.323308112071</v>
      </c>
      <c r="J471" s="325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57606.843361853156</v>
      </c>
    </row>
    <row r="472" spans="1:10" ht="15.75" thickBot="1" x14ac:dyDescent="0.3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20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1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36907.726917191729</v>
      </c>
      <c r="J472" s="322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36868.379751586021</v>
      </c>
    </row>
    <row r="473" spans="1:10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95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96">
        <f>SUMIFS('Forbrug af biomasse'!$E$1:$E$425,'Forbrug af biomasse'!$A$1:$A$425,$A473,'Forbrug af biomasse'!$C$1:$C$425,$D473,'Forbrug af biomasse'!$B$1:$B$425,$A$1,'Forbrug af biomasse'!$D$1:$D$425,I$2)*'[1]Processer - data'!I473</f>
        <v>-293750.99834897922</v>
      </c>
      <c r="J473" s="297">
        <f>SUMIFS('Forbrug af biomasse'!$E$1:$E$425,'Forbrug af biomasse'!$A$1:$A$425,$A473,'Forbrug af biomasse'!$C$1:$C$425,$D473,'Forbrug af biomasse'!$B$1:$B$425,$A$1,'Forbrug af biomasse'!$D$1:$D$425,J$2)*'[1]Processer - data'!J473</f>
        <v>-297615.79748417798</v>
      </c>
    </row>
    <row r="474" spans="1:10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98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99">
        <f>SUMIFS('Forbrug af biomasse'!$E$1:$E$425,'Forbrug af biomasse'!$A$1:$A$425,$A474,'Forbrug af biomasse'!$C$1:$C$425,$D474,'Forbrug af biomasse'!$B$1:$B$425,$A$1,'Forbrug af biomasse'!$D$1:$D$425,I$2)*'[1]Processer - data'!I474</f>
        <v>63010.939380271353</v>
      </c>
      <c r="J474" s="300">
        <f>SUMIFS('Forbrug af biomasse'!$E$1:$E$425,'Forbrug af biomasse'!$A$1:$A$425,$A474,'Forbrug af biomasse'!$C$1:$C$425,$D474,'Forbrug af biomasse'!$B$1:$B$425,$A$1,'Forbrug af biomasse'!$D$1:$D$425,J$2)*'[1]Processer - data'!J474</f>
        <v>63839.956559425314</v>
      </c>
    </row>
    <row r="475" spans="1:10" ht="15.75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301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2">
        <f>SUMIFS('Forbrug af biomasse'!$E$1:$E$425,'Forbrug af biomasse'!$A$1:$A$425,$A475,'Forbrug af biomasse'!$C$1:$C$425,$D475,'Forbrug af biomasse'!$B$1:$B$425,$A$1,'Forbrug af biomasse'!$D$1:$D$425,I$2)*'[1]Processer - data'!I475</f>
        <v>252043.75752108541</v>
      </c>
      <c r="J475" s="303">
        <f>SUMIFS('Forbrug af biomasse'!$E$1:$E$425,'Forbrug af biomasse'!$A$1:$A$425,$A475,'Forbrug af biomasse'!$C$1:$C$425,$D475,'Forbrug af biomasse'!$B$1:$B$425,$A$1,'Forbrug af biomasse'!$D$1:$D$425,J$2)*'[1]Processer - data'!J475</f>
        <v>255359.82623770126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121" sqref="C121:H121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x14ac:dyDescent="0.25">
      <c r="A2" s="99" t="str">
        <f>'Resultater - Vestdanmark'!A2</f>
        <v>Processer</v>
      </c>
      <c r="B2" s="99" t="str">
        <f>'Resultater - Vestdanmark'!B2</f>
        <v>Konventionel/økologisk</v>
      </c>
      <c r="C2" s="99" t="str">
        <f>'Resultater - Vestdanmark'!C2</f>
        <v>Jordbundstype</v>
      </c>
      <c r="D2" s="99" t="str">
        <f>'Resultater - Vestdanmark'!D2</f>
        <v>Input</v>
      </c>
      <c r="E2" s="99" t="str">
        <f>'Resultater - Vestdanmark'!E2</f>
        <v>Enhed</v>
      </c>
      <c r="F2" s="99" t="str">
        <f>'Resultater - Vestdanmark'!F2</f>
        <v>Output</v>
      </c>
      <c r="G2" s="99" t="str">
        <f>'Resultater - Vestdanmark'!G2</f>
        <v>Enhed</v>
      </c>
      <c r="H2" s="99">
        <f>'Resultater - Vestdanmark'!H2</f>
        <v>2019</v>
      </c>
      <c r="I2" s="99">
        <f>'Resultater - Vestdanmark'!I2</f>
        <v>2030</v>
      </c>
      <c r="J2" s="99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hidden="1" x14ac:dyDescent="0.25">
      <c r="A3" s="99" t="str">
        <f>'Resultater - Vestdanmark'!A3</f>
        <v>Spildevandsproduktion</v>
      </c>
      <c r="B3" s="99" t="str">
        <f>'Resultater - Vestdanmark'!B3</f>
        <v/>
      </c>
      <c r="C3" s="99" t="str">
        <f>'Resultater - Vestdanmark'!C3</f>
        <v/>
      </c>
      <c r="D3" s="99" t="str">
        <f>'Resultater - Vestdanmark'!D3</f>
        <v>Befolkning</v>
      </c>
      <c r="E3" s="99" t="str">
        <f>'Resultater - Vestdanmark'!E3</f>
        <v>Antal</v>
      </c>
      <c r="F3" s="99" t="str">
        <f>'Resultater - Vestdanmark'!F3</f>
        <v>Spildevandsslam</v>
      </c>
      <c r="G3" s="99" t="str">
        <f>'Resultater - Vestdanmark'!G3</f>
        <v>Ton</v>
      </c>
      <c r="H3" s="295">
        <f>'Resultater - Vestdanmark'!H3+'Resultater - Østdanmark'!H3</f>
        <v>6905432.901678659</v>
      </c>
      <c r="I3" s="296">
        <f>'Resultater - Vestdanmark'!I3+'Resultater - Østdanmark'!I3</f>
        <v>7187550.2724163011</v>
      </c>
      <c r="J3" s="297">
        <f>'Resultater - Vestdanmark'!J3+'Resultater - Østdanmark'!J3</f>
        <v>7494121.763909651</v>
      </c>
      <c r="L3" s="99" t="s">
        <v>114</v>
      </c>
      <c r="M3" s="99">
        <f>SUMIF($F$3:$F$487,$L$3,H$3:H$487)</f>
        <v>14517462.442375839</v>
      </c>
      <c r="N3" s="99">
        <f>SUMIF($F$3:$F$487,$L$3,I$3:I$487)</f>
        <v>6061368.5273917522</v>
      </c>
      <c r="O3" s="99">
        <f>SUMIF($F$3:$F$487,$L$3,J$3:J$487)</f>
        <v>-1382145.6337438091</v>
      </c>
      <c r="Q3" s="99"/>
      <c r="U3" s="99"/>
    </row>
    <row r="4" spans="1:21" hidden="1" x14ac:dyDescent="0.25">
      <c r="A4" s="99" t="str">
        <f>'Resultater - Vestdanmark'!A4</f>
        <v>Bioaffaldsproduktion</v>
      </c>
      <c r="B4" s="99" t="str">
        <f>'Resultater - Vestdanmark'!B4</f>
        <v/>
      </c>
      <c r="C4" s="99" t="str">
        <f>'Resultater - Vestdanmark'!C4</f>
        <v/>
      </c>
      <c r="D4" s="99" t="str">
        <f>'Resultater - Vestdanmark'!D4</f>
        <v>Befolkning</v>
      </c>
      <c r="E4" s="99" t="str">
        <f>'Resultater - Vestdanmark'!E4</f>
        <v>Antal</v>
      </c>
      <c r="F4" s="99" t="str">
        <f>'Resultater - Vestdanmark'!F4</f>
        <v>Bioaffald</v>
      </c>
      <c r="G4" s="99" t="str">
        <f>'Resultater - Vestdanmark'!G4</f>
        <v>Ton</v>
      </c>
      <c r="H4" s="298">
        <f ca="1">'Resultater - Vestdanmark'!H4+'Resultater - Østdanmark'!H4</f>
        <v>358674.32551850227</v>
      </c>
      <c r="I4" s="299">
        <f ca="1">'Resultater - Vestdanmark'!I4+'Resultater - Østdanmark'!I4</f>
        <v>363994.97174274386</v>
      </c>
      <c r="J4" s="300">
        <f ca="1">'Resultater - Vestdanmark'!J4+'Resultater - Østdanmark'!J4</f>
        <v>369776.8151095995</v>
      </c>
      <c r="L4" s="99" t="s">
        <v>174</v>
      </c>
      <c r="M4" s="99">
        <f t="shared" ref="M4:O6" si="0">SUMIFS(H$3:H$487,$F$3:$F$487,$L$3,$A$3:$A$487,$L4)</f>
        <v>1383287.873779177</v>
      </c>
      <c r="N4" s="99">
        <f t="shared" si="0"/>
        <v>1386268.5363437086</v>
      </c>
      <c r="O4" s="99">
        <f t="shared" si="0"/>
        <v>1391779.6896342733</v>
      </c>
    </row>
    <row r="5" spans="1:21" hidden="1" x14ac:dyDescent="0.25">
      <c r="A5" s="99" t="str">
        <f>'Resultater - Vestdanmark'!A5</f>
        <v>Bioaffaldsproduktion</v>
      </c>
      <c r="B5" s="99" t="str">
        <f>'Resultater - Vestdanmark'!B5</f>
        <v/>
      </c>
      <c r="C5" s="99" t="str">
        <f>'Resultater - Vestdanmark'!C5</f>
        <v/>
      </c>
      <c r="D5" s="99" t="str">
        <f>'Resultater - Vestdanmark'!D5</f>
        <v>Befolkning</v>
      </c>
      <c r="E5" s="99" t="str">
        <f>'Resultater - Vestdanmark'!E5</f>
        <v>Antal</v>
      </c>
      <c r="F5" s="99" t="str">
        <f>'Resultater - Vestdanmark'!F5</f>
        <v>Have/parkaffald</v>
      </c>
      <c r="G5" s="99" t="str">
        <f>'Resultater - Vestdanmark'!G5</f>
        <v>Ton</v>
      </c>
      <c r="H5" s="298">
        <f>'Resultater - Vestdanmark'!H5+'Resultater - Østdanmark'!H5</f>
        <v>982809</v>
      </c>
      <c r="I5" s="299">
        <f>'Resultater - Vestdanmark'!I5+'Resultater - Østdanmark'!I5</f>
        <v>982809</v>
      </c>
      <c r="J5" s="300">
        <f>'Resultater - Vestdanmark'!J5+'Resultater - Østdanmark'!J5</f>
        <v>982809</v>
      </c>
      <c r="L5" s="99" t="s">
        <v>175</v>
      </c>
      <c r="M5" s="99">
        <f t="shared" si="0"/>
        <v>4119285.0829287488</v>
      </c>
      <c r="N5" s="99">
        <f t="shared" si="0"/>
        <v>4104323.8031063229</v>
      </c>
      <c r="O5" s="99">
        <f t="shared" si="0"/>
        <v>4076660.8574560597</v>
      </c>
    </row>
    <row r="6" spans="1:21" s="173" customFormat="1" hidden="1" x14ac:dyDescent="0.25">
      <c r="A6" s="99" t="str">
        <f>'Resultater - Vestdanmark'!A6</f>
        <v>Bioaffaldsproduktion</v>
      </c>
      <c r="B6" s="99" t="str">
        <f>'Resultater - Vestdanmark'!B6</f>
        <v/>
      </c>
      <c r="C6" s="99" t="str">
        <f>'Resultater - Vestdanmark'!C6</f>
        <v/>
      </c>
      <c r="D6" s="99" t="str">
        <f>'Resultater - Vestdanmark'!D6</f>
        <v>Befolkning</v>
      </c>
      <c r="E6" s="99" t="str">
        <f>'Resultater - Vestdanmark'!E6</f>
        <v>Antal</v>
      </c>
      <c r="F6" s="99" t="str">
        <f>'Resultater - Vestdanmark'!F6</f>
        <v>Industriaffald</v>
      </c>
      <c r="G6" s="99" t="str">
        <f>'Resultater - Vestdanmark'!G6</f>
        <v>Ton</v>
      </c>
      <c r="H6" s="298">
        <f>'Resultater - Vestdanmark'!H6+'Resultater - Østdanmark'!H6</f>
        <v>355018</v>
      </c>
      <c r="I6" s="299">
        <f>'Resultater - Vestdanmark'!I6+'Resultater - Østdanmark'!I6</f>
        <v>355018</v>
      </c>
      <c r="J6" s="300">
        <f>'Resultater - Vestdanmark'!J6+'Resultater - Østdanmark'!J6</f>
        <v>355018</v>
      </c>
      <c r="L6" s="99" t="s">
        <v>176</v>
      </c>
      <c r="M6" s="99">
        <f t="shared" si="0"/>
        <v>16688.944028790498</v>
      </c>
      <c r="N6" s="99">
        <f t="shared" si="0"/>
        <v>16724.542422002487</v>
      </c>
      <c r="O6" s="99">
        <f t="shared" si="0"/>
        <v>16790.36275477802</v>
      </c>
    </row>
    <row r="7" spans="1:21" hidden="1" x14ac:dyDescent="0.25">
      <c r="A7" s="99" t="str">
        <f>'Resultater - Vestdanmark'!A7</f>
        <v>Muslingefarm</v>
      </c>
      <c r="B7" s="99" t="str">
        <f>'Resultater - Vestdanmark'!B7</f>
        <v/>
      </c>
      <c r="C7" s="99" t="str">
        <f>'Resultater - Vestdanmark'!C7</f>
        <v/>
      </c>
      <c r="D7" s="99" t="str">
        <f>'Resultater - Vestdanmark'!D7</f>
        <v>Muslingeareal</v>
      </c>
      <c r="E7" s="99" t="str">
        <f>'Resultater - Vestdanmark'!E7</f>
        <v>Hektar</v>
      </c>
      <c r="F7" s="99" t="str">
        <f>'Resultater - Vestdanmark'!F7</f>
        <v>Muslinger</v>
      </c>
      <c r="G7" s="99" t="str">
        <f>'Resultater - Vestdanmark'!G7</f>
        <v>Ton</v>
      </c>
      <c r="H7" s="298">
        <f>'Resultater - Vestdanmark'!H7+'Resultater - Østdanmark'!H7</f>
        <v>880.1</v>
      </c>
      <c r="I7" s="299">
        <f>'Resultater - Vestdanmark'!I7+'Resultater - Østdanmark'!I7</f>
        <v>148073.98049444324</v>
      </c>
      <c r="J7" s="300">
        <f>'Resultater - Vestdanmark'!J7+'Resultater - Østdanmark'!J7</f>
        <v>270457.58448627812</v>
      </c>
      <c r="L7" s="99" t="s">
        <v>43</v>
      </c>
      <c r="M7" s="99">
        <f>SUMIFS(H$3:H$487,$F$3:$F$487,$L$3,$C$3:$C$487,$L7)+SUMIFS(H$3:H$487,$F$3:$F$487,$L$3,$C$3:$C$487,"",$A$3:$A$487,"Grøntsager I drivhus")</f>
        <v>5798.8658431352524</v>
      </c>
      <c r="N7" s="99">
        <f>SUMIFS(I$3:I$487,$F$3:$F$487,$L$3,$C$3:$C$487,$L7)+SUMIFS(I$3:I$487,$F$3:$F$487,$L$3,$C$3:$C$487,"",$A$3:$A$487,"Grøntsager I drivhus")</f>
        <v>4439.0825140860779</v>
      </c>
      <c r="O7" s="99">
        <f>SUMIFS(J$3:J$487,$F$3:$F$487,$L$3,$C$3:$C$487,$L7)+SUMIFS(J$3:J$487,$F$3:$F$487,$L$3,$C$3:$C$487,"",$A$3:$A$487,"Grøntsager I drivhus")</f>
        <v>4356.2164913279912</v>
      </c>
    </row>
    <row r="8" spans="1:21" hidden="1" x14ac:dyDescent="0.25">
      <c r="A8" s="99" t="str">
        <f>'Resultater - Vestdanmark'!A8</f>
        <v>Muslingefarm</v>
      </c>
      <c r="B8" s="99" t="str">
        <f>'Resultater - Vestdanmark'!B8</f>
        <v/>
      </c>
      <c r="C8" s="99" t="str">
        <f>'Resultater - Vestdanmark'!C8</f>
        <v/>
      </c>
      <c r="D8" s="99" t="str">
        <f>'Resultater - Vestdanmark'!D8</f>
        <v>Muslingeareal</v>
      </c>
      <c r="E8" s="99" t="str">
        <f>'Resultater - Vestdanmark'!E8</f>
        <v>Hektar</v>
      </c>
      <c r="F8" s="99" t="str">
        <f>'Resultater - Vestdanmark'!F8</f>
        <v>CO2 - atmosfære</v>
      </c>
      <c r="G8" s="99" t="str">
        <f>'Resultater - Vestdanmark'!G8</f>
        <v>t CO2-ækvivalenter</v>
      </c>
      <c r="H8" s="298">
        <f>'Resultater - Vestdanmark'!H8+'Resultater - Østdanmark'!H8</f>
        <v>-142.5762</v>
      </c>
      <c r="I8" s="299">
        <f>'Resultater - Vestdanmark'!I8+'Resultater - Østdanmark'!I8</f>
        <v>-23987.984840099802</v>
      </c>
      <c r="J8" s="300">
        <f>'Resultater - Vestdanmark'!J8+'Resultater - Østdanmark'!J8</f>
        <v>-43814.128686777054</v>
      </c>
      <c r="L8" s="99" t="s">
        <v>42</v>
      </c>
      <c r="M8" s="99">
        <f>SUMIFS(H$3:H$487,$F$3:$F$487,$L$3,$C$3:$C$487,$L8)+SUMIFS(H$3:H$487,$F$3:$F$487,$L$3,$C$3:$C$487,"",$A$3:$A$487,"Grøntsager I drivhus")</f>
        <v>1473168.6340477788</v>
      </c>
      <c r="N8" s="99">
        <f>SUMIFS(I$3:I$487,$F$3:$F$487,$L$3,$C$3:$C$487,$L8)+SUMIFS(I$3:I$487,$F$3:$F$487,$L$3,$C$3:$C$487,"",$A$3:$A$487,"Grøntsager I drivhus")</f>
        <v>4439.0825140860779</v>
      </c>
      <c r="O8" s="99">
        <f>SUMIFS(J$3:J$487,$F$3:$F$487,$L$3,$C$3:$C$487,$L8)</f>
        <v>0</v>
      </c>
    </row>
    <row r="9" spans="1:21" hidden="1" x14ac:dyDescent="0.25">
      <c r="A9" s="99" t="str">
        <f>'Resultater - Vestdanmark'!A9</f>
        <v>Tangfarm</v>
      </c>
      <c r="B9" s="99" t="str">
        <f>'Resultater - Vestdanmark'!B9</f>
        <v/>
      </c>
      <c r="C9" s="99" t="str">
        <f>'Resultater - Vestdanmark'!C9</f>
        <v/>
      </c>
      <c r="D9" s="99" t="str">
        <f>'Resultater - Vestdanmark'!D9</f>
        <v>Tangfarmareal</v>
      </c>
      <c r="E9" s="99" t="str">
        <f>'Resultater - Vestdanmark'!E9</f>
        <v>Hektar</v>
      </c>
      <c r="F9" s="99" t="str">
        <f>'Resultater - Vestdanmark'!F9</f>
        <v>Tang</v>
      </c>
      <c r="G9" s="99" t="str">
        <f>'Resultater - Vestdanmark'!G9</f>
        <v>Ton</v>
      </c>
      <c r="H9" s="298">
        <f>'Resultater - Vestdanmark'!H9+'Resultater - Østdanmark'!H9</f>
        <v>76.5</v>
      </c>
      <c r="I9" s="299">
        <f>'Resultater - Vestdanmark'!I9+'Resultater - Østdanmark'!I9</f>
        <v>18000</v>
      </c>
      <c r="J9" s="300">
        <f>'Resultater - Vestdanmark'!J9+'Resultater - Østdanmark'!J9</f>
        <v>18000</v>
      </c>
      <c r="L9" s="99" t="s">
        <v>41</v>
      </c>
      <c r="M9" s="99">
        <f>SUMIFS(H$3:H$487,$F$3:$F$487,$L$3,$C$3:$C$487,$L9)+SUMIFS(H$3:H$487,$F$3:$F$487,$L$3,$C$3:$C$487,"",$A$3:$A$487,"Grøntsager I drivhus")</f>
        <v>2863539.7669857088</v>
      </c>
      <c r="N9" s="99">
        <f>SUMIFS(I$3:I$487,$F$3:$F$487,$L$3,$C$3:$C$487,$L9)+SUMIFS(I$3:I$487,$F$3:$F$487,$L$3,$C$3:$C$487,"",$A$3:$A$487,"Grøntsager I drivhus")</f>
        <v>4439.0825140860779</v>
      </c>
      <c r="O9" s="99">
        <f>SUMIFS(J$3:J$487,$F$3:$F$487,$L$3,$C$3:$C$487,$L9)</f>
        <v>0</v>
      </c>
    </row>
    <row r="10" spans="1:21" hidden="1" x14ac:dyDescent="0.25">
      <c r="A10" s="99" t="str">
        <f>'Resultater - Vestdanmark'!A10</f>
        <v>Tangfarm</v>
      </c>
      <c r="B10" s="99" t="str">
        <f>'Resultater - Vestdanmark'!B10</f>
        <v/>
      </c>
      <c r="C10" s="99" t="str">
        <f>'Resultater - Vestdanmark'!C10</f>
        <v/>
      </c>
      <c r="D10" s="99" t="str">
        <f>'Resultater - Vestdanmark'!D10</f>
        <v>Tangfarmareal</v>
      </c>
      <c r="E10" s="99" t="str">
        <f>'Resultater - Vestdanmark'!E10</f>
        <v>Hektar</v>
      </c>
      <c r="F10" s="99" t="str">
        <f>'Resultater - Vestdanmark'!F10</f>
        <v>CO2 - atmosfære</v>
      </c>
      <c r="G10" s="99" t="str">
        <f>'Resultater - Vestdanmark'!G10</f>
        <v>t CO2-ækvivalenter</v>
      </c>
      <c r="H10" s="298">
        <f>'Resultater - Vestdanmark'!H10+'Resultater - Østdanmark'!H10</f>
        <v>-15.861000000000001</v>
      </c>
      <c r="I10" s="299">
        <f>'Resultater - Vestdanmark'!I10+'Resultater - Østdanmark'!I10</f>
        <v>-746.40000000000009</v>
      </c>
      <c r="J10" s="300">
        <f>'Resultater - Vestdanmark'!J10+'Resultater - Østdanmark'!J10</f>
        <v>-746.40000000000009</v>
      </c>
    </row>
    <row r="11" spans="1:21" hidden="1" x14ac:dyDescent="0.25">
      <c r="A11" s="99" t="str">
        <f>'Resultater - Vestdanmark'!A11</f>
        <v>Skovproduktion</v>
      </c>
      <c r="B11" s="99" t="str">
        <f>'Resultater - Vestdanmark'!B11</f>
        <v/>
      </c>
      <c r="C11" s="99" t="str">
        <f>'Resultater - Vestdanmark'!C11</f>
        <v>Basisskov</v>
      </c>
      <c r="D11" s="99" t="str">
        <f>'Resultater - Vestdanmark'!D11</f>
        <v>Areal-basisskov</v>
      </c>
      <c r="E11" s="99" t="str">
        <f>'Resultater - Vestdanmark'!E11</f>
        <v>Hektar</v>
      </c>
      <c r="F11" s="99" t="str">
        <f>'Resultater - Vestdanmark'!F11</f>
        <v>Træer</v>
      </c>
      <c r="G11" s="99" t="str">
        <f>'Resultater - Vestdanmark'!G11</f>
        <v>m3</v>
      </c>
      <c r="H11" s="298">
        <f>'Resultater - Vestdanmark'!H11+'Resultater - Østdanmark'!H11</f>
        <v>1724360.8435879257</v>
      </c>
      <c r="I11" s="299">
        <f>'Resultater - Vestdanmark'!I11+'Resultater - Østdanmark'!I11</f>
        <v>1631856.7815804055</v>
      </c>
      <c r="J11" s="300">
        <f>'Resultater - Vestdanmark'!J11+'Resultater - Østdanmark'!J11</f>
        <v>1476194.7469248427</v>
      </c>
    </row>
    <row r="12" spans="1:21" hidden="1" x14ac:dyDescent="0.25">
      <c r="A12" s="99" t="str">
        <f>'Resultater - Vestdanmark'!A12</f>
        <v>Skovproduktion</v>
      </c>
      <c r="B12" s="99" t="str">
        <f>'Resultater - Vestdanmark'!B12</f>
        <v/>
      </c>
      <c r="C12" s="99" t="str">
        <f>'Resultater - Vestdanmark'!C12</f>
        <v>Basisskov</v>
      </c>
      <c r="D12" s="99" t="str">
        <f>'Resultater - Vestdanmark'!D12</f>
        <v>Areal-basisskov</v>
      </c>
      <c r="E12" s="99" t="str">
        <f>'Resultater - Vestdanmark'!E12</f>
        <v>Hektar</v>
      </c>
      <c r="F12" s="99" t="str">
        <f>'Resultater - Vestdanmark'!F12</f>
        <v>Træ til energi</v>
      </c>
      <c r="G12" s="99" t="str">
        <f>'Resultater - Vestdanmark'!G12</f>
        <v>m3</v>
      </c>
      <c r="H12" s="298">
        <f>'Resultater - Vestdanmark'!H12+'Resultater - Østdanmark'!H12</f>
        <v>2113570.8536589644</v>
      </c>
      <c r="I12" s="299">
        <f>'Resultater - Vestdanmark'!I12+'Resultater - Østdanmark'!I12</f>
        <v>2000187.4571203692</v>
      </c>
      <c r="J12" s="300">
        <f>'Resultater - Vestdanmark'!J12+'Resultater - Østdanmark'!J12</f>
        <v>1809390.536224924</v>
      </c>
    </row>
    <row r="13" spans="1:21" hidden="1" x14ac:dyDescent="0.25">
      <c r="A13" s="99" t="str">
        <f>'Resultater - Vestdanmark'!A13</f>
        <v>Skovproduktion</v>
      </c>
      <c r="B13" s="99" t="str">
        <f>'Resultater - Vestdanmark'!B13</f>
        <v/>
      </c>
      <c r="C13" s="99" t="str">
        <f>'Resultater - Vestdanmark'!C13</f>
        <v>Basisskov</v>
      </c>
      <c r="D13" s="99" t="str">
        <f>'Resultater - Vestdanmark'!D13</f>
        <v>Areal-basisskov</v>
      </c>
      <c r="E13" s="99" t="str">
        <f>'Resultater - Vestdanmark'!E13</f>
        <v>Hektar</v>
      </c>
      <c r="F13" s="99" t="str">
        <f>'Resultater - Vestdanmark'!F13</f>
        <v>CO2 - atmosfære</v>
      </c>
      <c r="G13" s="99" t="str">
        <f>'Resultater - Vestdanmark'!G13</f>
        <v>t CO2-ækvivalenter</v>
      </c>
      <c r="H13" s="298">
        <f>'Resultater - Vestdanmark'!H13+'Resultater - Østdanmark'!H13</f>
        <v>-561900</v>
      </c>
      <c r="I13" s="299">
        <f>'Resultater - Vestdanmark'!I13+'Resultater - Østdanmark'!I13</f>
        <v>-531756.63839717361</v>
      </c>
      <c r="J13" s="300">
        <f>'Resultater - Vestdanmark'!J13+'Resultater - Østdanmark'!J13</f>
        <v>-481032.62804968352</v>
      </c>
    </row>
    <row r="14" spans="1:21" hidden="1" x14ac:dyDescent="0.25">
      <c r="A14" s="99" t="str">
        <f>'Resultater - Vestdanmark'!A14</f>
        <v>Skovproduktion</v>
      </c>
      <c r="B14" s="99" t="str">
        <f>'Resultater - Vestdanmark'!B14</f>
        <v/>
      </c>
      <c r="C14" s="99" t="str">
        <f>'Resultater - Vestdanmark'!C14</f>
        <v>Skovtype1</v>
      </c>
      <c r="D14" s="99" t="str">
        <f>'Resultater - Vestdanmark'!D14</f>
        <v>Areal-skovtype1-10</v>
      </c>
      <c r="E14" s="99" t="str">
        <f>'Resultater - Vestdanmark'!E14</f>
        <v>Hektar</v>
      </c>
      <c r="F14" s="99" t="str">
        <f>'Resultater - Vestdanmark'!F14</f>
        <v>Træer</v>
      </c>
      <c r="G14" s="99" t="str">
        <f>'Resultater - Vestdanmark'!G14</f>
        <v>m3</v>
      </c>
      <c r="H14" s="298">
        <f>'Resultater - Vestdanmark'!H14+'Resultater - Østdanmark'!H14</f>
        <v>0</v>
      </c>
      <c r="I14" s="299">
        <f>'Resultater - Vestdanmark'!I14+'Resultater - Østdanmark'!I14</f>
        <v>0</v>
      </c>
      <c r="J14" s="300">
        <f>'Resultater - Vestdanmark'!J14+'Resultater - Østdanmark'!J14</f>
        <v>0</v>
      </c>
    </row>
    <row r="15" spans="1:21" hidden="1" x14ac:dyDescent="0.25">
      <c r="A15" s="99" t="str">
        <f>'Resultater - Vestdanmark'!A15</f>
        <v>Skovproduktion</v>
      </c>
      <c r="B15" s="99" t="str">
        <f>'Resultater - Vestdanmark'!B15</f>
        <v/>
      </c>
      <c r="C15" s="99" t="str">
        <f>'Resultater - Vestdanmark'!C15</f>
        <v>Skovtype1</v>
      </c>
      <c r="D15" s="99" t="str">
        <f>'Resultater - Vestdanmark'!D15</f>
        <v>Areal-skovtype1-10</v>
      </c>
      <c r="E15" s="99" t="str">
        <f>'Resultater - Vestdanmark'!E15</f>
        <v>Hektar</v>
      </c>
      <c r="F15" s="99" t="str">
        <f>'Resultater - Vestdanmark'!F15</f>
        <v>Træ til energi</v>
      </c>
      <c r="G15" s="99" t="str">
        <f>'Resultater - Vestdanmark'!G15</f>
        <v>m3</v>
      </c>
      <c r="H15" s="298">
        <f>'Resultater - Vestdanmark'!H15+'Resultater - Østdanmark'!H15</f>
        <v>0</v>
      </c>
      <c r="I15" s="299">
        <f>'Resultater - Vestdanmark'!I15+'Resultater - Østdanmark'!I15</f>
        <v>0</v>
      </c>
      <c r="J15" s="300">
        <f>'Resultater - Vestdanmark'!J15+'Resultater - Østdanmark'!J15</f>
        <v>0</v>
      </c>
    </row>
    <row r="16" spans="1:21" hidden="1" x14ac:dyDescent="0.25">
      <c r="A16" s="99" t="str">
        <f>'Resultater - Vestdanmark'!A16</f>
        <v>Skovproduktion</v>
      </c>
      <c r="B16" s="99" t="str">
        <f>'Resultater - Vestdanmark'!B16</f>
        <v/>
      </c>
      <c r="C16" s="99" t="str">
        <f>'Resultater - Vestdanmark'!C16</f>
        <v>Skovtype1</v>
      </c>
      <c r="D16" s="99" t="str">
        <f>'Resultater - Vestdanmark'!D16</f>
        <v>Areal-skovtype1-10</v>
      </c>
      <c r="E16" s="99" t="str">
        <f>'Resultater - Vestdanmark'!E16</f>
        <v>Hektar</v>
      </c>
      <c r="F16" s="99" t="str">
        <f>'Resultater - Vestdanmark'!F16</f>
        <v>CO2 - atmosfære</v>
      </c>
      <c r="G16" s="99" t="str">
        <f>'Resultater - Vestdanmark'!G16</f>
        <v>t CO2-ækvivalenter</v>
      </c>
      <c r="H16" s="298">
        <f>'Resultater - Vestdanmark'!H16+'Resultater - Østdanmark'!H16</f>
        <v>0</v>
      </c>
      <c r="I16" s="299">
        <f>'Resultater - Vestdanmark'!I16+'Resultater - Østdanmark'!I16</f>
        <v>-1409416.7309155143</v>
      </c>
      <c r="J16" s="300">
        <f>'Resultater - Vestdanmark'!J16+'Resultater - Østdanmark'!J16</f>
        <v>-110905.01293436259</v>
      </c>
    </row>
    <row r="17" spans="1:10" hidden="1" x14ac:dyDescent="0.25">
      <c r="A17" s="99" t="str">
        <f>'Resultater - Vestdanmark'!A17</f>
        <v>Skovproduktion</v>
      </c>
      <c r="B17" s="99" t="str">
        <f>'Resultater - Vestdanmark'!B17</f>
        <v/>
      </c>
      <c r="C17" s="99" t="str">
        <f>'Resultater - Vestdanmark'!C17</f>
        <v>Skovtype1</v>
      </c>
      <c r="D17" s="99" t="str">
        <f>'Resultater - Vestdanmark'!D17</f>
        <v>Areal-skovtype1-20</v>
      </c>
      <c r="E17" s="99" t="str">
        <f>'Resultater - Vestdanmark'!E17</f>
        <v>Hektar</v>
      </c>
      <c r="F17" s="99" t="str">
        <f>'Resultater - Vestdanmark'!F17</f>
        <v>Træer</v>
      </c>
      <c r="G17" s="99" t="str">
        <f>'Resultater - Vestdanmark'!G17</f>
        <v>m3</v>
      </c>
      <c r="H17" s="298">
        <f>'Resultater - Vestdanmark'!H17+'Resultater - Østdanmark'!H17</f>
        <v>0</v>
      </c>
      <c r="I17" s="299">
        <f>'Resultater - Vestdanmark'!I17+'Resultater - Østdanmark'!I17</f>
        <v>0</v>
      </c>
      <c r="J17" s="300">
        <f>'Resultater - Vestdanmark'!J17+'Resultater - Østdanmark'!J17</f>
        <v>0</v>
      </c>
    </row>
    <row r="18" spans="1:10" hidden="1" x14ac:dyDescent="0.25">
      <c r="A18" s="99" t="str">
        <f>'Resultater - Vestdanmark'!A18</f>
        <v>Skovproduktion</v>
      </c>
      <c r="B18" s="99" t="str">
        <f>'Resultater - Vestdanmark'!B18</f>
        <v/>
      </c>
      <c r="C18" s="99" t="str">
        <f>'Resultater - Vestdanmark'!C18</f>
        <v>Skovtype1</v>
      </c>
      <c r="D18" s="99" t="str">
        <f>'Resultater - Vestdanmark'!D18</f>
        <v>Areal-skovtype1-20</v>
      </c>
      <c r="E18" s="99" t="str">
        <f>'Resultater - Vestdanmark'!E18</f>
        <v>Hektar</v>
      </c>
      <c r="F18" s="99" t="str">
        <f>'Resultater - Vestdanmark'!F18</f>
        <v>Træ til energi</v>
      </c>
      <c r="G18" s="99" t="str">
        <f>'Resultater - Vestdanmark'!G18</f>
        <v>m3</v>
      </c>
      <c r="H18" s="298">
        <f>'Resultater - Vestdanmark'!H18+'Resultater - Østdanmark'!H18</f>
        <v>0</v>
      </c>
      <c r="I18" s="299">
        <f>'Resultater - Vestdanmark'!I18+'Resultater - Østdanmark'!I18</f>
        <v>0</v>
      </c>
      <c r="J18" s="300">
        <f>'Resultater - Vestdanmark'!J18+'Resultater - Østdanmark'!J18</f>
        <v>0</v>
      </c>
    </row>
    <row r="19" spans="1:10" hidden="1" x14ac:dyDescent="0.25">
      <c r="A19" s="99" t="str">
        <f>'Resultater - Vestdanmark'!A19</f>
        <v>Skovproduktion</v>
      </c>
      <c r="B19" s="99" t="str">
        <f>'Resultater - Vestdanmark'!B19</f>
        <v/>
      </c>
      <c r="C19" s="99" t="str">
        <f>'Resultater - Vestdanmark'!C19</f>
        <v>Skovtype1</v>
      </c>
      <c r="D19" s="99" t="str">
        <f>'Resultater - Vestdanmark'!D19</f>
        <v>Areal-skovtype1-20</v>
      </c>
      <c r="E19" s="99" t="str">
        <f>'Resultater - Vestdanmark'!E19</f>
        <v>Hektar</v>
      </c>
      <c r="F19" s="99" t="str">
        <f>'Resultater - Vestdanmark'!F19</f>
        <v>CO2 - atmosfære</v>
      </c>
      <c r="G19" s="99" t="str">
        <f>'Resultater - Vestdanmark'!G19</f>
        <v>t CO2-ækvivalenter</v>
      </c>
      <c r="H19" s="298">
        <f>'Resultater - Vestdanmark'!H19+'Resultater - Østdanmark'!H19</f>
        <v>0</v>
      </c>
      <c r="I19" s="299">
        <f>'Resultater - Vestdanmark'!I19+'Resultater - Østdanmark'!I19</f>
        <v>-310071.68080141314</v>
      </c>
      <c r="J19" s="300">
        <f>'Resultater - Vestdanmark'!J19+'Resultater - Østdanmark'!J19</f>
        <v>-243991.02845559767</v>
      </c>
    </row>
    <row r="20" spans="1:10" hidden="1" x14ac:dyDescent="0.25">
      <c r="A20" s="99" t="str">
        <f>'Resultater - Vestdanmark'!A20</f>
        <v>Skovproduktion</v>
      </c>
      <c r="B20" s="99" t="str">
        <f>'Resultater - Vestdanmark'!B20</f>
        <v/>
      </c>
      <c r="C20" s="99" t="str">
        <f>'Resultater - Vestdanmark'!C20</f>
        <v>Skovtype1</v>
      </c>
      <c r="D20" s="99" t="str">
        <f>'Resultater - Vestdanmark'!D20</f>
        <v>Areal-skovtype1-30</v>
      </c>
      <c r="E20" s="99" t="str">
        <f>'Resultater - Vestdanmark'!E20</f>
        <v>Hektar</v>
      </c>
      <c r="F20" s="99" t="str">
        <f>'Resultater - Vestdanmark'!F20</f>
        <v>Træer</v>
      </c>
      <c r="G20" s="99" t="str">
        <f>'Resultater - Vestdanmark'!G20</f>
        <v>m3</v>
      </c>
      <c r="H20" s="298">
        <f>'Resultater - Vestdanmark'!H20+'Resultater - Østdanmark'!H20</f>
        <v>0</v>
      </c>
      <c r="I20" s="299">
        <f>'Resultater - Vestdanmark'!I20+'Resultater - Østdanmark'!I20</f>
        <v>0</v>
      </c>
      <c r="J20" s="300">
        <f>'Resultater - Vestdanmark'!J20+'Resultater - Østdanmark'!J20</f>
        <v>0</v>
      </c>
    </row>
    <row r="21" spans="1:10" hidden="1" x14ac:dyDescent="0.25">
      <c r="A21" s="99" t="str">
        <f>'Resultater - Vestdanmark'!A21</f>
        <v>Skovproduktion</v>
      </c>
      <c r="B21" s="99" t="str">
        <f>'Resultater - Vestdanmark'!B21</f>
        <v/>
      </c>
      <c r="C21" s="99" t="str">
        <f>'Resultater - Vestdanmark'!C21</f>
        <v>Skovtype1</v>
      </c>
      <c r="D21" s="99" t="str">
        <f>'Resultater - Vestdanmark'!D21</f>
        <v>Areal-skovtype1-30</v>
      </c>
      <c r="E21" s="99" t="str">
        <f>'Resultater - Vestdanmark'!E21</f>
        <v>Hektar</v>
      </c>
      <c r="F21" s="99" t="str">
        <f>'Resultater - Vestdanmark'!F21</f>
        <v>Træ til energi</v>
      </c>
      <c r="G21" s="99" t="str">
        <f>'Resultater - Vestdanmark'!G21</f>
        <v>m3</v>
      </c>
      <c r="H21" s="298">
        <f>'Resultater - Vestdanmark'!H21+'Resultater - Østdanmark'!H21</f>
        <v>0</v>
      </c>
      <c r="I21" s="299">
        <f>'Resultater - Vestdanmark'!I21+'Resultater - Østdanmark'!I21</f>
        <v>0</v>
      </c>
      <c r="J21" s="300">
        <f>'Resultater - Vestdanmark'!J21+'Resultater - Østdanmark'!J21</f>
        <v>0</v>
      </c>
    </row>
    <row r="22" spans="1:10" hidden="1" x14ac:dyDescent="0.25">
      <c r="A22" s="99" t="str">
        <f>'Resultater - Vestdanmark'!A22</f>
        <v>Skovproduktion</v>
      </c>
      <c r="B22" s="99" t="str">
        <f>'Resultater - Vestdanmark'!B22</f>
        <v/>
      </c>
      <c r="C22" s="99" t="str">
        <f>'Resultater - Vestdanmark'!C22</f>
        <v>Skovtype1</v>
      </c>
      <c r="D22" s="99" t="str">
        <f>'Resultater - Vestdanmark'!D22</f>
        <v>Areal-skovtype1-30</v>
      </c>
      <c r="E22" s="99" t="str">
        <f>'Resultater - Vestdanmark'!E22</f>
        <v>Hektar</v>
      </c>
      <c r="F22" s="99" t="str">
        <f>'Resultater - Vestdanmark'!F22</f>
        <v>CO2 - atmosfære</v>
      </c>
      <c r="G22" s="99" t="str">
        <f>'Resultater - Vestdanmark'!G22</f>
        <v>t CO2-ækvivalenter</v>
      </c>
      <c r="H22" s="298">
        <f>'Resultater - Vestdanmark'!H22+'Resultater - Østdanmark'!H22</f>
        <v>0</v>
      </c>
      <c r="I22" s="299">
        <f>'Resultater - Vestdanmark'!I22+'Resultater - Østdanmark'!I22</f>
        <v>0</v>
      </c>
      <c r="J22" s="300">
        <f>'Resultater - Vestdanmark'!J22+'Resultater - Østdanmark'!J22</f>
        <v>-7892733.6931268796</v>
      </c>
    </row>
    <row r="23" spans="1:10" hidden="1" x14ac:dyDescent="0.25">
      <c r="A23" s="99" t="str">
        <f>'Resultater - Vestdanmark'!A23</f>
        <v>Skovproduktion</v>
      </c>
      <c r="B23" s="99" t="str">
        <f>'Resultater - Vestdanmark'!B23</f>
        <v/>
      </c>
      <c r="C23" s="99" t="str">
        <f>'Resultater - Vestdanmark'!C23</f>
        <v>Skovtype1</v>
      </c>
      <c r="D23" s="99" t="str">
        <f>'Resultater - Vestdanmark'!D23</f>
        <v>Areal-skovtype1-40</v>
      </c>
      <c r="E23" s="99" t="str">
        <f>'Resultater - Vestdanmark'!E23</f>
        <v>Hektar</v>
      </c>
      <c r="F23" s="99" t="str">
        <f>'Resultater - Vestdanmark'!F23</f>
        <v>Træer</v>
      </c>
      <c r="G23" s="99" t="str">
        <f>'Resultater - Vestdanmark'!G23</f>
        <v>m3</v>
      </c>
      <c r="H23" s="298">
        <f>'Resultater - Vestdanmark'!H23+'Resultater - Østdanmark'!H23</f>
        <v>0</v>
      </c>
      <c r="I23" s="299">
        <f>'Resultater - Vestdanmark'!I23+'Resultater - Østdanmark'!I23</f>
        <v>0</v>
      </c>
      <c r="J23" s="300">
        <f>'Resultater - Vestdanmark'!J23+'Resultater - Østdanmark'!J23</f>
        <v>107632.73894115281</v>
      </c>
    </row>
    <row r="24" spans="1:10" hidden="1" x14ac:dyDescent="0.25">
      <c r="A24" s="99" t="str">
        <f>'Resultater - Vestdanmark'!A24</f>
        <v>Skovproduktion</v>
      </c>
      <c r="B24" s="99" t="str">
        <f>'Resultater - Vestdanmark'!B24</f>
        <v/>
      </c>
      <c r="C24" s="99" t="str">
        <f>'Resultater - Vestdanmark'!C24</f>
        <v>Skovtype1</v>
      </c>
      <c r="D24" s="99" t="str">
        <f>'Resultater - Vestdanmark'!D24</f>
        <v>Areal-skovtype1-40</v>
      </c>
      <c r="E24" s="99" t="str">
        <f>'Resultater - Vestdanmark'!E24</f>
        <v>Hektar</v>
      </c>
      <c r="F24" s="99" t="str">
        <f>'Resultater - Vestdanmark'!F24</f>
        <v>Træ til energi</v>
      </c>
      <c r="G24" s="99" t="str">
        <f>'Resultater - Vestdanmark'!G24</f>
        <v>m3</v>
      </c>
      <c r="H24" s="298">
        <f>'Resultater - Vestdanmark'!H24+'Resultater - Østdanmark'!H24</f>
        <v>0</v>
      </c>
      <c r="I24" s="299">
        <f>'Resultater - Vestdanmark'!I24+'Resultater - Østdanmark'!I24</f>
        <v>0</v>
      </c>
      <c r="J24" s="300">
        <f>'Resultater - Vestdanmark'!J24+'Resultater - Østdanmark'!J24</f>
        <v>56226.057655826095</v>
      </c>
    </row>
    <row r="25" spans="1:10" hidden="1" x14ac:dyDescent="0.25">
      <c r="A25" s="99" t="str">
        <f>'Resultater - Vestdanmark'!A25</f>
        <v>Skovproduktion</v>
      </c>
      <c r="B25" s="99" t="str">
        <f>'Resultater - Vestdanmark'!B25</f>
        <v/>
      </c>
      <c r="C25" s="99" t="str">
        <f>'Resultater - Vestdanmark'!C25</f>
        <v>Skovtype1</v>
      </c>
      <c r="D25" s="99" t="str">
        <f>'Resultater - Vestdanmark'!D25</f>
        <v>Areal-skovtype1-40</v>
      </c>
      <c r="E25" s="99" t="str">
        <f>'Resultater - Vestdanmark'!E25</f>
        <v>Hektar</v>
      </c>
      <c r="F25" s="99" t="str">
        <f>'Resultater - Vestdanmark'!F25</f>
        <v>CO2 - atmosfære</v>
      </c>
      <c r="G25" s="99" t="str">
        <f>'Resultater - Vestdanmark'!G25</f>
        <v>t CO2-ækvivalenter</v>
      </c>
      <c r="H25" s="298">
        <f>'Resultater - Vestdanmark'!H25+'Resultater - Østdanmark'!H25</f>
        <v>0</v>
      </c>
      <c r="I25" s="299">
        <f>'Resultater - Vestdanmark'!I25+'Resultater - Østdanmark'!I25</f>
        <v>0</v>
      </c>
      <c r="J25" s="300">
        <f>'Resultater - Vestdanmark'!J25+'Resultater - Østdanmark'!J25</f>
        <v>-817461.70393099822</v>
      </c>
    </row>
    <row r="26" spans="1:10" hidden="1" x14ac:dyDescent="0.25">
      <c r="A26" s="99" t="str">
        <f>'Resultater - Vestdanmark'!A26</f>
        <v>Skovproduktion</v>
      </c>
      <c r="B26" s="99" t="str">
        <f>'Resultater - Vestdanmark'!B26</f>
        <v/>
      </c>
      <c r="C26" s="99" t="str">
        <f>'Resultater - Vestdanmark'!C26</f>
        <v>Skovtype2</v>
      </c>
      <c r="D26" s="99" t="str">
        <f>'Resultater - Vestdanmark'!D26</f>
        <v>Areal-skovtype2-10</v>
      </c>
      <c r="E26" s="99" t="str">
        <f>'Resultater - Vestdanmark'!E26</f>
        <v>Hektar</v>
      </c>
      <c r="F26" s="99" t="str">
        <f>'Resultater - Vestdanmark'!F26</f>
        <v>Træer</v>
      </c>
      <c r="G26" s="99" t="str">
        <f>'Resultater - Vestdanmark'!G26</f>
        <v>m3</v>
      </c>
      <c r="H26" s="298">
        <f>'Resultater - Vestdanmark'!H26+'Resultater - Østdanmark'!H26</f>
        <v>0</v>
      </c>
      <c r="I26" s="299">
        <f>'Resultater - Vestdanmark'!I26+'Resultater - Østdanmark'!I26</f>
        <v>0</v>
      </c>
      <c r="J26" s="300">
        <f>'Resultater - Vestdanmark'!J26+'Resultater - Østdanmark'!J26</f>
        <v>0</v>
      </c>
    </row>
    <row r="27" spans="1:10" hidden="1" x14ac:dyDescent="0.25">
      <c r="A27" s="99" t="str">
        <f>'Resultater - Vestdanmark'!A27</f>
        <v>Skovproduktion</v>
      </c>
      <c r="B27" s="99" t="str">
        <f>'Resultater - Vestdanmark'!B27</f>
        <v/>
      </c>
      <c r="C27" s="99" t="str">
        <f>'Resultater - Vestdanmark'!C27</f>
        <v>Skovtype2</v>
      </c>
      <c r="D27" s="99" t="str">
        <f>'Resultater - Vestdanmark'!D27</f>
        <v>Areal-skovtype2-10</v>
      </c>
      <c r="E27" s="99" t="str">
        <f>'Resultater - Vestdanmark'!E27</f>
        <v>Hektar</v>
      </c>
      <c r="F27" s="99" t="str">
        <f>'Resultater - Vestdanmark'!F27</f>
        <v>Træ til energi</v>
      </c>
      <c r="G27" s="99" t="str">
        <f>'Resultater - Vestdanmark'!G27</f>
        <v>m3</v>
      </c>
      <c r="H27" s="298">
        <f>'Resultater - Vestdanmark'!H27+'Resultater - Østdanmark'!H27</f>
        <v>0</v>
      </c>
      <c r="I27" s="299">
        <f>'Resultater - Vestdanmark'!I27+'Resultater - Østdanmark'!I27</f>
        <v>0</v>
      </c>
      <c r="J27" s="300">
        <f>'Resultater - Vestdanmark'!J27+'Resultater - Østdanmark'!J27</f>
        <v>0</v>
      </c>
    </row>
    <row r="28" spans="1:10" hidden="1" x14ac:dyDescent="0.25">
      <c r="A28" s="99" t="str">
        <f>'Resultater - Vestdanmark'!A28</f>
        <v>Skovproduktion</v>
      </c>
      <c r="B28" s="99" t="str">
        <f>'Resultater - Vestdanmark'!B28</f>
        <v/>
      </c>
      <c r="C28" s="99" t="str">
        <f>'Resultater - Vestdanmark'!C28</f>
        <v>Skovtype2</v>
      </c>
      <c r="D28" s="99" t="str">
        <f>'Resultater - Vestdanmark'!D28</f>
        <v>Areal-skovtype2-10</v>
      </c>
      <c r="E28" s="99" t="str">
        <f>'Resultater - Vestdanmark'!E28</f>
        <v>Hektar</v>
      </c>
      <c r="F28" s="99" t="str">
        <f>'Resultater - Vestdanmark'!F28</f>
        <v>CO2 - atmosfære</v>
      </c>
      <c r="G28" s="99" t="str">
        <f>'Resultater - Vestdanmark'!G28</f>
        <v>t CO2-ækvivalenter</v>
      </c>
      <c r="H28" s="298">
        <f>'Resultater - Vestdanmark'!H28+'Resultater - Østdanmark'!H28</f>
        <v>0</v>
      </c>
      <c r="I28" s="299">
        <f>'Resultater - Vestdanmark'!I28+'Resultater - Østdanmark'!I28</f>
        <v>0</v>
      </c>
      <c r="J28" s="300">
        <f>'Resultater - Vestdanmark'!J28+'Resultater - Østdanmark'!J28</f>
        <v>0</v>
      </c>
    </row>
    <row r="29" spans="1:10" hidden="1" x14ac:dyDescent="0.25">
      <c r="A29" s="99" t="str">
        <f>'Resultater - Vestdanmark'!A29</f>
        <v>Skovproduktion</v>
      </c>
      <c r="B29" s="99" t="str">
        <f>'Resultater - Vestdanmark'!B29</f>
        <v/>
      </c>
      <c r="C29" s="99" t="str">
        <f>'Resultater - Vestdanmark'!C29</f>
        <v>Skovtype2</v>
      </c>
      <c r="D29" s="99" t="str">
        <f>'Resultater - Vestdanmark'!D29</f>
        <v>Areal-skovtype2-20</v>
      </c>
      <c r="E29" s="99" t="str">
        <f>'Resultater - Vestdanmark'!E29</f>
        <v>Hektar</v>
      </c>
      <c r="F29" s="99" t="str">
        <f>'Resultater - Vestdanmark'!F29</f>
        <v>Træer</v>
      </c>
      <c r="G29" s="99" t="str">
        <f>'Resultater - Vestdanmark'!G29</f>
        <v>m3</v>
      </c>
      <c r="H29" s="298">
        <f>'Resultater - Vestdanmark'!H29+'Resultater - Østdanmark'!H29</f>
        <v>0</v>
      </c>
      <c r="I29" s="299">
        <f>'Resultater - Vestdanmark'!I29+'Resultater - Østdanmark'!I29</f>
        <v>0</v>
      </c>
      <c r="J29" s="300">
        <f>'Resultater - Vestdanmark'!J29+'Resultater - Østdanmark'!J29</f>
        <v>0</v>
      </c>
    </row>
    <row r="30" spans="1:10" hidden="1" x14ac:dyDescent="0.25">
      <c r="A30" s="99" t="str">
        <f>'Resultater - Vestdanmark'!A30</f>
        <v>Skovproduktion</v>
      </c>
      <c r="B30" s="99" t="str">
        <f>'Resultater - Vestdanmark'!B30</f>
        <v/>
      </c>
      <c r="C30" s="99" t="str">
        <f>'Resultater - Vestdanmark'!C30</f>
        <v>Skovtype2</v>
      </c>
      <c r="D30" s="99" t="str">
        <f>'Resultater - Vestdanmark'!D30</f>
        <v>Areal-skovtype2-20</v>
      </c>
      <c r="E30" s="99" t="str">
        <f>'Resultater - Vestdanmark'!E30</f>
        <v>Hektar</v>
      </c>
      <c r="F30" s="99" t="str">
        <f>'Resultater - Vestdanmark'!F30</f>
        <v>Træ til energi</v>
      </c>
      <c r="G30" s="99" t="str">
        <f>'Resultater - Vestdanmark'!G30</f>
        <v>m3</v>
      </c>
      <c r="H30" s="298">
        <f>'Resultater - Vestdanmark'!H30+'Resultater - Østdanmark'!H30</f>
        <v>0</v>
      </c>
      <c r="I30" s="299">
        <f>'Resultater - Vestdanmark'!I30+'Resultater - Østdanmark'!I30</f>
        <v>0</v>
      </c>
      <c r="J30" s="300">
        <f>'Resultater - Vestdanmark'!J30+'Resultater - Østdanmark'!J30</f>
        <v>0</v>
      </c>
    </row>
    <row r="31" spans="1:10" hidden="1" x14ac:dyDescent="0.25">
      <c r="A31" s="99" t="str">
        <f>'Resultater - Vestdanmark'!A31</f>
        <v>Skovproduktion</v>
      </c>
      <c r="B31" s="99" t="str">
        <f>'Resultater - Vestdanmark'!B31</f>
        <v/>
      </c>
      <c r="C31" s="99" t="str">
        <f>'Resultater - Vestdanmark'!C31</f>
        <v>Skovtype2</v>
      </c>
      <c r="D31" s="99" t="str">
        <f>'Resultater - Vestdanmark'!D31</f>
        <v>Areal-skovtype2-20</v>
      </c>
      <c r="E31" s="99" t="str">
        <f>'Resultater - Vestdanmark'!E31</f>
        <v>Hektar</v>
      </c>
      <c r="F31" s="99" t="str">
        <f>'Resultater - Vestdanmark'!F31</f>
        <v>CO2 - atmosfære</v>
      </c>
      <c r="G31" s="99" t="str">
        <f>'Resultater - Vestdanmark'!G31</f>
        <v>t CO2-ækvivalenter</v>
      </c>
      <c r="H31" s="298">
        <f>'Resultater - Vestdanmark'!H31+'Resultater - Østdanmark'!H31</f>
        <v>0</v>
      </c>
      <c r="I31" s="299">
        <f>'Resultater - Vestdanmark'!I31+'Resultater - Østdanmark'!I31</f>
        <v>0</v>
      </c>
      <c r="J31" s="300">
        <f>'Resultater - Vestdanmark'!J31+'Resultater - Østdanmark'!J31</f>
        <v>0</v>
      </c>
    </row>
    <row r="32" spans="1:10" hidden="1" x14ac:dyDescent="0.25">
      <c r="A32" s="99" t="str">
        <f>'Resultater - Vestdanmark'!A32</f>
        <v>Skovproduktion</v>
      </c>
      <c r="B32" s="99" t="str">
        <f>'Resultater - Vestdanmark'!B32</f>
        <v/>
      </c>
      <c r="C32" s="99" t="str">
        <f>'Resultater - Vestdanmark'!C32</f>
        <v>Skovtype2</v>
      </c>
      <c r="D32" s="99" t="str">
        <f>'Resultater - Vestdanmark'!D32</f>
        <v>Areal-skovtype2-30</v>
      </c>
      <c r="E32" s="99" t="str">
        <f>'Resultater - Vestdanmark'!E32</f>
        <v>Hektar</v>
      </c>
      <c r="F32" s="99" t="str">
        <f>'Resultater - Vestdanmark'!F32</f>
        <v>Træer</v>
      </c>
      <c r="G32" s="99" t="str">
        <f>'Resultater - Vestdanmark'!G32</f>
        <v>m3</v>
      </c>
      <c r="H32" s="298">
        <f>'Resultater - Vestdanmark'!H32+'Resultater - Østdanmark'!H32</f>
        <v>0</v>
      </c>
      <c r="I32" s="299">
        <f>'Resultater - Vestdanmark'!I32+'Resultater - Østdanmark'!I32</f>
        <v>0</v>
      </c>
      <c r="J32" s="300">
        <f>'Resultater - Vestdanmark'!J32+'Resultater - Østdanmark'!J32</f>
        <v>0</v>
      </c>
    </row>
    <row r="33" spans="1:10" hidden="1" x14ac:dyDescent="0.25">
      <c r="A33" s="99" t="str">
        <f>'Resultater - Vestdanmark'!A33</f>
        <v>Skovproduktion</v>
      </c>
      <c r="B33" s="99" t="str">
        <f>'Resultater - Vestdanmark'!B33</f>
        <v/>
      </c>
      <c r="C33" s="99" t="str">
        <f>'Resultater - Vestdanmark'!C33</f>
        <v>Skovtype2</v>
      </c>
      <c r="D33" s="99" t="str">
        <f>'Resultater - Vestdanmark'!D33</f>
        <v>Areal-skovtype2-30</v>
      </c>
      <c r="E33" s="99" t="str">
        <f>'Resultater - Vestdanmark'!E33</f>
        <v>Hektar</v>
      </c>
      <c r="F33" s="99" t="str">
        <f>'Resultater - Vestdanmark'!F33</f>
        <v>Træ til energi</v>
      </c>
      <c r="G33" s="99" t="str">
        <f>'Resultater - Vestdanmark'!G33</f>
        <v>m3</v>
      </c>
      <c r="H33" s="298">
        <f>'Resultater - Vestdanmark'!H33+'Resultater - Østdanmark'!H33</f>
        <v>0</v>
      </c>
      <c r="I33" s="299">
        <f>'Resultater - Vestdanmark'!I33+'Resultater - Østdanmark'!I33</f>
        <v>0</v>
      </c>
      <c r="J33" s="300">
        <f>'Resultater - Vestdanmark'!J33+'Resultater - Østdanmark'!J33</f>
        <v>0</v>
      </c>
    </row>
    <row r="34" spans="1:10" hidden="1" x14ac:dyDescent="0.25">
      <c r="A34" s="99" t="str">
        <f>'Resultater - Vestdanmark'!A34</f>
        <v>Skovproduktion</v>
      </c>
      <c r="B34" s="99" t="str">
        <f>'Resultater - Vestdanmark'!B34</f>
        <v/>
      </c>
      <c r="C34" s="99" t="str">
        <f>'Resultater - Vestdanmark'!C34</f>
        <v>Skovtype2</v>
      </c>
      <c r="D34" s="99" t="str">
        <f>'Resultater - Vestdanmark'!D34</f>
        <v>Areal-skovtype2-30</v>
      </c>
      <c r="E34" s="99" t="str">
        <f>'Resultater - Vestdanmark'!E34</f>
        <v>Hektar</v>
      </c>
      <c r="F34" s="99" t="str">
        <f>'Resultater - Vestdanmark'!F34</f>
        <v>CO2 - atmosfære</v>
      </c>
      <c r="G34" s="99" t="str">
        <f>'Resultater - Vestdanmark'!G34</f>
        <v>t CO2-ækvivalenter</v>
      </c>
      <c r="H34" s="298">
        <f>'Resultater - Vestdanmark'!H34+'Resultater - Østdanmark'!H34</f>
        <v>0</v>
      </c>
      <c r="I34" s="299">
        <f>'Resultater - Vestdanmark'!I34+'Resultater - Østdanmark'!I34</f>
        <v>0</v>
      </c>
      <c r="J34" s="300">
        <f>'Resultater - Vestdanmark'!J34+'Resultater - Østdanmark'!J34</f>
        <v>0</v>
      </c>
    </row>
    <row r="35" spans="1:10" hidden="1" x14ac:dyDescent="0.25">
      <c r="A35" s="99" t="str">
        <f>'Resultater - Vestdanmark'!A35</f>
        <v>Skovproduktion</v>
      </c>
      <c r="B35" s="99" t="str">
        <f>'Resultater - Vestdanmark'!B35</f>
        <v/>
      </c>
      <c r="C35" s="99" t="str">
        <f>'Resultater - Vestdanmark'!C35</f>
        <v>Skovtype2</v>
      </c>
      <c r="D35" s="99" t="str">
        <f>'Resultater - Vestdanmark'!D35</f>
        <v>Areal-skovtype2-40</v>
      </c>
      <c r="E35" s="99" t="str">
        <f>'Resultater - Vestdanmark'!E35</f>
        <v>Hektar</v>
      </c>
      <c r="F35" s="99" t="str">
        <f>'Resultater - Vestdanmark'!F35</f>
        <v>Træer</v>
      </c>
      <c r="G35" s="99" t="str">
        <f>'Resultater - Vestdanmark'!G35</f>
        <v>m3</v>
      </c>
      <c r="H35" s="298">
        <f>'Resultater - Vestdanmark'!H35+'Resultater - Østdanmark'!H35</f>
        <v>0</v>
      </c>
      <c r="I35" s="299">
        <f>'Resultater - Vestdanmark'!I35+'Resultater - Østdanmark'!I35</f>
        <v>0</v>
      </c>
      <c r="J35" s="300">
        <f>'Resultater - Vestdanmark'!J35+'Resultater - Østdanmark'!J35</f>
        <v>0</v>
      </c>
    </row>
    <row r="36" spans="1:10" hidden="1" x14ac:dyDescent="0.25">
      <c r="A36" s="99" t="str">
        <f>'Resultater - Vestdanmark'!A36</f>
        <v>Skovproduktion</v>
      </c>
      <c r="B36" s="99" t="str">
        <f>'Resultater - Vestdanmark'!B36</f>
        <v/>
      </c>
      <c r="C36" s="99" t="str">
        <f>'Resultater - Vestdanmark'!C36</f>
        <v>Skovtype2</v>
      </c>
      <c r="D36" s="99" t="str">
        <f>'Resultater - Vestdanmark'!D36</f>
        <v>Areal-skovtype2-40</v>
      </c>
      <c r="E36" s="99" t="str">
        <f>'Resultater - Vestdanmark'!E36</f>
        <v>Hektar</v>
      </c>
      <c r="F36" s="99" t="str">
        <f>'Resultater - Vestdanmark'!F36</f>
        <v>Træ til energi</v>
      </c>
      <c r="G36" s="99" t="str">
        <f>'Resultater - Vestdanmark'!G36</f>
        <v>m3</v>
      </c>
      <c r="H36" s="298">
        <f>'Resultater - Vestdanmark'!H36+'Resultater - Østdanmark'!H36</f>
        <v>0</v>
      </c>
      <c r="I36" s="299">
        <f>'Resultater - Vestdanmark'!I36+'Resultater - Østdanmark'!I36</f>
        <v>0</v>
      </c>
      <c r="J36" s="300">
        <f>'Resultater - Vestdanmark'!J36+'Resultater - Østdanmark'!J36</f>
        <v>0</v>
      </c>
    </row>
    <row r="37" spans="1:10" hidden="1" x14ac:dyDescent="0.25">
      <c r="A37" s="99" t="str">
        <f>'Resultater - Vestdanmark'!A37</f>
        <v>Skovproduktion</v>
      </c>
      <c r="B37" s="99" t="str">
        <f>'Resultater - Vestdanmark'!B37</f>
        <v/>
      </c>
      <c r="C37" s="99" t="str">
        <f>'Resultater - Vestdanmark'!C37</f>
        <v>Skovtype2</v>
      </c>
      <c r="D37" s="99" t="str">
        <f>'Resultater - Vestdanmark'!D37</f>
        <v>Areal-skovtype2-40</v>
      </c>
      <c r="E37" s="99" t="str">
        <f>'Resultater - Vestdanmark'!E37</f>
        <v>Hektar</v>
      </c>
      <c r="F37" s="99" t="str">
        <f>'Resultater - Vestdanmark'!F37</f>
        <v>CO2 - atmosfære</v>
      </c>
      <c r="G37" s="99" t="str">
        <f>'Resultater - Vestdanmark'!G37</f>
        <v>t CO2-ækvivalenter</v>
      </c>
      <c r="H37" s="298">
        <f>'Resultater - Vestdanmark'!H37+'Resultater - Østdanmark'!H37</f>
        <v>0</v>
      </c>
      <c r="I37" s="299">
        <f>'Resultater - Vestdanmark'!I37+'Resultater - Østdanmark'!I37</f>
        <v>0</v>
      </c>
      <c r="J37" s="300">
        <f>'Resultater - Vestdanmark'!J37+'Resultater - Østdanmark'!J37</f>
        <v>0</v>
      </c>
    </row>
    <row r="38" spans="1:10" hidden="1" x14ac:dyDescent="0.25">
      <c r="A38" s="99" t="str">
        <f>'Resultater - Vestdanmark'!A38</f>
        <v>Skovproduktion</v>
      </c>
      <c r="B38" s="99" t="str">
        <f>'Resultater - Vestdanmark'!B38</f>
        <v/>
      </c>
      <c r="C38" s="99" t="str">
        <f>'Resultater - Vestdanmark'!C38</f>
        <v>Skovtype3</v>
      </c>
      <c r="D38" s="99" t="str">
        <f>'Resultater - Vestdanmark'!D38</f>
        <v>Areal-skovtype3-10</v>
      </c>
      <c r="E38" s="99" t="str">
        <f>'Resultater - Vestdanmark'!E38</f>
        <v>Hektar</v>
      </c>
      <c r="F38" s="99" t="str">
        <f>'Resultater - Vestdanmark'!F38</f>
        <v>Træer</v>
      </c>
      <c r="G38" s="99" t="str">
        <f>'Resultater - Vestdanmark'!G38</f>
        <v>m3</v>
      </c>
      <c r="H38" s="298">
        <f>'Resultater - Vestdanmark'!H38+'Resultater - Østdanmark'!H38</f>
        <v>0</v>
      </c>
      <c r="I38" s="299">
        <f>'Resultater - Vestdanmark'!I38+'Resultater - Østdanmark'!I38</f>
        <v>0</v>
      </c>
      <c r="J38" s="300">
        <f>'Resultater - Vestdanmark'!J38+'Resultater - Østdanmark'!J38</f>
        <v>0</v>
      </c>
    </row>
    <row r="39" spans="1:10" hidden="1" x14ac:dyDescent="0.25">
      <c r="A39" s="99" t="str">
        <f>'Resultater - Vestdanmark'!A39</f>
        <v>Skovproduktion</v>
      </c>
      <c r="B39" s="99" t="str">
        <f>'Resultater - Vestdanmark'!B39</f>
        <v/>
      </c>
      <c r="C39" s="99" t="str">
        <f>'Resultater - Vestdanmark'!C39</f>
        <v>Skovtype3</v>
      </c>
      <c r="D39" s="99" t="str">
        <f>'Resultater - Vestdanmark'!D39</f>
        <v>Areal-skovtype3-10</v>
      </c>
      <c r="E39" s="99" t="str">
        <f>'Resultater - Vestdanmark'!E39</f>
        <v>Hektar</v>
      </c>
      <c r="F39" s="99" t="str">
        <f>'Resultater - Vestdanmark'!F39</f>
        <v>Træ til energi</v>
      </c>
      <c r="G39" s="99" t="str">
        <f>'Resultater - Vestdanmark'!G39</f>
        <v>m3</v>
      </c>
      <c r="H39" s="298">
        <f>'Resultater - Vestdanmark'!H39+'Resultater - Østdanmark'!H39</f>
        <v>0</v>
      </c>
      <c r="I39" s="299">
        <f>'Resultater - Vestdanmark'!I39+'Resultater - Østdanmark'!I39</f>
        <v>0</v>
      </c>
      <c r="J39" s="300">
        <f>'Resultater - Vestdanmark'!J39+'Resultater - Østdanmark'!J39</f>
        <v>0</v>
      </c>
    </row>
    <row r="40" spans="1:10" hidden="1" x14ac:dyDescent="0.25">
      <c r="A40" s="99" t="str">
        <f>'Resultater - Vestdanmark'!A40</f>
        <v>Skovproduktion</v>
      </c>
      <c r="B40" s="99" t="str">
        <f>'Resultater - Vestdanmark'!B40</f>
        <v/>
      </c>
      <c r="C40" s="99" t="str">
        <f>'Resultater - Vestdanmark'!C40</f>
        <v>Skovtype3</v>
      </c>
      <c r="D40" s="99" t="str">
        <f>'Resultater - Vestdanmark'!D40</f>
        <v>Areal-skovtype3-10</v>
      </c>
      <c r="E40" s="99" t="str">
        <f>'Resultater - Vestdanmark'!E40</f>
        <v>Hektar</v>
      </c>
      <c r="F40" s="99" t="str">
        <f>'Resultater - Vestdanmark'!F40</f>
        <v>CO2 - atmosfære</v>
      </c>
      <c r="G40" s="99" t="str">
        <f>'Resultater - Vestdanmark'!G40</f>
        <v>t CO2-ækvivalenter</v>
      </c>
      <c r="H40" s="298">
        <f>'Resultater - Vestdanmark'!H40+'Resultater - Østdanmark'!H40</f>
        <v>0</v>
      </c>
      <c r="I40" s="299">
        <f>'Resultater - Vestdanmark'!I40+'Resultater - Østdanmark'!I40</f>
        <v>0</v>
      </c>
      <c r="J40" s="300">
        <f>'Resultater - Vestdanmark'!J40+'Resultater - Østdanmark'!J40</f>
        <v>0</v>
      </c>
    </row>
    <row r="41" spans="1:10" hidden="1" x14ac:dyDescent="0.25">
      <c r="A41" s="99" t="str">
        <f>'Resultater - Vestdanmark'!A41</f>
        <v>Skovproduktion</v>
      </c>
      <c r="B41" s="99" t="str">
        <f>'Resultater - Vestdanmark'!B41</f>
        <v/>
      </c>
      <c r="C41" s="99" t="str">
        <f>'Resultater - Vestdanmark'!C41</f>
        <v>Skovtype3</v>
      </c>
      <c r="D41" s="99" t="str">
        <f>'Resultater - Vestdanmark'!D41</f>
        <v>Areal-skovtype3-20</v>
      </c>
      <c r="E41" s="99" t="str">
        <f>'Resultater - Vestdanmark'!E41</f>
        <v>Hektar</v>
      </c>
      <c r="F41" s="99" t="str">
        <f>'Resultater - Vestdanmark'!F41</f>
        <v>Træer</v>
      </c>
      <c r="G41" s="99" t="str">
        <f>'Resultater - Vestdanmark'!G41</f>
        <v>m3</v>
      </c>
      <c r="H41" s="298">
        <f>'Resultater - Vestdanmark'!H41+'Resultater - Østdanmark'!H41</f>
        <v>0</v>
      </c>
      <c r="I41" s="299">
        <f>'Resultater - Vestdanmark'!I41+'Resultater - Østdanmark'!I41</f>
        <v>0</v>
      </c>
      <c r="J41" s="300">
        <f>'Resultater - Vestdanmark'!J41+'Resultater - Østdanmark'!J41</f>
        <v>0</v>
      </c>
    </row>
    <row r="42" spans="1:10" hidden="1" x14ac:dyDescent="0.25">
      <c r="A42" s="99" t="str">
        <f>'Resultater - Vestdanmark'!A42</f>
        <v>Skovproduktion</v>
      </c>
      <c r="B42" s="99" t="str">
        <f>'Resultater - Vestdanmark'!B42</f>
        <v/>
      </c>
      <c r="C42" s="99" t="str">
        <f>'Resultater - Vestdanmark'!C42</f>
        <v>Skovtype3</v>
      </c>
      <c r="D42" s="99" t="str">
        <f>'Resultater - Vestdanmark'!D42</f>
        <v>Areal-skovtype3-20</v>
      </c>
      <c r="E42" s="99" t="str">
        <f>'Resultater - Vestdanmark'!E42</f>
        <v>Hektar</v>
      </c>
      <c r="F42" s="99" t="str">
        <f>'Resultater - Vestdanmark'!F42</f>
        <v>Træ til energi</v>
      </c>
      <c r="G42" s="99" t="str">
        <f>'Resultater - Vestdanmark'!G42</f>
        <v>m3</v>
      </c>
      <c r="H42" s="298">
        <f>'Resultater - Vestdanmark'!H42+'Resultater - Østdanmark'!H42</f>
        <v>0</v>
      </c>
      <c r="I42" s="299">
        <f>'Resultater - Vestdanmark'!I42+'Resultater - Østdanmark'!I42</f>
        <v>0</v>
      </c>
      <c r="J42" s="300">
        <f>'Resultater - Vestdanmark'!J42+'Resultater - Østdanmark'!J42</f>
        <v>0</v>
      </c>
    </row>
    <row r="43" spans="1:10" hidden="1" x14ac:dyDescent="0.25">
      <c r="A43" s="99" t="str">
        <f>'Resultater - Vestdanmark'!A43</f>
        <v>Skovproduktion</v>
      </c>
      <c r="B43" s="99" t="str">
        <f>'Resultater - Vestdanmark'!B43</f>
        <v/>
      </c>
      <c r="C43" s="99" t="str">
        <f>'Resultater - Vestdanmark'!C43</f>
        <v>Skovtype3</v>
      </c>
      <c r="D43" s="99" t="str">
        <f>'Resultater - Vestdanmark'!D43</f>
        <v>Areal-skovtype3-20</v>
      </c>
      <c r="E43" s="99" t="str">
        <f>'Resultater - Vestdanmark'!E43</f>
        <v>Hektar</v>
      </c>
      <c r="F43" s="99" t="str">
        <f>'Resultater - Vestdanmark'!F43</f>
        <v>CO2 - atmosfære</v>
      </c>
      <c r="G43" s="99" t="str">
        <f>'Resultater - Vestdanmark'!G43</f>
        <v>t CO2-ækvivalenter</v>
      </c>
      <c r="H43" s="298">
        <f>'Resultater - Vestdanmark'!H43+'Resultater - Østdanmark'!H43</f>
        <v>0</v>
      </c>
      <c r="I43" s="299">
        <f>'Resultater - Vestdanmark'!I43+'Resultater - Østdanmark'!I43</f>
        <v>0</v>
      </c>
      <c r="J43" s="300">
        <f>'Resultater - Vestdanmark'!J43+'Resultater - Østdanmark'!J43</f>
        <v>0</v>
      </c>
    </row>
    <row r="44" spans="1:10" hidden="1" x14ac:dyDescent="0.25">
      <c r="A44" s="99" t="str">
        <f>'Resultater - Vestdanmark'!A44</f>
        <v>Skovproduktion</v>
      </c>
      <c r="B44" s="99" t="str">
        <f>'Resultater - Vestdanmark'!B44</f>
        <v/>
      </c>
      <c r="C44" s="99" t="str">
        <f>'Resultater - Vestdanmark'!C44</f>
        <v>Skovtype3</v>
      </c>
      <c r="D44" s="99" t="str">
        <f>'Resultater - Vestdanmark'!D44</f>
        <v>Areal-skovtype3-30</v>
      </c>
      <c r="E44" s="99" t="str">
        <f>'Resultater - Vestdanmark'!E44</f>
        <v>Hektar</v>
      </c>
      <c r="F44" s="99" t="str">
        <f>'Resultater - Vestdanmark'!F44</f>
        <v>Træer</v>
      </c>
      <c r="G44" s="99" t="str">
        <f>'Resultater - Vestdanmark'!G44</f>
        <v>m3</v>
      </c>
      <c r="H44" s="298">
        <f>'Resultater - Vestdanmark'!H44+'Resultater - Østdanmark'!H44</f>
        <v>0</v>
      </c>
      <c r="I44" s="299">
        <f>'Resultater - Vestdanmark'!I44+'Resultater - Østdanmark'!I44</f>
        <v>0</v>
      </c>
      <c r="J44" s="300">
        <f>'Resultater - Vestdanmark'!J44+'Resultater - Østdanmark'!J44</f>
        <v>0</v>
      </c>
    </row>
    <row r="45" spans="1:10" hidden="1" x14ac:dyDescent="0.25">
      <c r="A45" s="99" t="str">
        <f>'Resultater - Vestdanmark'!A45</f>
        <v>Skovproduktion</v>
      </c>
      <c r="B45" s="99" t="str">
        <f>'Resultater - Vestdanmark'!B45</f>
        <v/>
      </c>
      <c r="C45" s="99" t="str">
        <f>'Resultater - Vestdanmark'!C45</f>
        <v>Skovtype3</v>
      </c>
      <c r="D45" s="99" t="str">
        <f>'Resultater - Vestdanmark'!D45</f>
        <v>Areal-skovtype3-30</v>
      </c>
      <c r="E45" s="99" t="str">
        <f>'Resultater - Vestdanmark'!E45</f>
        <v>Hektar</v>
      </c>
      <c r="F45" s="99" t="str">
        <f>'Resultater - Vestdanmark'!F45</f>
        <v>Træ til energi</v>
      </c>
      <c r="G45" s="99" t="str">
        <f>'Resultater - Vestdanmark'!G45</f>
        <v>m3</v>
      </c>
      <c r="H45" s="298">
        <f>'Resultater - Vestdanmark'!H45+'Resultater - Østdanmark'!H45</f>
        <v>0</v>
      </c>
      <c r="I45" s="299">
        <f>'Resultater - Vestdanmark'!I45+'Resultater - Østdanmark'!I45</f>
        <v>0</v>
      </c>
      <c r="J45" s="300">
        <f>'Resultater - Vestdanmark'!J45+'Resultater - Østdanmark'!J45</f>
        <v>0</v>
      </c>
    </row>
    <row r="46" spans="1:10" hidden="1" x14ac:dyDescent="0.25">
      <c r="A46" s="99" t="str">
        <f>'Resultater - Vestdanmark'!A46</f>
        <v>Skovproduktion</v>
      </c>
      <c r="B46" s="99" t="str">
        <f>'Resultater - Vestdanmark'!B46</f>
        <v/>
      </c>
      <c r="C46" s="99" t="str">
        <f>'Resultater - Vestdanmark'!C46</f>
        <v>Skovtype3</v>
      </c>
      <c r="D46" s="99" t="str">
        <f>'Resultater - Vestdanmark'!D46</f>
        <v>Areal-skovtype3-30</v>
      </c>
      <c r="E46" s="99" t="str">
        <f>'Resultater - Vestdanmark'!E46</f>
        <v>Hektar</v>
      </c>
      <c r="F46" s="99" t="str">
        <f>'Resultater - Vestdanmark'!F46</f>
        <v>CO2 - atmosfære</v>
      </c>
      <c r="G46" s="99" t="str">
        <f>'Resultater - Vestdanmark'!G46</f>
        <v>t CO2-ækvivalenter</v>
      </c>
      <c r="H46" s="298">
        <f>'Resultater - Vestdanmark'!H46+'Resultater - Østdanmark'!H46</f>
        <v>0</v>
      </c>
      <c r="I46" s="299">
        <f>'Resultater - Vestdanmark'!I46+'Resultater - Østdanmark'!I46</f>
        <v>0</v>
      </c>
      <c r="J46" s="300">
        <f>'Resultater - Vestdanmark'!J46+'Resultater - Østdanmark'!J46</f>
        <v>0</v>
      </c>
    </row>
    <row r="47" spans="1:10" hidden="1" x14ac:dyDescent="0.25">
      <c r="A47" s="99" t="str">
        <f>'Resultater - Vestdanmark'!A47</f>
        <v>Skovproduktion</v>
      </c>
      <c r="B47" s="99" t="str">
        <f>'Resultater - Vestdanmark'!B47</f>
        <v/>
      </c>
      <c r="C47" s="99" t="str">
        <f>'Resultater - Vestdanmark'!C47</f>
        <v>Skovtype3</v>
      </c>
      <c r="D47" s="99" t="str">
        <f>'Resultater - Vestdanmark'!D47</f>
        <v>Areal-skovtype3-40</v>
      </c>
      <c r="E47" s="99" t="str">
        <f>'Resultater - Vestdanmark'!E47</f>
        <v>Hektar</v>
      </c>
      <c r="F47" s="99" t="str">
        <f>'Resultater - Vestdanmark'!F47</f>
        <v>Træer</v>
      </c>
      <c r="G47" s="99" t="str">
        <f>'Resultater - Vestdanmark'!G47</f>
        <v>m3</v>
      </c>
      <c r="H47" s="298">
        <f>'Resultater - Vestdanmark'!H47+'Resultater - Østdanmark'!H47</f>
        <v>0</v>
      </c>
      <c r="I47" s="299">
        <f>'Resultater - Vestdanmark'!I47+'Resultater - Østdanmark'!I47</f>
        <v>0</v>
      </c>
      <c r="J47" s="300">
        <f>'Resultater - Vestdanmark'!J47+'Resultater - Østdanmark'!J47</f>
        <v>0</v>
      </c>
    </row>
    <row r="48" spans="1:10" hidden="1" x14ac:dyDescent="0.25">
      <c r="A48" s="99" t="str">
        <f>'Resultater - Vestdanmark'!A48</f>
        <v>Skovproduktion</v>
      </c>
      <c r="B48" s="99" t="str">
        <f>'Resultater - Vestdanmark'!B48</f>
        <v/>
      </c>
      <c r="C48" s="99" t="str">
        <f>'Resultater - Vestdanmark'!C48</f>
        <v>Skovtype3</v>
      </c>
      <c r="D48" s="99" t="str">
        <f>'Resultater - Vestdanmark'!D48</f>
        <v>Areal-skovtype3-40</v>
      </c>
      <c r="E48" s="99" t="str">
        <f>'Resultater - Vestdanmark'!E48</f>
        <v>Hektar</v>
      </c>
      <c r="F48" s="99" t="str">
        <f>'Resultater - Vestdanmark'!F48</f>
        <v>Træ til energi</v>
      </c>
      <c r="G48" s="99" t="str">
        <f>'Resultater - Vestdanmark'!G48</f>
        <v>m3</v>
      </c>
      <c r="H48" s="298">
        <f>'Resultater - Vestdanmark'!H48+'Resultater - Østdanmark'!H48</f>
        <v>0</v>
      </c>
      <c r="I48" s="299">
        <f>'Resultater - Vestdanmark'!I48+'Resultater - Østdanmark'!I48</f>
        <v>0</v>
      </c>
      <c r="J48" s="300">
        <f>'Resultater - Vestdanmark'!J48+'Resultater - Østdanmark'!J48</f>
        <v>0</v>
      </c>
    </row>
    <row r="49" spans="1:10" hidden="1" x14ac:dyDescent="0.25">
      <c r="A49" s="99" t="str">
        <f>'Resultater - Vestdanmark'!A49</f>
        <v>Skovproduktion</v>
      </c>
      <c r="B49" s="99" t="str">
        <f>'Resultater - Vestdanmark'!B49</f>
        <v/>
      </c>
      <c r="C49" s="99" t="str">
        <f>'Resultater - Vestdanmark'!C49</f>
        <v>Skovtype3</v>
      </c>
      <c r="D49" s="99" t="str">
        <f>'Resultater - Vestdanmark'!D49</f>
        <v>Areal-skovtype3-40</v>
      </c>
      <c r="E49" s="99" t="str">
        <f>'Resultater - Vestdanmark'!E49</f>
        <v>Hektar</v>
      </c>
      <c r="F49" s="99" t="str">
        <f>'Resultater - Vestdanmark'!F49</f>
        <v>CO2 - atmosfære</v>
      </c>
      <c r="G49" s="99" t="str">
        <f>'Resultater - Vestdanmark'!G49</f>
        <v>t CO2-ækvivalenter</v>
      </c>
      <c r="H49" s="298">
        <f>'Resultater - Vestdanmark'!H49+'Resultater - Østdanmark'!H49</f>
        <v>0</v>
      </c>
      <c r="I49" s="299">
        <f>'Resultater - Vestdanmark'!I49+'Resultater - Østdanmark'!I49</f>
        <v>0</v>
      </c>
      <c r="J49" s="300">
        <f>'Resultater - Vestdanmark'!J49+'Resultater - Østdanmark'!J49</f>
        <v>0</v>
      </c>
    </row>
    <row r="50" spans="1:10" hidden="1" x14ac:dyDescent="0.25">
      <c r="A50" s="99" t="str">
        <f>'Resultater - Vestdanmark'!A50</f>
        <v>Skovproduktion</v>
      </c>
      <c r="B50" s="99" t="str">
        <f>'Resultater - Vestdanmark'!B50</f>
        <v/>
      </c>
      <c r="C50" s="99" t="str">
        <f>'Resultater - Vestdanmark'!C50</f>
        <v>Skovtype4</v>
      </c>
      <c r="D50" s="99" t="str">
        <f>'Resultater - Vestdanmark'!D50</f>
        <v>Areal-skovtype4-10</v>
      </c>
      <c r="E50" s="99" t="str">
        <f>'Resultater - Vestdanmark'!E50</f>
        <v>Hektar</v>
      </c>
      <c r="F50" s="99" t="str">
        <f>'Resultater - Vestdanmark'!F50</f>
        <v>Træer</v>
      </c>
      <c r="G50" s="99" t="str">
        <f>'Resultater - Vestdanmark'!G50</f>
        <v>m3</v>
      </c>
      <c r="H50" s="298">
        <f>'Resultater - Vestdanmark'!H50+'Resultater - Østdanmark'!H50</f>
        <v>0</v>
      </c>
      <c r="I50" s="299">
        <f>'Resultater - Vestdanmark'!I50+'Resultater - Østdanmark'!I50</f>
        <v>0</v>
      </c>
      <c r="J50" s="300">
        <f>'Resultater - Vestdanmark'!J50+'Resultater - Østdanmark'!J50</f>
        <v>0</v>
      </c>
    </row>
    <row r="51" spans="1:10" hidden="1" x14ac:dyDescent="0.25">
      <c r="A51" s="99" t="str">
        <f>'Resultater - Vestdanmark'!A51</f>
        <v>Skovproduktion</v>
      </c>
      <c r="B51" s="99" t="str">
        <f>'Resultater - Vestdanmark'!B51</f>
        <v/>
      </c>
      <c r="C51" s="99" t="str">
        <f>'Resultater - Vestdanmark'!C51</f>
        <v>Skovtype4</v>
      </c>
      <c r="D51" s="99" t="str">
        <f>'Resultater - Vestdanmark'!D51</f>
        <v>Areal-skovtype4-10</v>
      </c>
      <c r="E51" s="99" t="str">
        <f>'Resultater - Vestdanmark'!E51</f>
        <v>Hektar</v>
      </c>
      <c r="F51" s="99" t="str">
        <f>'Resultater - Vestdanmark'!F51</f>
        <v>Træ til energi</v>
      </c>
      <c r="G51" s="99" t="str">
        <f>'Resultater - Vestdanmark'!G51</f>
        <v>m3</v>
      </c>
      <c r="H51" s="298">
        <f>'Resultater - Vestdanmark'!H51+'Resultater - Østdanmark'!H51</f>
        <v>0</v>
      </c>
      <c r="I51" s="299">
        <f>'Resultater - Vestdanmark'!I51+'Resultater - Østdanmark'!I51</f>
        <v>0</v>
      </c>
      <c r="J51" s="300">
        <f>'Resultater - Vestdanmark'!J51+'Resultater - Østdanmark'!J51</f>
        <v>0</v>
      </c>
    </row>
    <row r="52" spans="1:10" hidden="1" x14ac:dyDescent="0.25">
      <c r="A52" s="99" t="str">
        <f>'Resultater - Vestdanmark'!A52</f>
        <v>Skovproduktion</v>
      </c>
      <c r="B52" s="99" t="str">
        <f>'Resultater - Vestdanmark'!B52</f>
        <v/>
      </c>
      <c r="C52" s="99" t="str">
        <f>'Resultater - Vestdanmark'!C52</f>
        <v>Skovtype4</v>
      </c>
      <c r="D52" s="99" t="str">
        <f>'Resultater - Vestdanmark'!D52</f>
        <v>Areal-skovtype4-10</v>
      </c>
      <c r="E52" s="99" t="str">
        <f>'Resultater - Vestdanmark'!E52</f>
        <v>Hektar</v>
      </c>
      <c r="F52" s="99" t="str">
        <f>'Resultater - Vestdanmark'!F52</f>
        <v>CO2 - atmosfære</v>
      </c>
      <c r="G52" s="99" t="str">
        <f>'Resultater - Vestdanmark'!G52</f>
        <v>t CO2-ækvivalenter</v>
      </c>
      <c r="H52" s="298">
        <f>'Resultater - Vestdanmark'!H52+'Resultater - Østdanmark'!H52</f>
        <v>0</v>
      </c>
      <c r="I52" s="299">
        <f>'Resultater - Vestdanmark'!I52+'Resultater - Østdanmark'!I52</f>
        <v>0</v>
      </c>
      <c r="J52" s="300">
        <f>'Resultater - Vestdanmark'!J52+'Resultater - Østdanmark'!J52</f>
        <v>0</v>
      </c>
    </row>
    <row r="53" spans="1:10" hidden="1" x14ac:dyDescent="0.25">
      <c r="A53" s="99" t="str">
        <f>'Resultater - Vestdanmark'!A53</f>
        <v>Skovproduktion</v>
      </c>
      <c r="B53" s="99" t="str">
        <f>'Resultater - Vestdanmark'!B53</f>
        <v/>
      </c>
      <c r="C53" s="99" t="str">
        <f>'Resultater - Vestdanmark'!C53</f>
        <v>Skovtype4</v>
      </c>
      <c r="D53" s="99" t="str">
        <f>'Resultater - Vestdanmark'!D53</f>
        <v>Areal-skovtype4-20</v>
      </c>
      <c r="E53" s="99" t="str">
        <f>'Resultater - Vestdanmark'!E53</f>
        <v>Hektar</v>
      </c>
      <c r="F53" s="99" t="str">
        <f>'Resultater - Vestdanmark'!F53</f>
        <v>Træer</v>
      </c>
      <c r="G53" s="99" t="str">
        <f>'Resultater - Vestdanmark'!G53</f>
        <v>m3</v>
      </c>
      <c r="H53" s="298">
        <f>'Resultater - Vestdanmark'!H53+'Resultater - Østdanmark'!H53</f>
        <v>0</v>
      </c>
      <c r="I53" s="299">
        <f>'Resultater - Vestdanmark'!I53+'Resultater - Østdanmark'!I53</f>
        <v>0</v>
      </c>
      <c r="J53" s="300">
        <f>'Resultater - Vestdanmark'!J53+'Resultater - Østdanmark'!J53</f>
        <v>0</v>
      </c>
    </row>
    <row r="54" spans="1:10" hidden="1" x14ac:dyDescent="0.25">
      <c r="A54" s="99" t="str">
        <f>'Resultater - Vestdanmark'!A54</f>
        <v>Skovproduktion</v>
      </c>
      <c r="B54" s="99" t="str">
        <f>'Resultater - Vestdanmark'!B54</f>
        <v/>
      </c>
      <c r="C54" s="99" t="str">
        <f>'Resultater - Vestdanmark'!C54</f>
        <v>Skovtype4</v>
      </c>
      <c r="D54" s="99" t="str">
        <f>'Resultater - Vestdanmark'!D54</f>
        <v>Areal-skovtype4-20</v>
      </c>
      <c r="E54" s="99" t="str">
        <f>'Resultater - Vestdanmark'!E54</f>
        <v>Hektar</v>
      </c>
      <c r="F54" s="99" t="str">
        <f>'Resultater - Vestdanmark'!F54</f>
        <v>Træ til energi</v>
      </c>
      <c r="G54" s="99" t="str">
        <f>'Resultater - Vestdanmark'!G54</f>
        <v>m3</v>
      </c>
      <c r="H54" s="298">
        <f>'Resultater - Vestdanmark'!H54+'Resultater - Østdanmark'!H54</f>
        <v>0</v>
      </c>
      <c r="I54" s="299">
        <f>'Resultater - Vestdanmark'!I54+'Resultater - Østdanmark'!I54</f>
        <v>0</v>
      </c>
      <c r="J54" s="300">
        <f>'Resultater - Vestdanmark'!J54+'Resultater - Østdanmark'!J54</f>
        <v>0</v>
      </c>
    </row>
    <row r="55" spans="1:10" hidden="1" x14ac:dyDescent="0.25">
      <c r="A55" s="99" t="str">
        <f>'Resultater - Vestdanmark'!A55</f>
        <v>Skovproduktion</v>
      </c>
      <c r="B55" s="99" t="str">
        <f>'Resultater - Vestdanmark'!B55</f>
        <v/>
      </c>
      <c r="C55" s="99" t="str">
        <f>'Resultater - Vestdanmark'!C55</f>
        <v>Skovtype4</v>
      </c>
      <c r="D55" s="99" t="str">
        <f>'Resultater - Vestdanmark'!D55</f>
        <v>Areal-skovtype4-20</v>
      </c>
      <c r="E55" s="99" t="str">
        <f>'Resultater - Vestdanmark'!E55</f>
        <v>Hektar</v>
      </c>
      <c r="F55" s="99" t="str">
        <f>'Resultater - Vestdanmark'!F55</f>
        <v>CO2 - atmosfære</v>
      </c>
      <c r="G55" s="99" t="str">
        <f>'Resultater - Vestdanmark'!G55</f>
        <v>t CO2-ækvivalenter</v>
      </c>
      <c r="H55" s="298">
        <f>'Resultater - Vestdanmark'!H55+'Resultater - Østdanmark'!H55</f>
        <v>0</v>
      </c>
      <c r="I55" s="299">
        <f>'Resultater - Vestdanmark'!I55+'Resultater - Østdanmark'!I55</f>
        <v>0</v>
      </c>
      <c r="J55" s="300">
        <f>'Resultater - Vestdanmark'!J55+'Resultater - Østdanmark'!J55</f>
        <v>0</v>
      </c>
    </row>
    <row r="56" spans="1:10" hidden="1" x14ac:dyDescent="0.25">
      <c r="A56" s="99" t="str">
        <f>'Resultater - Vestdanmark'!A56</f>
        <v>Skovproduktion</v>
      </c>
      <c r="B56" s="99" t="str">
        <f>'Resultater - Vestdanmark'!B56</f>
        <v/>
      </c>
      <c r="C56" s="99" t="str">
        <f>'Resultater - Vestdanmark'!C56</f>
        <v>Skovtype4</v>
      </c>
      <c r="D56" s="99" t="str">
        <f>'Resultater - Vestdanmark'!D56</f>
        <v>Areal-skovtype4-30</v>
      </c>
      <c r="E56" s="99" t="str">
        <f>'Resultater - Vestdanmark'!E56</f>
        <v>Hektar</v>
      </c>
      <c r="F56" s="99" t="str">
        <f>'Resultater - Vestdanmark'!F56</f>
        <v>Træer</v>
      </c>
      <c r="G56" s="99" t="str">
        <f>'Resultater - Vestdanmark'!G56</f>
        <v>m3</v>
      </c>
      <c r="H56" s="298">
        <f>'Resultater - Vestdanmark'!H56+'Resultater - Østdanmark'!H56</f>
        <v>0</v>
      </c>
      <c r="I56" s="299">
        <f>'Resultater - Vestdanmark'!I56+'Resultater - Østdanmark'!I56</f>
        <v>0</v>
      </c>
      <c r="J56" s="300">
        <f>'Resultater - Vestdanmark'!J56+'Resultater - Østdanmark'!J56</f>
        <v>0</v>
      </c>
    </row>
    <row r="57" spans="1:10" hidden="1" x14ac:dyDescent="0.25">
      <c r="A57" s="99" t="str">
        <f>'Resultater - Vestdanmark'!A57</f>
        <v>Skovproduktion</v>
      </c>
      <c r="B57" s="99" t="str">
        <f>'Resultater - Vestdanmark'!B57</f>
        <v/>
      </c>
      <c r="C57" s="99" t="str">
        <f>'Resultater - Vestdanmark'!C57</f>
        <v>Skovtype4</v>
      </c>
      <c r="D57" s="99" t="str">
        <f>'Resultater - Vestdanmark'!D57</f>
        <v>Areal-skovtype4-30</v>
      </c>
      <c r="E57" s="99" t="str">
        <f>'Resultater - Vestdanmark'!E57</f>
        <v>Hektar</v>
      </c>
      <c r="F57" s="99" t="str">
        <f>'Resultater - Vestdanmark'!F57</f>
        <v>Træ til energi</v>
      </c>
      <c r="G57" s="99" t="str">
        <f>'Resultater - Vestdanmark'!G57</f>
        <v>m3</v>
      </c>
      <c r="H57" s="298">
        <f>'Resultater - Vestdanmark'!H57+'Resultater - Østdanmark'!H57</f>
        <v>0</v>
      </c>
      <c r="I57" s="299">
        <f>'Resultater - Vestdanmark'!I57+'Resultater - Østdanmark'!I57</f>
        <v>0</v>
      </c>
      <c r="J57" s="300">
        <f>'Resultater - Vestdanmark'!J57+'Resultater - Østdanmark'!J57</f>
        <v>0</v>
      </c>
    </row>
    <row r="58" spans="1:10" hidden="1" x14ac:dyDescent="0.25">
      <c r="A58" s="99" t="str">
        <f>'Resultater - Vestdanmark'!A58</f>
        <v>Skovproduktion</v>
      </c>
      <c r="B58" s="99" t="str">
        <f>'Resultater - Vestdanmark'!B58</f>
        <v/>
      </c>
      <c r="C58" s="99" t="str">
        <f>'Resultater - Vestdanmark'!C58</f>
        <v>Skovtype4</v>
      </c>
      <c r="D58" s="99" t="str">
        <f>'Resultater - Vestdanmark'!D58</f>
        <v>Areal-skovtype4-30</v>
      </c>
      <c r="E58" s="99" t="str">
        <f>'Resultater - Vestdanmark'!E58</f>
        <v>Hektar</v>
      </c>
      <c r="F58" s="99" t="str">
        <f>'Resultater - Vestdanmark'!F58</f>
        <v>CO2 - atmosfære</v>
      </c>
      <c r="G58" s="99" t="str">
        <f>'Resultater - Vestdanmark'!G58</f>
        <v>t CO2-ækvivalenter</v>
      </c>
      <c r="H58" s="298">
        <f>'Resultater - Vestdanmark'!H58+'Resultater - Østdanmark'!H58</f>
        <v>0</v>
      </c>
      <c r="I58" s="299">
        <f>'Resultater - Vestdanmark'!I58+'Resultater - Østdanmark'!I58</f>
        <v>0</v>
      </c>
      <c r="J58" s="300">
        <f>'Resultater - Vestdanmark'!J58+'Resultater - Østdanmark'!J58</f>
        <v>0</v>
      </c>
    </row>
    <row r="59" spans="1:10" hidden="1" x14ac:dyDescent="0.25">
      <c r="A59" s="99" t="str">
        <f>'Resultater - Vestdanmark'!A59</f>
        <v>Skovproduktion</v>
      </c>
      <c r="B59" s="99" t="str">
        <f>'Resultater - Vestdanmark'!B59</f>
        <v/>
      </c>
      <c r="C59" s="99" t="str">
        <f>'Resultater - Vestdanmark'!C59</f>
        <v>Skovtype4</v>
      </c>
      <c r="D59" s="99" t="str">
        <f>'Resultater - Vestdanmark'!D59</f>
        <v>Areal-skovtype4-40</v>
      </c>
      <c r="E59" s="99" t="str">
        <f>'Resultater - Vestdanmark'!E59</f>
        <v>Hektar</v>
      </c>
      <c r="F59" s="99" t="str">
        <f>'Resultater - Vestdanmark'!F59</f>
        <v>Træer</v>
      </c>
      <c r="G59" s="99" t="str">
        <f>'Resultater - Vestdanmark'!G59</f>
        <v>m3</v>
      </c>
      <c r="H59" s="298">
        <f>'Resultater - Vestdanmark'!H59+'Resultater - Østdanmark'!H59</f>
        <v>0</v>
      </c>
      <c r="I59" s="299">
        <f>'Resultater - Vestdanmark'!I59+'Resultater - Østdanmark'!I59</f>
        <v>0</v>
      </c>
      <c r="J59" s="300">
        <f>'Resultater - Vestdanmark'!J59+'Resultater - Østdanmark'!J59</f>
        <v>0</v>
      </c>
    </row>
    <row r="60" spans="1:10" hidden="1" x14ac:dyDescent="0.25">
      <c r="A60" s="99" t="str">
        <f>'Resultater - Vestdanmark'!A60</f>
        <v>Skovproduktion</v>
      </c>
      <c r="B60" s="99" t="str">
        <f>'Resultater - Vestdanmark'!B60</f>
        <v/>
      </c>
      <c r="C60" s="99" t="str">
        <f>'Resultater - Vestdanmark'!C60</f>
        <v>Skovtype4</v>
      </c>
      <c r="D60" s="99" t="str">
        <f>'Resultater - Vestdanmark'!D60</f>
        <v>Areal-skovtype4-40</v>
      </c>
      <c r="E60" s="99" t="str">
        <f>'Resultater - Vestdanmark'!E60</f>
        <v>Hektar</v>
      </c>
      <c r="F60" s="99" t="str">
        <f>'Resultater - Vestdanmark'!F60</f>
        <v>Træ til energi</v>
      </c>
      <c r="G60" s="99" t="str">
        <f>'Resultater - Vestdanmark'!G60</f>
        <v>m3</v>
      </c>
      <c r="H60" s="298">
        <f>'Resultater - Vestdanmark'!H60+'Resultater - Østdanmark'!H60</f>
        <v>0</v>
      </c>
      <c r="I60" s="299">
        <f>'Resultater - Vestdanmark'!I60+'Resultater - Østdanmark'!I60</f>
        <v>0</v>
      </c>
      <c r="J60" s="300">
        <f>'Resultater - Vestdanmark'!J60+'Resultater - Østdanmark'!J60</f>
        <v>0</v>
      </c>
    </row>
    <row r="61" spans="1:10" hidden="1" x14ac:dyDescent="0.25">
      <c r="A61" s="99" t="str">
        <f>'Resultater - Vestdanmark'!A61</f>
        <v>Skovproduktion</v>
      </c>
      <c r="B61" s="99" t="str">
        <f>'Resultater - Vestdanmark'!B61</f>
        <v/>
      </c>
      <c r="C61" s="99" t="str">
        <f>'Resultater - Vestdanmark'!C61</f>
        <v>Skovtype4</v>
      </c>
      <c r="D61" s="99" t="str">
        <f>'Resultater - Vestdanmark'!D61</f>
        <v>Areal-skovtype4-40</v>
      </c>
      <c r="E61" s="99" t="str">
        <f>'Resultater - Vestdanmark'!E61</f>
        <v>Hektar</v>
      </c>
      <c r="F61" s="99" t="str">
        <f>'Resultater - Vestdanmark'!F61</f>
        <v>CO2 - atmosfære</v>
      </c>
      <c r="G61" s="99" t="str">
        <f>'Resultater - Vestdanmark'!G61</f>
        <v>t CO2-ækvivalenter</v>
      </c>
      <c r="H61" s="298">
        <f>'Resultater - Vestdanmark'!H61+'Resultater - Østdanmark'!H61</f>
        <v>0</v>
      </c>
      <c r="I61" s="299">
        <f>'Resultater - Vestdanmark'!I61+'Resultater - Østdanmark'!I61</f>
        <v>0</v>
      </c>
      <c r="J61" s="300">
        <f>'Resultater - Vestdanmark'!J61+'Resultater - Østdanmark'!J61</f>
        <v>0</v>
      </c>
    </row>
    <row r="62" spans="1:10" hidden="1" x14ac:dyDescent="0.25">
      <c r="A62" s="99" t="str">
        <f>'Resultater - Vestdanmark'!A62</f>
        <v>Skovproduktion</v>
      </c>
      <c r="B62" s="99" t="str">
        <f>'Resultater - Vestdanmark'!B62</f>
        <v/>
      </c>
      <c r="C62" s="99" t="str">
        <f>'Resultater - Vestdanmark'!C62</f>
        <v>Skovtype5</v>
      </c>
      <c r="D62" s="99" t="str">
        <f>'Resultater - Vestdanmark'!D62</f>
        <v>Areal-skovtype5-10</v>
      </c>
      <c r="E62" s="99" t="str">
        <f>'Resultater - Vestdanmark'!E62</f>
        <v>Hektar</v>
      </c>
      <c r="F62" s="99" t="str">
        <f>'Resultater - Vestdanmark'!F62</f>
        <v>Træer</v>
      </c>
      <c r="G62" s="99" t="str">
        <f>'Resultater - Vestdanmark'!G62</f>
        <v>m3</v>
      </c>
      <c r="H62" s="298">
        <f>'Resultater - Vestdanmark'!H62+'Resultater - Østdanmark'!H62</f>
        <v>0</v>
      </c>
      <c r="I62" s="299">
        <f>'Resultater - Vestdanmark'!I62+'Resultater - Østdanmark'!I62</f>
        <v>0</v>
      </c>
      <c r="J62" s="300">
        <f>'Resultater - Vestdanmark'!J62+'Resultater - Østdanmark'!J62</f>
        <v>0</v>
      </c>
    </row>
    <row r="63" spans="1:10" hidden="1" x14ac:dyDescent="0.25">
      <c r="A63" s="99" t="str">
        <f>'Resultater - Vestdanmark'!A63</f>
        <v>Skovproduktion</v>
      </c>
      <c r="B63" s="99" t="str">
        <f>'Resultater - Vestdanmark'!B63</f>
        <v/>
      </c>
      <c r="C63" s="99" t="str">
        <f>'Resultater - Vestdanmark'!C63</f>
        <v>Skovtype5</v>
      </c>
      <c r="D63" s="99" t="str">
        <f>'Resultater - Vestdanmark'!D63</f>
        <v>Areal-skovtype5-10</v>
      </c>
      <c r="E63" s="99" t="str">
        <f>'Resultater - Vestdanmark'!E63</f>
        <v>Hektar</v>
      </c>
      <c r="F63" s="99" t="str">
        <f>'Resultater - Vestdanmark'!F63</f>
        <v>Træ til energi</v>
      </c>
      <c r="G63" s="99" t="str">
        <f>'Resultater - Vestdanmark'!G63</f>
        <v>m3</v>
      </c>
      <c r="H63" s="298">
        <f>'Resultater - Vestdanmark'!H63+'Resultater - Østdanmark'!H63</f>
        <v>0</v>
      </c>
      <c r="I63" s="299">
        <f>'Resultater - Vestdanmark'!I63+'Resultater - Østdanmark'!I63</f>
        <v>0</v>
      </c>
      <c r="J63" s="300">
        <f>'Resultater - Vestdanmark'!J63+'Resultater - Østdanmark'!J63</f>
        <v>0</v>
      </c>
    </row>
    <row r="64" spans="1:10" hidden="1" x14ac:dyDescent="0.25">
      <c r="A64" s="99" t="str">
        <f>'Resultater - Vestdanmark'!A64</f>
        <v>Skovproduktion</v>
      </c>
      <c r="B64" s="99" t="str">
        <f>'Resultater - Vestdanmark'!B64</f>
        <v/>
      </c>
      <c r="C64" s="99" t="str">
        <f>'Resultater - Vestdanmark'!C64</f>
        <v>Skovtype5</v>
      </c>
      <c r="D64" s="99" t="str">
        <f>'Resultater - Vestdanmark'!D64</f>
        <v>Areal-skovtype5-10</v>
      </c>
      <c r="E64" s="99" t="str">
        <f>'Resultater - Vestdanmark'!E64</f>
        <v>Hektar</v>
      </c>
      <c r="F64" s="99" t="str">
        <f>'Resultater - Vestdanmark'!F64</f>
        <v>CO2 - atmosfære</v>
      </c>
      <c r="G64" s="99" t="str">
        <f>'Resultater - Vestdanmark'!G64</f>
        <v>t CO2-ækvivalenter</v>
      </c>
      <c r="H64" s="298">
        <f>'Resultater - Vestdanmark'!H64+'Resultater - Østdanmark'!H64</f>
        <v>0</v>
      </c>
      <c r="I64" s="299">
        <f>'Resultater - Vestdanmark'!I64+'Resultater - Østdanmark'!I64</f>
        <v>0</v>
      </c>
      <c r="J64" s="300">
        <f>'Resultater - Vestdanmark'!J64+'Resultater - Østdanmark'!J64</f>
        <v>0</v>
      </c>
    </row>
    <row r="65" spans="1:10" hidden="1" x14ac:dyDescent="0.25">
      <c r="A65" s="99" t="str">
        <f>'Resultater - Vestdanmark'!A65</f>
        <v>Skovproduktion</v>
      </c>
      <c r="B65" s="99" t="str">
        <f>'Resultater - Vestdanmark'!B65</f>
        <v/>
      </c>
      <c r="C65" s="99" t="str">
        <f>'Resultater - Vestdanmark'!C65</f>
        <v>Skovtype5</v>
      </c>
      <c r="D65" s="99" t="str">
        <f>'Resultater - Vestdanmark'!D65</f>
        <v>Areal-skovtype5-20</v>
      </c>
      <c r="E65" s="99" t="str">
        <f>'Resultater - Vestdanmark'!E65</f>
        <v>Hektar</v>
      </c>
      <c r="F65" s="99" t="str">
        <f>'Resultater - Vestdanmark'!F65</f>
        <v>Træer</v>
      </c>
      <c r="G65" s="99" t="str">
        <f>'Resultater - Vestdanmark'!G65</f>
        <v>m3</v>
      </c>
      <c r="H65" s="298">
        <f>'Resultater - Vestdanmark'!H65+'Resultater - Østdanmark'!H65</f>
        <v>0</v>
      </c>
      <c r="I65" s="299">
        <f>'Resultater - Vestdanmark'!I65+'Resultater - Østdanmark'!I65</f>
        <v>0</v>
      </c>
      <c r="J65" s="300">
        <f>'Resultater - Vestdanmark'!J65+'Resultater - Østdanmark'!J65</f>
        <v>0</v>
      </c>
    </row>
    <row r="66" spans="1:10" hidden="1" x14ac:dyDescent="0.25">
      <c r="A66" s="99" t="str">
        <f>'Resultater - Vestdanmark'!A66</f>
        <v>Skovproduktion</v>
      </c>
      <c r="B66" s="99" t="str">
        <f>'Resultater - Vestdanmark'!B66</f>
        <v/>
      </c>
      <c r="C66" s="99" t="str">
        <f>'Resultater - Vestdanmark'!C66</f>
        <v>Skovtype5</v>
      </c>
      <c r="D66" s="99" t="str">
        <f>'Resultater - Vestdanmark'!D66</f>
        <v>Areal-skovtype5-20</v>
      </c>
      <c r="E66" s="99" t="str">
        <f>'Resultater - Vestdanmark'!E66</f>
        <v>Hektar</v>
      </c>
      <c r="F66" s="99" t="str">
        <f>'Resultater - Vestdanmark'!F66</f>
        <v>Træ til energi</v>
      </c>
      <c r="G66" s="99" t="str">
        <f>'Resultater - Vestdanmark'!G66</f>
        <v>m3</v>
      </c>
      <c r="H66" s="298">
        <f>'Resultater - Vestdanmark'!H66+'Resultater - Østdanmark'!H66</f>
        <v>0</v>
      </c>
      <c r="I66" s="299">
        <f>'Resultater - Vestdanmark'!I66+'Resultater - Østdanmark'!I66</f>
        <v>0</v>
      </c>
      <c r="J66" s="300">
        <f>'Resultater - Vestdanmark'!J66+'Resultater - Østdanmark'!J66</f>
        <v>0</v>
      </c>
    </row>
    <row r="67" spans="1:10" hidden="1" x14ac:dyDescent="0.25">
      <c r="A67" s="99" t="str">
        <f>'Resultater - Vestdanmark'!A67</f>
        <v>Skovproduktion</v>
      </c>
      <c r="B67" s="99" t="str">
        <f>'Resultater - Vestdanmark'!B67</f>
        <v/>
      </c>
      <c r="C67" s="99" t="str">
        <f>'Resultater - Vestdanmark'!C67</f>
        <v>Skovtype5</v>
      </c>
      <c r="D67" s="99" t="str">
        <f>'Resultater - Vestdanmark'!D67</f>
        <v>Areal-skovtype5-20</v>
      </c>
      <c r="E67" s="99" t="str">
        <f>'Resultater - Vestdanmark'!E67</f>
        <v>Hektar</v>
      </c>
      <c r="F67" s="99" t="str">
        <f>'Resultater - Vestdanmark'!F67</f>
        <v>CO2 - atmosfære</v>
      </c>
      <c r="G67" s="99" t="str">
        <f>'Resultater - Vestdanmark'!G67</f>
        <v>t CO2-ækvivalenter</v>
      </c>
      <c r="H67" s="298">
        <f>'Resultater - Vestdanmark'!H67+'Resultater - Østdanmark'!H67</f>
        <v>0</v>
      </c>
      <c r="I67" s="299">
        <f>'Resultater - Vestdanmark'!I67+'Resultater - Østdanmark'!I67</f>
        <v>0</v>
      </c>
      <c r="J67" s="300">
        <f>'Resultater - Vestdanmark'!J67+'Resultater - Østdanmark'!J67</f>
        <v>0</v>
      </c>
    </row>
    <row r="68" spans="1:10" hidden="1" x14ac:dyDescent="0.25">
      <c r="A68" s="99" t="str">
        <f>'Resultater - Vestdanmark'!A68</f>
        <v>Skovproduktion</v>
      </c>
      <c r="B68" s="99" t="str">
        <f>'Resultater - Vestdanmark'!B68</f>
        <v/>
      </c>
      <c r="C68" s="99" t="str">
        <f>'Resultater - Vestdanmark'!C68</f>
        <v>Skovtype5</v>
      </c>
      <c r="D68" s="99" t="str">
        <f>'Resultater - Vestdanmark'!D68</f>
        <v>Areal-skovtype5-30</v>
      </c>
      <c r="E68" s="99" t="str">
        <f>'Resultater - Vestdanmark'!E68</f>
        <v>Hektar</v>
      </c>
      <c r="F68" s="99" t="str">
        <f>'Resultater - Vestdanmark'!F68</f>
        <v>Træer</v>
      </c>
      <c r="G68" s="99" t="str">
        <f>'Resultater - Vestdanmark'!G68</f>
        <v>m3</v>
      </c>
      <c r="H68" s="298">
        <f>'Resultater - Vestdanmark'!H68+'Resultater - Østdanmark'!H68</f>
        <v>0</v>
      </c>
      <c r="I68" s="299">
        <f>'Resultater - Vestdanmark'!I68+'Resultater - Østdanmark'!I68</f>
        <v>0</v>
      </c>
      <c r="J68" s="300">
        <f>'Resultater - Vestdanmark'!J68+'Resultater - Østdanmark'!J68</f>
        <v>0</v>
      </c>
    </row>
    <row r="69" spans="1:10" hidden="1" x14ac:dyDescent="0.25">
      <c r="A69" s="99" t="str">
        <f>'Resultater - Vestdanmark'!A69</f>
        <v>Skovproduktion</v>
      </c>
      <c r="B69" s="99" t="str">
        <f>'Resultater - Vestdanmark'!B69</f>
        <v/>
      </c>
      <c r="C69" s="99" t="str">
        <f>'Resultater - Vestdanmark'!C69</f>
        <v>Skovtype5</v>
      </c>
      <c r="D69" s="99" t="str">
        <f>'Resultater - Vestdanmark'!D69</f>
        <v>Areal-skovtype5-30</v>
      </c>
      <c r="E69" s="99" t="str">
        <f>'Resultater - Vestdanmark'!E69</f>
        <v>Hektar</v>
      </c>
      <c r="F69" s="99" t="str">
        <f>'Resultater - Vestdanmark'!F69</f>
        <v>Træ til energi</v>
      </c>
      <c r="G69" s="99" t="str">
        <f>'Resultater - Vestdanmark'!G69</f>
        <v>m3</v>
      </c>
      <c r="H69" s="298">
        <f>'Resultater - Vestdanmark'!H69+'Resultater - Østdanmark'!H69</f>
        <v>0</v>
      </c>
      <c r="I69" s="299">
        <f>'Resultater - Vestdanmark'!I69+'Resultater - Østdanmark'!I69</f>
        <v>0</v>
      </c>
      <c r="J69" s="300">
        <f>'Resultater - Vestdanmark'!J69+'Resultater - Østdanmark'!J69</f>
        <v>0</v>
      </c>
    </row>
    <row r="70" spans="1:10" hidden="1" x14ac:dyDescent="0.25">
      <c r="A70" s="99" t="str">
        <f>'Resultater - Vestdanmark'!A70</f>
        <v>Skovproduktion</v>
      </c>
      <c r="B70" s="99" t="str">
        <f>'Resultater - Vestdanmark'!B70</f>
        <v/>
      </c>
      <c r="C70" s="99" t="str">
        <f>'Resultater - Vestdanmark'!C70</f>
        <v>Skovtype5</v>
      </c>
      <c r="D70" s="99" t="str">
        <f>'Resultater - Vestdanmark'!D70</f>
        <v>Areal-skovtype5-30</v>
      </c>
      <c r="E70" s="99" t="str">
        <f>'Resultater - Vestdanmark'!E70</f>
        <v>Hektar</v>
      </c>
      <c r="F70" s="99" t="str">
        <f>'Resultater - Vestdanmark'!F70</f>
        <v>CO2 - atmosfære</v>
      </c>
      <c r="G70" s="99" t="str">
        <f>'Resultater - Vestdanmark'!G70</f>
        <v>t CO2-ækvivalenter</v>
      </c>
      <c r="H70" s="298">
        <f>'Resultater - Vestdanmark'!H70+'Resultater - Østdanmark'!H70</f>
        <v>0</v>
      </c>
      <c r="I70" s="299">
        <f>'Resultater - Vestdanmark'!I70+'Resultater - Østdanmark'!I70</f>
        <v>0</v>
      </c>
      <c r="J70" s="300">
        <f>'Resultater - Vestdanmark'!J70+'Resultater - Østdanmark'!J70</f>
        <v>0</v>
      </c>
    </row>
    <row r="71" spans="1:10" hidden="1" x14ac:dyDescent="0.25">
      <c r="A71" s="99" t="str">
        <f>'Resultater - Vestdanmark'!A71</f>
        <v>Skovproduktion</v>
      </c>
      <c r="B71" s="99" t="str">
        <f>'Resultater - Vestdanmark'!B71</f>
        <v/>
      </c>
      <c r="C71" s="99" t="str">
        <f>'Resultater - Vestdanmark'!C71</f>
        <v>Skovtype5</v>
      </c>
      <c r="D71" s="99" t="str">
        <f>'Resultater - Vestdanmark'!D71</f>
        <v>Areal-skovtype5-40</v>
      </c>
      <c r="E71" s="99" t="str">
        <f>'Resultater - Vestdanmark'!E71</f>
        <v>Hektar</v>
      </c>
      <c r="F71" s="99" t="str">
        <f>'Resultater - Vestdanmark'!F71</f>
        <v>Træer</v>
      </c>
      <c r="G71" s="99" t="str">
        <f>'Resultater - Vestdanmark'!G71</f>
        <v>m3</v>
      </c>
      <c r="H71" s="298">
        <f>'Resultater - Vestdanmark'!H71+'Resultater - Østdanmark'!H71</f>
        <v>0</v>
      </c>
      <c r="I71" s="299">
        <f>'Resultater - Vestdanmark'!I71+'Resultater - Østdanmark'!I71</f>
        <v>0</v>
      </c>
      <c r="J71" s="300">
        <f>'Resultater - Vestdanmark'!J71+'Resultater - Østdanmark'!J71</f>
        <v>0</v>
      </c>
    </row>
    <row r="72" spans="1:10" hidden="1" x14ac:dyDescent="0.25">
      <c r="A72" s="99" t="str">
        <f>'Resultater - Vestdanmark'!A72</f>
        <v>Skovproduktion</v>
      </c>
      <c r="B72" s="99" t="str">
        <f>'Resultater - Vestdanmark'!B72</f>
        <v/>
      </c>
      <c r="C72" s="99" t="str">
        <f>'Resultater - Vestdanmark'!C72</f>
        <v>Skovtype5</v>
      </c>
      <c r="D72" s="99" t="str">
        <f>'Resultater - Vestdanmark'!D72</f>
        <v>Areal-skovtype5-40</v>
      </c>
      <c r="E72" s="99" t="str">
        <f>'Resultater - Vestdanmark'!E72</f>
        <v>Hektar</v>
      </c>
      <c r="F72" s="99" t="str">
        <f>'Resultater - Vestdanmark'!F72</f>
        <v>Træ til energi</v>
      </c>
      <c r="G72" s="99" t="str">
        <f>'Resultater - Vestdanmark'!G72</f>
        <v>m3</v>
      </c>
      <c r="H72" s="298">
        <f>'Resultater - Vestdanmark'!H72+'Resultater - Østdanmark'!H72</f>
        <v>0</v>
      </c>
      <c r="I72" s="299">
        <f>'Resultater - Vestdanmark'!I72+'Resultater - Østdanmark'!I72</f>
        <v>0</v>
      </c>
      <c r="J72" s="300">
        <f>'Resultater - Vestdanmark'!J72+'Resultater - Østdanmark'!J72</f>
        <v>0</v>
      </c>
    </row>
    <row r="73" spans="1:10" hidden="1" x14ac:dyDescent="0.25">
      <c r="A73" s="99" t="str">
        <f>'Resultater - Vestdanmark'!A73</f>
        <v>Skovproduktion</v>
      </c>
      <c r="B73" s="99" t="str">
        <f>'Resultater - Vestdanmark'!B73</f>
        <v/>
      </c>
      <c r="C73" s="99" t="str">
        <f>'Resultater - Vestdanmark'!C73</f>
        <v>Skovtype5</v>
      </c>
      <c r="D73" s="99" t="str">
        <f>'Resultater - Vestdanmark'!D73</f>
        <v>Areal-skovtype5-40</v>
      </c>
      <c r="E73" s="99" t="str">
        <f>'Resultater - Vestdanmark'!E73</f>
        <v>Hektar</v>
      </c>
      <c r="F73" s="99" t="str">
        <f>'Resultater - Vestdanmark'!F73</f>
        <v>CO2 - atmosfære</v>
      </c>
      <c r="G73" s="99" t="str">
        <f>'Resultater - Vestdanmark'!G73</f>
        <v>t CO2-ækvivalenter</v>
      </c>
      <c r="H73" s="298">
        <f>'Resultater - Vestdanmark'!H73+'Resultater - Østdanmark'!H73</f>
        <v>0</v>
      </c>
      <c r="I73" s="299">
        <f>'Resultater - Vestdanmark'!I73+'Resultater - Østdanmark'!I73</f>
        <v>0</v>
      </c>
      <c r="J73" s="300">
        <f>'Resultater - Vestdanmark'!J73+'Resultater - Østdanmark'!J73</f>
        <v>0</v>
      </c>
    </row>
    <row r="74" spans="1:10" hidden="1" x14ac:dyDescent="0.25">
      <c r="A74" s="99" t="str">
        <f>'Resultater - Vestdanmark'!A74</f>
        <v>Grisestald</v>
      </c>
      <c r="B74" s="99" t="str">
        <f>'Resultater - Vestdanmark'!B74</f>
        <v>Konventionel</v>
      </c>
      <c r="C74" s="99" t="str">
        <f>'Resultater - Vestdanmark'!C74</f>
        <v/>
      </c>
      <c r="D74" s="99" t="str">
        <f>'Resultater - Vestdanmark'!D74</f>
        <v>Svin</v>
      </c>
      <c r="E74" s="99" t="str">
        <f>'Resultater - Vestdanmark'!E74</f>
        <v>Antal</v>
      </c>
      <c r="F74" s="99" t="str">
        <f>'Resultater - Vestdanmark'!F74</f>
        <v>Slagtesvin</v>
      </c>
      <c r="G74" s="99" t="str">
        <f>'Resultater - Vestdanmark'!G74</f>
        <v>Antal</v>
      </c>
      <c r="H74" s="298">
        <f>'Resultater - Vestdanmark'!H74+'Resultater - Østdanmark'!H74</f>
        <v>16367972</v>
      </c>
      <c r="I74" s="299">
        <f>'Resultater - Vestdanmark'!I74+'Resultater - Østdanmark'!I74</f>
        <v>15999150.813625321</v>
      </c>
      <c r="J74" s="300">
        <f>'Resultater - Vestdanmark'!J74+'Resultater - Østdanmark'!J74</f>
        <v>15317211.798083663</v>
      </c>
    </row>
    <row r="75" spans="1:10" hidden="1" x14ac:dyDescent="0.25">
      <c r="A75" s="99" t="str">
        <f>'Resultater - Vestdanmark'!A75</f>
        <v>Grisestald</v>
      </c>
      <c r="B75" s="99" t="str">
        <f>'Resultater - Vestdanmark'!B75</f>
        <v>Konventionel</v>
      </c>
      <c r="C75" s="99" t="str">
        <f>'Resultater - Vestdanmark'!C75</f>
        <v/>
      </c>
      <c r="D75" s="99" t="str">
        <f>'Resultater - Vestdanmark'!D75</f>
        <v>Svin</v>
      </c>
      <c r="E75" s="99" t="str">
        <f>'Resultater - Vestdanmark'!E75</f>
        <v>Antal</v>
      </c>
      <c r="F75" s="99" t="str">
        <f>'Resultater - Vestdanmark'!F75</f>
        <v>Svinegylle</v>
      </c>
      <c r="G75" s="99" t="str">
        <f>'Resultater - Vestdanmark'!G75</f>
        <v>Ton</v>
      </c>
      <c r="H75" s="298">
        <f>'Resultater - Vestdanmark'!H75+'Resultater - Østdanmark'!H75</f>
        <v>17657000</v>
      </c>
      <c r="I75" s="299">
        <f>'Resultater - Vestdanmark'!I75+'Resultater - Østdanmark'!I75</f>
        <v>17259133.013923913</v>
      </c>
      <c r="J75" s="300">
        <f>'Resultater - Vestdanmark'!J75+'Resultater - Østdanmark'!J75</f>
        <v>16523489.209216831</v>
      </c>
    </row>
    <row r="76" spans="1:10" hidden="1" x14ac:dyDescent="0.25">
      <c r="A76" s="99" t="str">
        <f>'Resultater - Vestdanmark'!A76</f>
        <v>Grisestald</v>
      </c>
      <c r="B76" s="99" t="str">
        <f>'Resultater - Vestdanmark'!B76</f>
        <v>Konventionel</v>
      </c>
      <c r="C76" s="99" t="str">
        <f>'Resultater - Vestdanmark'!C76</f>
        <v/>
      </c>
      <c r="D76" s="99" t="str">
        <f>'Resultater - Vestdanmark'!D76</f>
        <v>Svin</v>
      </c>
      <c r="E76" s="99" t="str">
        <f>'Resultater - Vestdanmark'!E76</f>
        <v>Antal</v>
      </c>
      <c r="F76" s="99" t="str">
        <f>'Resultater - Vestdanmark'!F76</f>
        <v>Dybstrøelse</v>
      </c>
      <c r="G76" s="99" t="str">
        <f>'Resultater - Vestdanmark'!G76</f>
        <v>Ton</v>
      </c>
      <c r="H76" s="298">
        <f>'Resultater - Vestdanmark'!H76+'Resultater - Østdanmark'!H76</f>
        <v>2263500</v>
      </c>
      <c r="I76" s="299">
        <f>'Resultater - Vestdanmark'!I76+'Resultater - Østdanmark'!I76</f>
        <v>2212496.3231022703</v>
      </c>
      <c r="J76" s="300">
        <f>'Resultater - Vestdanmark'!J76+'Resultater - Østdanmark'!J76</f>
        <v>2118192.0952065638</v>
      </c>
    </row>
    <row r="77" spans="1:10" hidden="1" x14ac:dyDescent="0.25">
      <c r="A77" s="99" t="str">
        <f>'Resultater - Vestdanmark'!A77</f>
        <v>Grisestald</v>
      </c>
      <c r="B77" s="99" t="str">
        <f>'Resultater - Vestdanmark'!B77</f>
        <v>Konventionel</v>
      </c>
      <c r="C77" s="99" t="str">
        <f>'Resultater - Vestdanmark'!C77</f>
        <v/>
      </c>
      <c r="D77" s="99" t="str">
        <f>'Resultater - Vestdanmark'!D77</f>
        <v>Svin</v>
      </c>
      <c r="E77" s="99" t="str">
        <f>'Resultater - Vestdanmark'!E77</f>
        <v>Antal</v>
      </c>
      <c r="F77" s="99" t="str">
        <f>'Resultater - Vestdanmark'!F77</f>
        <v>Industriaffald</v>
      </c>
      <c r="G77" s="99" t="str">
        <f>'Resultater - Vestdanmark'!G77</f>
        <v>Ton</v>
      </c>
      <c r="H77" s="298">
        <f>'Resultater - Vestdanmark'!H77+'Resultater - Østdanmark'!H77</f>
        <v>185011.20708453766</v>
      </c>
      <c r="I77" s="299">
        <f>'Resultater - Vestdanmark'!I77+'Resultater - Østdanmark'!I77</f>
        <v>180842.33064159585</v>
      </c>
      <c r="J77" s="300">
        <f>'Resultater - Vestdanmark'!J77+'Resultater - Østdanmark'!J77</f>
        <v>173134.20648159587</v>
      </c>
    </row>
    <row r="78" spans="1:10" hidden="1" x14ac:dyDescent="0.25">
      <c r="A78" s="99" t="str">
        <f>'Resultater - Vestdanmark'!A78</f>
        <v>Grisestald</v>
      </c>
      <c r="B78" s="99" t="str">
        <f>'Resultater - Vestdanmark'!B78</f>
        <v>Konventionel</v>
      </c>
      <c r="C78" s="99" t="str">
        <f>'Resultater - Vestdanmark'!C78</f>
        <v/>
      </c>
      <c r="D78" s="99" t="str">
        <f>'Resultater - Vestdanmark'!D78</f>
        <v>Svin</v>
      </c>
      <c r="E78" s="99" t="str">
        <f>'Resultater - Vestdanmark'!E78</f>
        <v>Antal</v>
      </c>
      <c r="F78" s="99" t="str">
        <f>'Resultater - Vestdanmark'!F78</f>
        <v>Foder</v>
      </c>
      <c r="G78" s="99" t="str">
        <f>'Resultater - Vestdanmark'!G78</f>
        <v>FE</v>
      </c>
      <c r="H78" s="298">
        <f>'Resultater - Vestdanmark'!H78+'Resultater - Østdanmark'!H78</f>
        <v>-10101447931.960001</v>
      </c>
      <c r="I78" s="299">
        <f>'Resultater - Vestdanmark'!I78+'Resultater - Østdanmark'!I78</f>
        <v>-9873830973.0375652</v>
      </c>
      <c r="J78" s="300">
        <f>'Resultater - Vestdanmark'!J78+'Resultater - Østdanmark'!J78</f>
        <v>-9452974225.5879669</v>
      </c>
    </row>
    <row r="79" spans="1:10" x14ac:dyDescent="0.25">
      <c r="A79" s="99" t="str">
        <f>'Resultater - Vestdanmark'!A79</f>
        <v>Grisestald</v>
      </c>
      <c r="B79" s="99" t="str">
        <f>'Resultater - Vestdanmark'!B79</f>
        <v>Konventionel</v>
      </c>
      <c r="C79" s="99" t="str">
        <f>'Resultater - Vestdanmark'!C79</f>
        <v/>
      </c>
      <c r="D79" s="99" t="str">
        <f>'Resultater - Vestdanmark'!D79</f>
        <v>Svin</v>
      </c>
      <c r="E79" s="99" t="str">
        <f>'Resultater - Vestdanmark'!E79</f>
        <v>Antal</v>
      </c>
      <c r="F79" s="99" t="str">
        <f>'Resultater - Vestdanmark'!F79</f>
        <v>Halm</v>
      </c>
      <c r="G79" s="99" t="str">
        <f>'Resultater - Vestdanmark'!G79</f>
        <v>Ton</v>
      </c>
      <c r="H79" s="298">
        <f>'Resultater - Vestdanmark'!H79+'Resultater - Østdanmark'!H79</f>
        <v>-775790.06759999995</v>
      </c>
      <c r="I79" s="299">
        <f>'Resultater - Vestdanmark'!I79+'Resultater - Østdanmark'!I79</f>
        <v>-758309.11069770774</v>
      </c>
      <c r="J79" s="300">
        <f>'Resultater - Vestdanmark'!J79+'Resultater - Østdanmark'!J79</f>
        <v>-725987.35972170788</v>
      </c>
    </row>
    <row r="80" spans="1:10" hidden="1" x14ac:dyDescent="0.25">
      <c r="A80" s="99" t="str">
        <f>'Resultater - Vestdanmark'!A80</f>
        <v>Grisestald</v>
      </c>
      <c r="B80" s="99" t="str">
        <f>'Resultater - Vestdanmark'!B80</f>
        <v>Konventionel</v>
      </c>
      <c r="C80" s="99" t="str">
        <f>'Resultater - Vestdanmark'!C80</f>
        <v/>
      </c>
      <c r="D80" s="99" t="str">
        <f>'Resultater - Vestdanmark'!D80</f>
        <v>Svin</v>
      </c>
      <c r="E80" s="99" t="str">
        <f>'Resultater - Vestdanmark'!E80</f>
        <v>Antal</v>
      </c>
      <c r="F80" s="99" t="str">
        <f>'Resultater - Vestdanmark'!F80</f>
        <v>CO2 - atmosfære</v>
      </c>
      <c r="G80" s="99" t="str">
        <f>'Resultater - Vestdanmark'!G80</f>
        <v>t CO2-ækvivalenter</v>
      </c>
      <c r="H80" s="298">
        <f>'Resultater - Vestdanmark'!H80+'Resultater - Østdanmark'!H80</f>
        <v>1322792.8112606632</v>
      </c>
      <c r="I80" s="299">
        <f>'Resultater - Vestdanmark'!I80+'Resultater - Østdanmark'!I80</f>
        <v>1292986.1856153444</v>
      </c>
      <c r="J80" s="300">
        <f>'Resultater - Vestdanmark'!J80+'Resultater - Østdanmark'!J80</f>
        <v>1237874.6527096995</v>
      </c>
    </row>
    <row r="81" spans="1:10" hidden="1" x14ac:dyDescent="0.25">
      <c r="A81" s="99" t="str">
        <f>'Resultater - Vestdanmark'!A81</f>
        <v>Grisestald</v>
      </c>
      <c r="B81" s="99" t="str">
        <f>'Resultater - Vestdanmark'!B81</f>
        <v>Økologisk</v>
      </c>
      <c r="C81" s="99" t="str">
        <f>'Resultater - Vestdanmark'!C81</f>
        <v/>
      </c>
      <c r="D81" s="99" t="str">
        <f>'Resultater - Vestdanmark'!D81</f>
        <v>Svin</v>
      </c>
      <c r="E81" s="99" t="str">
        <f>'Resultater - Vestdanmark'!E81</f>
        <v>Antal</v>
      </c>
      <c r="F81" s="99" t="str">
        <f>'Resultater - Vestdanmark'!F81</f>
        <v>Slagtesvin</v>
      </c>
      <c r="G81" s="99" t="str">
        <f>'Resultater - Vestdanmark'!G81</f>
        <v>Antal</v>
      </c>
      <c r="H81" s="298">
        <f>'Resultater - Vestdanmark'!H81+'Resultater - Østdanmark'!H81</f>
        <v>232028</v>
      </c>
      <c r="I81" s="299">
        <f>'Resultater - Vestdanmark'!I81+'Resultater - Østdanmark'!I81</f>
        <v>357783.20368173748</v>
      </c>
      <c r="J81" s="300">
        <f>'Resultater - Vestdanmark'!J81+'Resultater - Østdanmark'!J81</f>
        <v>590300.70258388924</v>
      </c>
    </row>
    <row r="82" spans="1:10" hidden="1" x14ac:dyDescent="0.25">
      <c r="A82" s="99" t="str">
        <f>'Resultater - Vestdanmark'!A82</f>
        <v>Grisestald</v>
      </c>
      <c r="B82" s="99" t="str">
        <f>'Resultater - Vestdanmark'!B82</f>
        <v>Økologisk</v>
      </c>
      <c r="C82" s="99" t="str">
        <f>'Resultater - Vestdanmark'!C82</f>
        <v/>
      </c>
      <c r="D82" s="99" t="str">
        <f>'Resultater - Vestdanmark'!D82</f>
        <v>Svin</v>
      </c>
      <c r="E82" s="99" t="str">
        <f>'Resultater - Vestdanmark'!E82</f>
        <v>Antal</v>
      </c>
      <c r="F82" s="99" t="str">
        <f>'Resultater - Vestdanmark'!F82</f>
        <v>Svinegylle</v>
      </c>
      <c r="G82" s="99" t="str">
        <f>'Resultater - Vestdanmark'!G82</f>
        <v>Ton</v>
      </c>
      <c r="H82" s="298">
        <f>'Resultater - Vestdanmark'!H82+'Resultater - Østdanmark'!H82</f>
        <v>0</v>
      </c>
      <c r="I82" s="299">
        <f>'Resultater - Vestdanmark'!I82+'Resultater - Østdanmark'!I82</f>
        <v>0</v>
      </c>
      <c r="J82" s="300">
        <f>'Resultater - Vestdanmark'!J82+'Resultater - Østdanmark'!J82</f>
        <v>0</v>
      </c>
    </row>
    <row r="83" spans="1:10" hidden="1" x14ac:dyDescent="0.25">
      <c r="A83" s="99" t="str">
        <f>'Resultater - Vestdanmark'!A83</f>
        <v>Grisestald</v>
      </c>
      <c r="B83" s="99" t="str">
        <f>'Resultater - Vestdanmark'!B83</f>
        <v>Økologisk</v>
      </c>
      <c r="C83" s="99" t="str">
        <f>'Resultater - Vestdanmark'!C83</f>
        <v/>
      </c>
      <c r="D83" s="99" t="str">
        <f>'Resultater - Vestdanmark'!D83</f>
        <v>Svin</v>
      </c>
      <c r="E83" s="99" t="str">
        <f>'Resultater - Vestdanmark'!E83</f>
        <v>Antal</v>
      </c>
      <c r="F83" s="99" t="str">
        <f>'Resultater - Vestdanmark'!F83</f>
        <v>Dybstrøelse</v>
      </c>
      <c r="G83" s="99" t="str">
        <f>'Resultater - Vestdanmark'!G83</f>
        <v>Ton</v>
      </c>
      <c r="H83" s="298">
        <f>'Resultater - Vestdanmark'!H83+'Resultater - Østdanmark'!H83</f>
        <v>251500.00000000003</v>
      </c>
      <c r="I83" s="299">
        <f>'Resultater - Vestdanmark'!I83+'Resultater - Østdanmark'!I83</f>
        <v>387808.6943211896</v>
      </c>
      <c r="J83" s="300">
        <f>'Resultater - Vestdanmark'!J83+'Resultater - Østdanmark'!J83</f>
        <v>639839.27241474367</v>
      </c>
    </row>
    <row r="84" spans="1:10" hidden="1" x14ac:dyDescent="0.25">
      <c r="A84" s="99" t="str">
        <f>'Resultater - Vestdanmark'!A84</f>
        <v>Grisestald</v>
      </c>
      <c r="B84" s="99" t="str">
        <f>'Resultater - Vestdanmark'!B84</f>
        <v>Økologisk</v>
      </c>
      <c r="C84" s="99" t="str">
        <f>'Resultater - Vestdanmark'!C84</f>
        <v/>
      </c>
      <c r="D84" s="99" t="str">
        <f>'Resultater - Vestdanmark'!D84</f>
        <v>Svin</v>
      </c>
      <c r="E84" s="99" t="str">
        <f>'Resultater - Vestdanmark'!E84</f>
        <v>Antal</v>
      </c>
      <c r="F84" s="99" t="str">
        <f>'Resultater - Vestdanmark'!F84</f>
        <v>Industriaffald</v>
      </c>
      <c r="G84" s="99" t="str">
        <f>'Resultater - Vestdanmark'!G84</f>
        <v>Ton</v>
      </c>
      <c r="H84" s="298">
        <f>'Resultater - Vestdanmark'!H84+'Resultater - Østdanmark'!H84</f>
        <v>7691.8969154623392</v>
      </c>
      <c r="I84" s="299">
        <f>'Resultater - Vestdanmark'!I84+'Resultater - Østdanmark'!I84</f>
        <v>11860.773358404118</v>
      </c>
      <c r="J84" s="300">
        <f>'Resultater - Vestdanmark'!J84+'Resultater - Østdanmark'!J84</f>
        <v>19568.897518404112</v>
      </c>
    </row>
    <row r="85" spans="1:10" hidden="1" x14ac:dyDescent="0.25">
      <c r="A85" s="99" t="str">
        <f>'Resultater - Vestdanmark'!A85</f>
        <v>Grisestald</v>
      </c>
      <c r="B85" s="99" t="str">
        <f>'Resultater - Vestdanmark'!B85</f>
        <v>Økologisk</v>
      </c>
      <c r="C85" s="99" t="str">
        <f>'Resultater - Vestdanmark'!C85</f>
        <v/>
      </c>
      <c r="D85" s="99" t="str">
        <f>'Resultater - Vestdanmark'!D85</f>
        <v>Svin</v>
      </c>
      <c r="E85" s="99" t="str">
        <f>'Resultater - Vestdanmark'!E85</f>
        <v>Antal</v>
      </c>
      <c r="F85" s="99" t="str">
        <f>'Resultater - Vestdanmark'!F85</f>
        <v>Foder</v>
      </c>
      <c r="G85" s="99" t="str">
        <f>'Resultater - Vestdanmark'!G85</f>
        <v>FE</v>
      </c>
      <c r="H85" s="298">
        <f>'Resultater - Vestdanmark'!H85+'Resultater - Østdanmark'!H85</f>
        <v>-419970754.27999997</v>
      </c>
      <c r="I85" s="299">
        <f>'Resultater - Vestdanmark'!I85+'Resultater - Østdanmark'!I85</f>
        <v>-647587713.20243311</v>
      </c>
      <c r="J85" s="300">
        <f>'Resultater - Vestdanmark'!J85+'Resultater - Østdanmark'!J85</f>
        <v>-1068444460.6520331</v>
      </c>
    </row>
    <row r="86" spans="1:10" x14ac:dyDescent="0.25">
      <c r="A86" s="99" t="str">
        <f>'Resultater - Vestdanmark'!A86</f>
        <v>Grisestald</v>
      </c>
      <c r="B86" s="99" t="str">
        <f>'Resultater - Vestdanmark'!B86</f>
        <v>Økologisk</v>
      </c>
      <c r="C86" s="99" t="str">
        <f>'Resultater - Vestdanmark'!C86</f>
        <v/>
      </c>
      <c r="D86" s="99" t="str">
        <f>'Resultater - Vestdanmark'!D86</f>
        <v>Svin</v>
      </c>
      <c r="E86" s="99" t="str">
        <f>'Resultater - Vestdanmark'!E86</f>
        <v>Antal</v>
      </c>
      <c r="F86" s="99" t="str">
        <f>'Resultater - Vestdanmark'!F86</f>
        <v>Halm</v>
      </c>
      <c r="G86" s="99" t="str">
        <f>'Resultater - Vestdanmark'!G86</f>
        <v>Ton</v>
      </c>
      <c r="H86" s="298">
        <f>'Resultater - Vestdanmark'!H86+'Resultater - Østdanmark'!H86</f>
        <v>-28350.861000000001</v>
      </c>
      <c r="I86" s="299">
        <f>'Resultater - Vestdanmark'!I86+'Resultater - Østdanmark'!I86</f>
        <v>-43716.542295393781</v>
      </c>
      <c r="J86" s="300">
        <f>'Resultater - Vestdanmark'!J86+'Resultater - Østdanmark'!J86</f>
        <v>-72127.21381539377</v>
      </c>
    </row>
    <row r="87" spans="1:10" hidden="1" x14ac:dyDescent="0.25">
      <c r="A87" s="99" t="str">
        <f>'Resultater - Vestdanmark'!A87</f>
        <v>Grisestald</v>
      </c>
      <c r="B87" s="99" t="str">
        <f>'Resultater - Vestdanmark'!B87</f>
        <v>Økologisk</v>
      </c>
      <c r="C87" s="99" t="str">
        <f>'Resultater - Vestdanmark'!C87</f>
        <v/>
      </c>
      <c r="D87" s="99" t="str">
        <f>'Resultater - Vestdanmark'!D87</f>
        <v>Svin</v>
      </c>
      <c r="E87" s="99" t="str">
        <f>'Resultater - Vestdanmark'!E87</f>
        <v>Antal</v>
      </c>
      <c r="F87" s="99" t="str">
        <f>'Resultater - Vestdanmark'!F87</f>
        <v>CO2 - atmosfære</v>
      </c>
      <c r="G87" s="99" t="str">
        <f>'Resultater - Vestdanmark'!G87</f>
        <v>t CO2-ækvivalenter</v>
      </c>
      <c r="H87" s="298">
        <f>'Resultater - Vestdanmark'!H87+'Resultater - Østdanmark'!H87</f>
        <v>60495.062518513841</v>
      </c>
      <c r="I87" s="299">
        <f>'Resultater - Vestdanmark'!I87+'Resultater - Østdanmark'!I87</f>
        <v>93282.350728364167</v>
      </c>
      <c r="J87" s="300">
        <f>'Resultater - Vestdanmark'!J87+'Resultater - Østdanmark'!J87</f>
        <v>153905.03692457388</v>
      </c>
    </row>
    <row r="88" spans="1:10" hidden="1" x14ac:dyDescent="0.25">
      <c r="A88" s="99" t="str">
        <f>'Resultater - Vestdanmark'!A88</f>
        <v>Kostald</v>
      </c>
      <c r="B88" s="99" t="str">
        <f>'Resultater - Vestdanmark'!B88</f>
        <v>Konventionel</v>
      </c>
      <c r="C88" s="99" t="str">
        <f>'Resultater - Vestdanmark'!C88</f>
        <v/>
      </c>
      <c r="D88" s="99" t="str">
        <f>'Resultater - Vestdanmark'!D88</f>
        <v>Køer</v>
      </c>
      <c r="E88" s="99" t="str">
        <f>'Resultater - Vestdanmark'!E88</f>
        <v>Antal</v>
      </c>
      <c r="F88" s="99" t="str">
        <f>'Resultater - Vestdanmark'!F88</f>
        <v>Slagtekøer</v>
      </c>
      <c r="G88" s="99" t="str">
        <f>'Resultater - Vestdanmark'!G88</f>
        <v>Antal</v>
      </c>
      <c r="H88" s="298">
        <f>'Resultater - Vestdanmark'!H88+'Resultater - Østdanmark'!H88</f>
        <v>440600</v>
      </c>
      <c r="I88" s="299">
        <f>'Resultater - Vestdanmark'!I88+'Resultater - Østdanmark'!I88</f>
        <v>429380.51670086844</v>
      </c>
      <c r="J88" s="300">
        <f>'Resultater - Vestdanmark'!J88+'Resultater - Østdanmark'!J88</f>
        <v>408636.03759135393</v>
      </c>
    </row>
    <row r="89" spans="1:10" hidden="1" x14ac:dyDescent="0.25">
      <c r="A89" s="99" t="str">
        <f>'Resultater - Vestdanmark'!A89</f>
        <v>Kostald</v>
      </c>
      <c r="B89" s="99" t="str">
        <f>'Resultater - Vestdanmark'!B89</f>
        <v>Konventionel</v>
      </c>
      <c r="C89" s="99" t="str">
        <f>'Resultater - Vestdanmark'!C89</f>
        <v/>
      </c>
      <c r="D89" s="99" t="str">
        <f>'Resultater - Vestdanmark'!D89</f>
        <v>Køer</v>
      </c>
      <c r="E89" s="99" t="str">
        <f>'Resultater - Vestdanmark'!E89</f>
        <v>Antal</v>
      </c>
      <c r="F89" s="99" t="str">
        <f>'Resultater - Vestdanmark'!F89</f>
        <v>Kvæggylle</v>
      </c>
      <c r="G89" s="99" t="str">
        <f>'Resultater - Vestdanmark'!G89</f>
        <v>Ton</v>
      </c>
      <c r="H89" s="298">
        <f>'Resultater - Vestdanmark'!H89+'Resultater - Østdanmark'!H89</f>
        <v>12785500</v>
      </c>
      <c r="I89" s="299">
        <f>'Resultater - Vestdanmark'!I89+'Resultater - Østdanmark'!I89</f>
        <v>12459928.725099757</v>
      </c>
      <c r="J89" s="300">
        <f>'Resultater - Vestdanmark'!J89+'Resultater - Østdanmark'!J89</f>
        <v>11857957.463967897</v>
      </c>
    </row>
    <row r="90" spans="1:10" hidden="1" x14ac:dyDescent="0.25">
      <c r="A90" s="99" t="str">
        <f>'Resultater - Vestdanmark'!A90</f>
        <v>Kostald</v>
      </c>
      <c r="B90" s="99" t="str">
        <f>'Resultater - Vestdanmark'!B90</f>
        <v>Konventionel</v>
      </c>
      <c r="C90" s="99" t="str">
        <f>'Resultater - Vestdanmark'!C90</f>
        <v/>
      </c>
      <c r="D90" s="99" t="str">
        <f>'Resultater - Vestdanmark'!D90</f>
        <v>Køer</v>
      </c>
      <c r="E90" s="99" t="str">
        <f>'Resultater - Vestdanmark'!E90</f>
        <v>Antal</v>
      </c>
      <c r="F90" s="99" t="str">
        <f>'Resultater - Vestdanmark'!F90</f>
        <v>Dybstrøelse</v>
      </c>
      <c r="G90" s="99" t="str">
        <f>'Resultater - Vestdanmark'!G90</f>
        <v>Ton</v>
      </c>
      <c r="H90" s="298">
        <f>'Resultater - Vestdanmark'!H90+'Resultater - Østdanmark'!H90</f>
        <v>250560.00000000003</v>
      </c>
      <c r="I90" s="299">
        <f>'Resultater - Vestdanmark'!I90+'Resultater - Østdanmark'!I90</f>
        <v>244179.71462680344</v>
      </c>
      <c r="J90" s="300">
        <f>'Resultater - Vestdanmark'!J90+'Resultater - Østdanmark'!J90</f>
        <v>232382.76345639958</v>
      </c>
    </row>
    <row r="91" spans="1:10" hidden="1" x14ac:dyDescent="0.25">
      <c r="A91" s="99" t="str">
        <f>'Resultater - Vestdanmark'!A91</f>
        <v>Kostald</v>
      </c>
      <c r="B91" s="99" t="str">
        <f>'Resultater - Vestdanmark'!B91</f>
        <v>Konventionel</v>
      </c>
      <c r="C91" s="99" t="str">
        <f>'Resultater - Vestdanmark'!C91</f>
        <v/>
      </c>
      <c r="D91" s="99" t="str">
        <f>'Resultater - Vestdanmark'!D91</f>
        <v>Køer</v>
      </c>
      <c r="E91" s="99" t="str">
        <f>'Resultater - Vestdanmark'!E91</f>
        <v>Antal</v>
      </c>
      <c r="F91" s="99" t="str">
        <f>'Resultater - Vestdanmark'!F91</f>
        <v>Råmælk</v>
      </c>
      <c r="G91" s="99" t="str">
        <f>'Resultater - Vestdanmark'!G91</f>
        <v>Ton</v>
      </c>
      <c r="H91" s="298">
        <f>'Resultater - Vestdanmark'!H91+'Resultater - Østdanmark'!H91</f>
        <v>4786000</v>
      </c>
      <c r="I91" s="299">
        <f>'Resultater - Vestdanmark'!I91+'Resultater - Østdanmark'!I91</f>
        <v>4664128.8082849663</v>
      </c>
      <c r="J91" s="300">
        <f>'Resultater - Vestdanmark'!J91+'Resultater - Østdanmark'!J91</f>
        <v>4438792.7278988203</v>
      </c>
    </row>
    <row r="92" spans="1:10" hidden="1" x14ac:dyDescent="0.25">
      <c r="A92" s="99" t="str">
        <f>'Resultater - Vestdanmark'!A92</f>
        <v>Kostald</v>
      </c>
      <c r="B92" s="99" t="str">
        <f>'Resultater - Vestdanmark'!B92</f>
        <v>Konventionel</v>
      </c>
      <c r="C92" s="99" t="str">
        <f>'Resultater - Vestdanmark'!C92</f>
        <v/>
      </c>
      <c r="D92" s="99" t="str">
        <f>'Resultater - Vestdanmark'!D92</f>
        <v>Køer</v>
      </c>
      <c r="E92" s="99" t="str">
        <f>'Resultater - Vestdanmark'!E92</f>
        <v>Antal</v>
      </c>
      <c r="F92" s="99" t="str">
        <f>'Resultater - Vestdanmark'!F92</f>
        <v>Industriaffald</v>
      </c>
      <c r="G92" s="99" t="str">
        <f>'Resultater - Vestdanmark'!G92</f>
        <v>Ton</v>
      </c>
      <c r="H92" s="298">
        <f>'Resultater - Vestdanmark'!H92+'Resultater - Østdanmark'!H92</f>
        <v>54522.149641311174</v>
      </c>
      <c r="I92" s="299">
        <f>'Resultater - Vestdanmark'!I92+'Resultater - Østdanmark'!I92</f>
        <v>53133.792066791335</v>
      </c>
      <c r="J92" s="300">
        <f>'Resultater - Vestdanmark'!J92+'Resultater - Østdanmark'!J92</f>
        <v>50566.761666791324</v>
      </c>
    </row>
    <row r="93" spans="1:10" hidden="1" x14ac:dyDescent="0.25">
      <c r="A93" s="99" t="str">
        <f>'Resultater - Vestdanmark'!A93</f>
        <v>Kostald</v>
      </c>
      <c r="B93" s="99" t="str">
        <f>'Resultater - Vestdanmark'!B93</f>
        <v>Konventionel</v>
      </c>
      <c r="C93" s="99" t="str">
        <f>'Resultater - Vestdanmark'!C93</f>
        <v/>
      </c>
      <c r="D93" s="99" t="str">
        <f>'Resultater - Vestdanmark'!D93</f>
        <v>Køer</v>
      </c>
      <c r="E93" s="99" t="str">
        <f>'Resultater - Vestdanmark'!E93</f>
        <v>Antal</v>
      </c>
      <c r="F93" s="99" t="str">
        <f>'Resultater - Vestdanmark'!F93</f>
        <v>Foder</v>
      </c>
      <c r="G93" s="99" t="str">
        <f>'Resultater - Vestdanmark'!G93</f>
        <v>FE</v>
      </c>
      <c r="H93" s="298">
        <f>'Resultater - Vestdanmark'!H93+'Resultater - Østdanmark'!H93</f>
        <v>-3317225912</v>
      </c>
      <c r="I93" s="299">
        <f>'Resultater - Vestdanmark'!I93+'Resultater - Østdanmark'!I93</f>
        <v>-3232755733.3365173</v>
      </c>
      <c r="J93" s="300">
        <f>'Resultater - Vestdanmark'!J93+'Resultater - Østdanmark'!J93</f>
        <v>-3076572974.2965169</v>
      </c>
    </row>
    <row r="94" spans="1:10" x14ac:dyDescent="0.25">
      <c r="A94" s="99" t="str">
        <f>'Resultater - Vestdanmark'!A94</f>
        <v>Kostald</v>
      </c>
      <c r="B94" s="99" t="str">
        <f>'Resultater - Vestdanmark'!B94</f>
        <v>Konventionel</v>
      </c>
      <c r="C94" s="99" t="str">
        <f>'Resultater - Vestdanmark'!C94</f>
        <v/>
      </c>
      <c r="D94" s="99" t="str">
        <f>'Resultater - Vestdanmark'!D94</f>
        <v>Køer</v>
      </c>
      <c r="E94" s="99" t="str">
        <f>'Resultater - Vestdanmark'!E94</f>
        <v>Antal</v>
      </c>
      <c r="F94" s="99" t="str">
        <f>'Resultater - Vestdanmark'!F94</f>
        <v>Halm</v>
      </c>
      <c r="G94" s="99" t="str">
        <f>'Resultater - Vestdanmark'!G94</f>
        <v>Ton</v>
      </c>
      <c r="H94" s="298">
        <f>'Resultater - Vestdanmark'!H94+'Resultater - Østdanmark'!H94</f>
        <v>-13874.569799999999</v>
      </c>
      <c r="I94" s="299">
        <f>'Resultater - Vestdanmark'!I94+'Resultater - Østdanmark'!I94</f>
        <v>-13521.266340731423</v>
      </c>
      <c r="J94" s="300">
        <f>'Resultater - Vestdanmark'!J94+'Resultater - Østdanmark'!J94</f>
        <v>-12868.019124731421</v>
      </c>
    </row>
    <row r="95" spans="1:10" hidden="1" x14ac:dyDescent="0.25">
      <c r="A95" s="99" t="str">
        <f>'Resultater - Vestdanmark'!A95</f>
        <v>Kostald</v>
      </c>
      <c r="B95" s="99" t="str">
        <f>'Resultater - Vestdanmark'!B95</f>
        <v>Konventionel</v>
      </c>
      <c r="C95" s="99" t="str">
        <f>'Resultater - Vestdanmark'!C95</f>
        <v/>
      </c>
      <c r="D95" s="99" t="str">
        <f>'Resultater - Vestdanmark'!D95</f>
        <v>Køer</v>
      </c>
      <c r="E95" s="99" t="str">
        <f>'Resultater - Vestdanmark'!E95</f>
        <v>Antal</v>
      </c>
      <c r="F95" s="99" t="str">
        <f>'Resultater - Vestdanmark'!F95</f>
        <v>CO2 - atmosfære</v>
      </c>
      <c r="G95" s="99" t="str">
        <f>'Resultater - Vestdanmark'!G95</f>
        <v>t CO2-ækvivalenter</v>
      </c>
      <c r="H95" s="298">
        <f>'Resultater - Vestdanmark'!H95+'Resultater - Østdanmark'!H95</f>
        <v>3588024.4873487833</v>
      </c>
      <c r="I95" s="299">
        <f>'Resultater - Vestdanmark'!I95+'Resultater - Østdanmark'!I95</f>
        <v>3496658.6661670199</v>
      </c>
      <c r="J95" s="300">
        <f>'Resultater - Vestdanmark'!J95+'Resultater - Østdanmark'!J95</f>
        <v>3327726.0764660821</v>
      </c>
    </row>
    <row r="96" spans="1:10" hidden="1" x14ac:dyDescent="0.25">
      <c r="A96" s="99" t="str">
        <f>'Resultater - Vestdanmark'!A96</f>
        <v>Kostald</v>
      </c>
      <c r="B96" s="99" t="str">
        <f>'Resultater - Vestdanmark'!B96</f>
        <v>Økologisk</v>
      </c>
      <c r="C96" s="99" t="str">
        <f>'Resultater - Vestdanmark'!C96</f>
        <v/>
      </c>
      <c r="D96" s="99" t="str">
        <f>'Resultater - Vestdanmark'!D96</f>
        <v>Køer</v>
      </c>
      <c r="E96" s="99" t="str">
        <f>'Resultater - Vestdanmark'!E96</f>
        <v>Antal</v>
      </c>
      <c r="F96" s="99" t="str">
        <f>'Resultater - Vestdanmark'!F96</f>
        <v>Slagtekøer</v>
      </c>
      <c r="G96" s="99" t="str">
        <f>'Resultater - Vestdanmark'!G96</f>
        <v>Antal</v>
      </c>
      <c r="H96" s="298">
        <f>'Resultater - Vestdanmark'!H96+'Resultater - Østdanmark'!H96</f>
        <v>23400.000000000004</v>
      </c>
      <c r="I96" s="299">
        <f>'Resultater - Vestdanmark'!I96+'Resultater - Østdanmark'!I96</f>
        <v>26765.328207443497</v>
      </c>
      <c r="J96" s="300">
        <f>'Resultater - Vestdanmark'!J96+'Resultater - Østdanmark'!J96</f>
        <v>32987.716425747203</v>
      </c>
    </row>
    <row r="97" spans="1:10" hidden="1" x14ac:dyDescent="0.25">
      <c r="A97" s="99" t="str">
        <f>'Resultater - Vestdanmark'!A97</f>
        <v>Kostald</v>
      </c>
      <c r="B97" s="99" t="str">
        <f>'Resultater - Vestdanmark'!B97</f>
        <v>Økologisk</v>
      </c>
      <c r="C97" s="99" t="str">
        <f>'Resultater - Vestdanmark'!C97</f>
        <v/>
      </c>
      <c r="D97" s="99" t="str">
        <f>'Resultater - Vestdanmark'!D97</f>
        <v>Køer</v>
      </c>
      <c r="E97" s="99" t="str">
        <f>'Resultater - Vestdanmark'!E97</f>
        <v>Antal</v>
      </c>
      <c r="F97" s="99" t="str">
        <f>'Resultater - Vestdanmark'!F97</f>
        <v>Kvæggylle</v>
      </c>
      <c r="G97" s="99" t="str">
        <f>'Resultater - Vestdanmark'!G97</f>
        <v>Ton</v>
      </c>
      <c r="H97" s="298">
        <f>'Resultater - Vestdanmark'!H97+'Resultater - Østdanmark'!H97</f>
        <v>1264500</v>
      </c>
      <c r="I97" s="299">
        <f>'Resultater - Vestdanmark'!I97+'Resultater - Østdanmark'!I97</f>
        <v>1446357.1589022353</v>
      </c>
      <c r="J97" s="300">
        <f>'Resultater - Vestdanmark'!J97+'Resultater - Østdanmark'!J97</f>
        <v>1782605.445314416</v>
      </c>
    </row>
    <row r="98" spans="1:10" hidden="1" x14ac:dyDescent="0.25">
      <c r="A98" s="99" t="str">
        <f>'Resultater - Vestdanmark'!A98</f>
        <v>Kostald</v>
      </c>
      <c r="B98" s="99" t="str">
        <f>'Resultater - Vestdanmark'!B98</f>
        <v>Økologisk</v>
      </c>
      <c r="C98" s="99" t="str">
        <f>'Resultater - Vestdanmark'!C98</f>
        <v/>
      </c>
      <c r="D98" s="99" t="str">
        <f>'Resultater - Vestdanmark'!D98</f>
        <v>Køer</v>
      </c>
      <c r="E98" s="99" t="str">
        <f>'Resultater - Vestdanmark'!E98</f>
        <v>Antal</v>
      </c>
      <c r="F98" s="99" t="str">
        <f>'Resultater - Vestdanmark'!F98</f>
        <v>Dybstrøelse</v>
      </c>
      <c r="G98" s="99" t="str">
        <f>'Resultater - Vestdanmark'!G98</f>
        <v>Ton</v>
      </c>
      <c r="H98" s="298">
        <f>'Resultater - Vestdanmark'!H98+'Resultater - Østdanmark'!H98</f>
        <v>10440.000000000002</v>
      </c>
      <c r="I98" s="299">
        <f>'Resultater - Vestdanmark'!I98+'Resultater - Østdanmark'!I98</f>
        <v>11941.454123320946</v>
      </c>
      <c r="J98" s="300">
        <f>'Resultater - Vestdanmark'!J98+'Resultater - Østdanmark'!J98</f>
        <v>14717.596559179521</v>
      </c>
    </row>
    <row r="99" spans="1:10" hidden="1" x14ac:dyDescent="0.25">
      <c r="A99" s="99" t="str">
        <f>'Resultater - Vestdanmark'!A99</f>
        <v>Kostald</v>
      </c>
      <c r="B99" s="99" t="str">
        <f>'Resultater - Vestdanmark'!B99</f>
        <v>Økologisk</v>
      </c>
      <c r="C99" s="99" t="str">
        <f>'Resultater - Vestdanmark'!C99</f>
        <v/>
      </c>
      <c r="D99" s="99" t="str">
        <f>'Resultater - Vestdanmark'!D99</f>
        <v>Køer</v>
      </c>
      <c r="E99" s="99" t="str">
        <f>'Resultater - Vestdanmark'!E99</f>
        <v>Antal</v>
      </c>
      <c r="F99" s="99" t="str">
        <f>'Resultater - Vestdanmark'!F99</f>
        <v>Råmælk</v>
      </c>
      <c r="G99" s="99" t="str">
        <f>'Resultater - Vestdanmark'!G99</f>
        <v>Ton</v>
      </c>
      <c r="H99" s="298">
        <f>'Resultater - Vestdanmark'!H99+'Resultater - Østdanmark'!H99</f>
        <v>482999.99999999994</v>
      </c>
      <c r="I99" s="299">
        <f>'Resultater - Vestdanmark'!I99+'Resultater - Østdanmark'!I99</f>
        <v>552463.82582030806</v>
      </c>
      <c r="J99" s="300">
        <f>'Resultater - Vestdanmark'!J99+'Resultater - Østdanmark'!J99</f>
        <v>680900.30058273068</v>
      </c>
    </row>
    <row r="100" spans="1:10" hidden="1" x14ac:dyDescent="0.25">
      <c r="A100" s="99" t="str">
        <f>'Resultater - Vestdanmark'!A100</f>
        <v>Kostald</v>
      </c>
      <c r="B100" s="99" t="str">
        <f>'Resultater - Vestdanmark'!B100</f>
        <v>Økologisk</v>
      </c>
      <c r="C100" s="99" t="str">
        <f>'Resultater - Vestdanmark'!C100</f>
        <v/>
      </c>
      <c r="D100" s="99" t="str">
        <f>'Resultater - Vestdanmark'!D100</f>
        <v>Køer</v>
      </c>
      <c r="E100" s="99" t="str">
        <f>'Resultater - Vestdanmark'!E100</f>
        <v>Antal</v>
      </c>
      <c r="F100" s="99" t="str">
        <f>'Resultater - Vestdanmark'!F100</f>
        <v>Industriaffald</v>
      </c>
      <c r="G100" s="99" t="str">
        <f>'Resultater - Vestdanmark'!G100</f>
        <v>Ton</v>
      </c>
      <c r="H100" s="298">
        <f>'Resultater - Vestdanmark'!H100+'Resultater - Østdanmark'!H100</f>
        <v>9653.6103586888312</v>
      </c>
      <c r="I100" s="299">
        <f>'Resultater - Vestdanmark'!I100+'Resultater - Østdanmark'!I100</f>
        <v>11041.967933208674</v>
      </c>
      <c r="J100" s="300">
        <f>'Resultater - Vestdanmark'!J100+'Resultater - Østdanmark'!J100</f>
        <v>13608.998333208672</v>
      </c>
    </row>
    <row r="101" spans="1:10" hidden="1" x14ac:dyDescent="0.25">
      <c r="A101" s="99" t="str">
        <f>'Resultater - Vestdanmark'!A101</f>
        <v>Kostald</v>
      </c>
      <c r="B101" s="99" t="str">
        <f>'Resultater - Vestdanmark'!B101</f>
        <v>Økologisk</v>
      </c>
      <c r="C101" s="99" t="str">
        <f>'Resultater - Vestdanmark'!C101</f>
        <v/>
      </c>
      <c r="D101" s="99" t="str">
        <f>'Resultater - Vestdanmark'!D101</f>
        <v>Køer</v>
      </c>
      <c r="E101" s="99" t="str">
        <f>'Resultater - Vestdanmark'!E101</f>
        <v>Antal</v>
      </c>
      <c r="F101" s="99" t="str">
        <f>'Resultater - Vestdanmark'!F101</f>
        <v>Foder</v>
      </c>
      <c r="G101" s="99" t="str">
        <f>'Resultater - Vestdanmark'!G101</f>
        <v>FE</v>
      </c>
      <c r="H101" s="298">
        <f>'Resultater - Vestdanmark'!H101+'Resultater - Østdanmark'!H101</f>
        <v>-587343064</v>
      </c>
      <c r="I101" s="299">
        <f>'Resultater - Vestdanmark'!I101+'Resultater - Østdanmark'!I101</f>
        <v>-671813242.66348267</v>
      </c>
      <c r="J101" s="300">
        <f>'Resultater - Vestdanmark'!J101+'Resultater - Østdanmark'!J101</f>
        <v>-827996001.70348251</v>
      </c>
    </row>
    <row r="102" spans="1:10" x14ac:dyDescent="0.25">
      <c r="A102" s="99" t="str">
        <f>'Resultater - Vestdanmark'!A102</f>
        <v>Kostald</v>
      </c>
      <c r="B102" s="99" t="str">
        <f>'Resultater - Vestdanmark'!B102</f>
        <v>Økologisk</v>
      </c>
      <c r="C102" s="99" t="str">
        <f>'Resultater - Vestdanmark'!C102</f>
        <v/>
      </c>
      <c r="D102" s="99" t="str">
        <f>'Resultater - Vestdanmark'!D102</f>
        <v>Køer</v>
      </c>
      <c r="E102" s="99" t="str">
        <f>'Resultater - Vestdanmark'!E102</f>
        <v>Antal</v>
      </c>
      <c r="F102" s="99" t="str">
        <f>'Resultater - Vestdanmark'!F102</f>
        <v>Halm</v>
      </c>
      <c r="G102" s="99" t="str">
        <f>'Resultater - Vestdanmark'!G102</f>
        <v>Ton</v>
      </c>
      <c r="H102" s="298">
        <f>'Resultater - Vestdanmark'!H102+'Resultater - Østdanmark'!H102</f>
        <v>-2961.3935999999999</v>
      </c>
      <c r="I102" s="299">
        <f>'Resultater - Vestdanmark'!I102+'Resultater - Østdanmark'!I102</f>
        <v>-3387.2936604881475</v>
      </c>
      <c r="J102" s="300">
        <f>'Resultater - Vestdanmark'!J102+'Resultater - Østdanmark'!J102</f>
        <v>-4174.7697564881473</v>
      </c>
    </row>
    <row r="103" spans="1:10" hidden="1" x14ac:dyDescent="0.25">
      <c r="A103" s="99" t="str">
        <f>'Resultater - Vestdanmark'!A103</f>
        <v>Kostald</v>
      </c>
      <c r="B103" s="99" t="str">
        <f>'Resultater - Vestdanmark'!B103</f>
        <v>Økologisk</v>
      </c>
      <c r="C103" s="99" t="str">
        <f>'Resultater - Vestdanmark'!C103</f>
        <v/>
      </c>
      <c r="D103" s="99" t="str">
        <f>'Resultater - Vestdanmark'!D103</f>
        <v>Køer</v>
      </c>
      <c r="E103" s="99" t="str">
        <f>'Resultater - Vestdanmark'!E103</f>
        <v>Antal</v>
      </c>
      <c r="F103" s="99" t="str">
        <f>'Resultater - Vestdanmark'!F103</f>
        <v>CO2 - atmosfære</v>
      </c>
      <c r="G103" s="99" t="str">
        <f>'Resultater - Vestdanmark'!G103</f>
        <v>t CO2-ækvivalenter</v>
      </c>
      <c r="H103" s="298">
        <f>'Resultater - Vestdanmark'!H103+'Resultater - Østdanmark'!H103</f>
        <v>531260.59557996574</v>
      </c>
      <c r="I103" s="299">
        <f>'Resultater - Vestdanmark'!I103+'Resultater - Østdanmark'!I103</f>
        <v>607665.13693930302</v>
      </c>
      <c r="J103" s="300">
        <f>'Resultater - Vestdanmark'!J103+'Resultater - Østdanmark'!J103</f>
        <v>748934.78098997765</v>
      </c>
    </row>
    <row r="104" spans="1:10" hidden="1" x14ac:dyDescent="0.25">
      <c r="A104" s="99" t="str">
        <f>'Resultater - Vestdanmark'!A104</f>
        <v>Fjerkræbrug</v>
      </c>
      <c r="B104" s="99" t="str">
        <f>'Resultater - Vestdanmark'!B104</f>
        <v>Konventionel</v>
      </c>
      <c r="C104" s="99" t="str">
        <f>'Resultater - Vestdanmark'!C104</f>
        <v/>
      </c>
      <c r="D104" s="99" t="str">
        <f>'Resultater - Vestdanmark'!D104</f>
        <v>Fjerkræ</v>
      </c>
      <c r="E104" s="99" t="str">
        <f>'Resultater - Vestdanmark'!E104</f>
        <v>Antal</v>
      </c>
      <c r="F104" s="99" t="str">
        <f>'Resultater - Vestdanmark'!F104</f>
        <v>Slagtefjerkræ</v>
      </c>
      <c r="G104" s="99" t="str">
        <f>'Resultater - Vestdanmark'!G104</f>
        <v>Antal</v>
      </c>
      <c r="H104" s="298">
        <f>'Resultater - Vestdanmark'!H104+'Resultater - Østdanmark'!H104</f>
        <v>105566999.99999999</v>
      </c>
      <c r="I104" s="299">
        <f>'Resultater - Vestdanmark'!I104+'Resultater - Østdanmark'!I104</f>
        <v>102904851.25711353</v>
      </c>
      <c r="J104" s="300">
        <f>'Resultater - Vestdanmark'!J104+'Resultater - Østdanmark'!J104</f>
        <v>97982620.213951036</v>
      </c>
    </row>
    <row r="105" spans="1:10" hidden="1" x14ac:dyDescent="0.25">
      <c r="A105" s="99" t="str">
        <f>'Resultater - Vestdanmark'!A105</f>
        <v>Fjerkræbrug</v>
      </c>
      <c r="B105" s="99" t="str">
        <f>'Resultater - Vestdanmark'!B105</f>
        <v>Konventionel</v>
      </c>
      <c r="C105" s="99" t="str">
        <f>'Resultater - Vestdanmark'!C105</f>
        <v/>
      </c>
      <c r="D105" s="99" t="str">
        <f>'Resultater - Vestdanmark'!D105</f>
        <v>Fjerkræ</v>
      </c>
      <c r="E105" s="99" t="str">
        <f>'Resultater - Vestdanmark'!E105</f>
        <v>Antal</v>
      </c>
      <c r="F105" s="99" t="str">
        <f>'Resultater - Vestdanmark'!F105</f>
        <v>Fjerkrægylle</v>
      </c>
      <c r="G105" s="99" t="str">
        <f>'Resultater - Vestdanmark'!G105</f>
        <v>Ton</v>
      </c>
      <c r="H105" s="298">
        <f>'Resultater - Vestdanmark'!H105+'Resultater - Østdanmark'!H105</f>
        <v>6719.2238038686164</v>
      </c>
      <c r="I105" s="299">
        <f>'Resultater - Vestdanmark'!I105+'Resultater - Østdanmark'!I105</f>
        <v>6549.7809552261278</v>
      </c>
      <c r="J105" s="300">
        <f>'Resultater - Vestdanmark'!J105+'Resultater - Østdanmark'!J105</f>
        <v>6236.4863461782397</v>
      </c>
    </row>
    <row r="106" spans="1:10" hidden="1" x14ac:dyDescent="0.25">
      <c r="A106" s="99" t="str">
        <f>'Resultater - Vestdanmark'!A106</f>
        <v>Fjerkræbrug</v>
      </c>
      <c r="B106" s="99" t="str">
        <f>'Resultater - Vestdanmark'!B106</f>
        <v>Konventionel</v>
      </c>
      <c r="C106" s="99" t="str">
        <f>'Resultater - Vestdanmark'!C106</f>
        <v/>
      </c>
      <c r="D106" s="99" t="str">
        <f>'Resultater - Vestdanmark'!D106</f>
        <v>Fjerkræ</v>
      </c>
      <c r="E106" s="99" t="str">
        <f>'Resultater - Vestdanmark'!E106</f>
        <v>Antal</v>
      </c>
      <c r="F106" s="99" t="str">
        <f>'Resultater - Vestdanmark'!F106</f>
        <v>Dybstrøelse</v>
      </c>
      <c r="G106" s="99" t="str">
        <f>'Resultater - Vestdanmark'!G106</f>
        <v>Ton</v>
      </c>
      <c r="H106" s="298">
        <f>'Resultater - Vestdanmark'!H106+'Resultater - Østdanmark'!H106</f>
        <v>148922.51453359297</v>
      </c>
      <c r="I106" s="299">
        <f>'Resultater - Vestdanmark'!I106+'Resultater - Østdanmark'!I106</f>
        <v>145167.04279665722</v>
      </c>
      <c r="J106" s="300">
        <f>'Resultater - Vestdanmark'!J106+'Resultater - Østdanmark'!J106</f>
        <v>138223.29120702157</v>
      </c>
    </row>
    <row r="107" spans="1:10" hidden="1" x14ac:dyDescent="0.25">
      <c r="A107" s="99" t="str">
        <f>'Resultater - Vestdanmark'!A107</f>
        <v>Fjerkræbrug</v>
      </c>
      <c r="B107" s="99" t="str">
        <f>'Resultater - Vestdanmark'!B107</f>
        <v>Konventionel</v>
      </c>
      <c r="C107" s="99" t="str">
        <f>'Resultater - Vestdanmark'!C107</f>
        <v/>
      </c>
      <c r="D107" s="99" t="str">
        <f>'Resultater - Vestdanmark'!D107</f>
        <v>Fjerkræ</v>
      </c>
      <c r="E107" s="99" t="str">
        <f>'Resultater - Vestdanmark'!E107</f>
        <v>Antal</v>
      </c>
      <c r="F107" s="99" t="str">
        <f>'Resultater - Vestdanmark'!F107</f>
        <v>Æg</v>
      </c>
      <c r="G107" s="99" t="str">
        <f>'Resultater - Vestdanmark'!G107</f>
        <v>Ton</v>
      </c>
      <c r="H107" s="298">
        <f>'Resultater - Vestdanmark'!H107+'Resultater - Østdanmark'!H107</f>
        <v>220000</v>
      </c>
      <c r="I107" s="299">
        <f>'Resultater - Vestdanmark'!I107+'Resultater - Østdanmark'!I107</f>
        <v>214452.12307411386</v>
      </c>
      <c r="J107" s="300">
        <f>'Resultater - Vestdanmark'!J107+'Resultater - Østdanmark'!J107</f>
        <v>204194.26948827977</v>
      </c>
    </row>
    <row r="108" spans="1:10" hidden="1" x14ac:dyDescent="0.25">
      <c r="A108" s="99" t="str">
        <f>'Resultater - Vestdanmark'!A108</f>
        <v>Fjerkræbrug</v>
      </c>
      <c r="B108" s="99" t="str">
        <f>'Resultater - Vestdanmark'!B108</f>
        <v>Konventionel</v>
      </c>
      <c r="C108" s="99" t="str">
        <f>'Resultater - Vestdanmark'!C108</f>
        <v/>
      </c>
      <c r="D108" s="99" t="str">
        <f>'Resultater - Vestdanmark'!D108</f>
        <v>Fjerkræ</v>
      </c>
      <c r="E108" s="99" t="str">
        <f>'Resultater - Vestdanmark'!E108</f>
        <v>Antal</v>
      </c>
      <c r="F108" s="99" t="str">
        <f>'Resultater - Vestdanmark'!F108</f>
        <v>Industriaffald</v>
      </c>
      <c r="G108" s="99" t="str">
        <f>'Resultater - Vestdanmark'!G108</f>
        <v>Ton</v>
      </c>
      <c r="H108" s="298">
        <f>'Resultater - Vestdanmark'!H108+'Resultater - Østdanmark'!H108</f>
        <v>9291.4831667730468</v>
      </c>
      <c r="I108" s="299">
        <f>'Resultater - Vestdanmark'!I108+'Resultater - Østdanmark'!I108</f>
        <v>9057.1740528266855</v>
      </c>
      <c r="J108" s="300">
        <f>'Resultater - Vestdanmark'!J108+'Resultater - Østdanmark'!J108</f>
        <v>8623.943716826685</v>
      </c>
    </row>
    <row r="109" spans="1:10" hidden="1" x14ac:dyDescent="0.25">
      <c r="A109" s="99" t="str">
        <f>'Resultater - Vestdanmark'!A109</f>
        <v>Fjerkræbrug</v>
      </c>
      <c r="B109" s="99" t="str">
        <f>'Resultater - Vestdanmark'!B109</f>
        <v>Konventionel</v>
      </c>
      <c r="C109" s="99" t="str">
        <f>'Resultater - Vestdanmark'!C109</f>
        <v/>
      </c>
      <c r="D109" s="99" t="str">
        <f>'Resultater - Vestdanmark'!D109</f>
        <v>Fjerkræ</v>
      </c>
      <c r="E109" s="99" t="str">
        <f>'Resultater - Vestdanmark'!E109</f>
        <v>Antal</v>
      </c>
      <c r="F109" s="99" t="str">
        <f>'Resultater - Vestdanmark'!F109</f>
        <v>Foder</v>
      </c>
      <c r="G109" s="99" t="str">
        <f>'Resultater - Vestdanmark'!G109</f>
        <v>FE</v>
      </c>
      <c r="H109" s="298">
        <f>'Resultater - Vestdanmark'!H109+'Resultater - Østdanmark'!H109</f>
        <v>-365582337.12</v>
      </c>
      <c r="I109" s="299">
        <f>'Resultater - Vestdanmark'!I109+'Resultater - Østdanmark'!I109</f>
        <v>-356363219.78991097</v>
      </c>
      <c r="J109" s="300">
        <f>'Resultater - Vestdanmark'!J109+'Resultater - Østdanmark'!J109</f>
        <v>-339317355.75471103</v>
      </c>
    </row>
    <row r="110" spans="1:10" x14ac:dyDescent="0.25">
      <c r="A110" s="99" t="str">
        <f>'Resultater - Vestdanmark'!A110</f>
        <v>Fjerkræbrug</v>
      </c>
      <c r="B110" s="99" t="str">
        <f>'Resultater - Vestdanmark'!B110</f>
        <v>Konventionel</v>
      </c>
      <c r="C110" s="99" t="str">
        <f>'Resultater - Vestdanmark'!C110</f>
        <v/>
      </c>
      <c r="D110" s="99" t="str">
        <f>'Resultater - Vestdanmark'!D110</f>
        <v>Fjerkræ</v>
      </c>
      <c r="E110" s="99" t="str">
        <f>'Resultater - Vestdanmark'!E110</f>
        <v>Antal</v>
      </c>
      <c r="F110" s="99" t="str">
        <f>'Resultater - Vestdanmark'!F110</f>
        <v>Halm</v>
      </c>
      <c r="G110" s="99" t="str">
        <f>'Resultater - Vestdanmark'!G110</f>
        <v>Ton</v>
      </c>
      <c r="H110" s="298">
        <f>'Resultater - Vestdanmark'!H110+'Resultater - Østdanmark'!H110</f>
        <v>-8664.776171999998</v>
      </c>
      <c r="I110" s="299">
        <f>'Resultater - Vestdanmark'!I110+'Resultater - Østdanmark'!I110</f>
        <v>-8446.2711183972406</v>
      </c>
      <c r="J110" s="300">
        <f>'Resultater - Vestdanmark'!J110+'Resultater - Østdanmark'!J110</f>
        <v>-8042.2620032772411</v>
      </c>
    </row>
    <row r="111" spans="1:10" hidden="1" x14ac:dyDescent="0.25">
      <c r="A111" s="99" t="str">
        <f>'Resultater - Vestdanmark'!A111</f>
        <v>Fjerkræbrug</v>
      </c>
      <c r="B111" s="99" t="str">
        <f>'Resultater - Vestdanmark'!B111</f>
        <v>Konventionel</v>
      </c>
      <c r="C111" s="99" t="str">
        <f>'Resultater - Vestdanmark'!C111</f>
        <v/>
      </c>
      <c r="D111" s="99" t="str">
        <f>'Resultater - Vestdanmark'!D111</f>
        <v>Fjerkræ</v>
      </c>
      <c r="E111" s="99" t="str">
        <f>'Resultater - Vestdanmark'!E111</f>
        <v>Antal</v>
      </c>
      <c r="F111" s="99" t="str">
        <f>'Resultater - Vestdanmark'!F111</f>
        <v>CO2 - atmosfære</v>
      </c>
      <c r="G111" s="99" t="str">
        <f>'Resultater - Vestdanmark'!G111</f>
        <v>t CO2-ækvivalenter</v>
      </c>
      <c r="H111" s="298">
        <f>'Resultater - Vestdanmark'!H111+'Resultater - Østdanmark'!H111</f>
        <v>14116.474844810102</v>
      </c>
      <c r="I111" s="299">
        <f>'Resultater - Vestdanmark'!I111+'Resultater - Østdanmark'!I111</f>
        <v>13760.490912690218</v>
      </c>
      <c r="J111" s="300">
        <f>'Resultater - Vestdanmark'!J111+'Resultater - Østdanmark'!J111</f>
        <v>13102.287584934891</v>
      </c>
    </row>
    <row r="112" spans="1:10" hidden="1" x14ac:dyDescent="0.25">
      <c r="A112" s="99" t="str">
        <f>'Resultater - Vestdanmark'!A112</f>
        <v>Fjerkræbrug</v>
      </c>
      <c r="B112" s="99" t="str">
        <f>'Resultater - Vestdanmark'!B112</f>
        <v>Økologisk</v>
      </c>
      <c r="C112" s="99" t="str">
        <f>'Resultater - Vestdanmark'!C112</f>
        <v/>
      </c>
      <c r="D112" s="99" t="str">
        <f>'Resultater - Vestdanmark'!D112</f>
        <v>Fjerkræ</v>
      </c>
      <c r="E112" s="99" t="str">
        <f>'Resultater - Vestdanmark'!E112</f>
        <v>Antal</v>
      </c>
      <c r="F112" s="99" t="str">
        <f>'Resultater - Vestdanmark'!F112</f>
        <v>Slagtefjerkræ</v>
      </c>
      <c r="G112" s="99" t="str">
        <f>'Resultater - Vestdanmark'!G112</f>
        <v>Antal</v>
      </c>
      <c r="H112" s="298">
        <f>'Resultater - Vestdanmark'!H112+'Resultater - Østdanmark'!H112</f>
        <v>1224707</v>
      </c>
      <c r="I112" s="299">
        <f>'Resultater - Vestdanmark'!I112+'Resultater - Østdanmark'!I112</f>
        <v>1411132.4071133996</v>
      </c>
      <c r="J112" s="300">
        <f>'Resultater - Vestdanmark'!J112+'Resultater - Østdanmark'!J112</f>
        <v>1755827.2437861352</v>
      </c>
    </row>
    <row r="113" spans="1:10" hidden="1" x14ac:dyDescent="0.25">
      <c r="A113" s="99" t="str">
        <f>'Resultater - Vestdanmark'!A113</f>
        <v>Fjerkræbrug</v>
      </c>
      <c r="B113" s="99" t="str">
        <f>'Resultater - Vestdanmark'!B113</f>
        <v>Økologisk</v>
      </c>
      <c r="C113" s="99" t="str">
        <f>'Resultater - Vestdanmark'!C113</f>
        <v/>
      </c>
      <c r="D113" s="99" t="str">
        <f>'Resultater - Vestdanmark'!D113</f>
        <v>Fjerkræ</v>
      </c>
      <c r="E113" s="99" t="str">
        <f>'Resultater - Vestdanmark'!E113</f>
        <v>Antal</v>
      </c>
      <c r="F113" s="99" t="str">
        <f>'Resultater - Vestdanmark'!F113</f>
        <v>Fjerkrægylle</v>
      </c>
      <c r="G113" s="99" t="str">
        <f>'Resultater - Vestdanmark'!G113</f>
        <v>Ton</v>
      </c>
      <c r="H113" s="298">
        <f>'Resultater - Vestdanmark'!H113+'Resultater - Østdanmark'!H113</f>
        <v>2163.7761961313831</v>
      </c>
      <c r="I113" s="299">
        <f>'Resultater - Vestdanmark'!I113+'Resultater - Østdanmark'!I113</f>
        <v>2493.1471054722101</v>
      </c>
      <c r="J113" s="300">
        <f>'Resultater - Vestdanmark'!J113+'Resultater - Østdanmark'!J113</f>
        <v>3102.1437736727353</v>
      </c>
    </row>
    <row r="114" spans="1:10" hidden="1" x14ac:dyDescent="0.25">
      <c r="A114" s="99" t="str">
        <f>'Resultater - Vestdanmark'!A114</f>
        <v>Fjerkræbrug</v>
      </c>
      <c r="B114" s="99" t="str">
        <f>'Resultater - Vestdanmark'!B114</f>
        <v>Økologisk</v>
      </c>
      <c r="C114" s="99" t="str">
        <f>'Resultater - Vestdanmark'!C114</f>
        <v/>
      </c>
      <c r="D114" s="99" t="str">
        <f>'Resultater - Vestdanmark'!D114</f>
        <v>Fjerkræ</v>
      </c>
      <c r="E114" s="99" t="str">
        <f>'Resultater - Vestdanmark'!E114</f>
        <v>Antal</v>
      </c>
      <c r="F114" s="99" t="str">
        <f>'Resultater - Vestdanmark'!F114</f>
        <v>Dybstrøelse</v>
      </c>
      <c r="G114" s="99" t="str">
        <f>'Resultater - Vestdanmark'!G114</f>
        <v>Ton</v>
      </c>
      <c r="H114" s="298">
        <f>'Resultater - Vestdanmark'!H114+'Resultater - Østdanmark'!H114</f>
        <v>8147.4854664070526</v>
      </c>
      <c r="I114" s="299">
        <f>'Resultater - Vestdanmark'!I114+'Resultater - Østdanmark'!I114</f>
        <v>9387.6990807862003</v>
      </c>
      <c r="J114" s="300">
        <f>'Resultater - Vestdanmark'!J114+'Resultater - Østdanmark'!J114</f>
        <v>11680.815860666338</v>
      </c>
    </row>
    <row r="115" spans="1:10" hidden="1" x14ac:dyDescent="0.25">
      <c r="A115" s="99" t="str">
        <f>'Resultater - Vestdanmark'!A115</f>
        <v>Fjerkræbrug</v>
      </c>
      <c r="B115" s="99" t="str">
        <f>'Resultater - Vestdanmark'!B115</f>
        <v>Økologisk</v>
      </c>
      <c r="C115" s="99" t="str">
        <f>'Resultater - Vestdanmark'!C115</f>
        <v/>
      </c>
      <c r="D115" s="99" t="str">
        <f>'Resultater - Vestdanmark'!D115</f>
        <v>Fjerkræ</v>
      </c>
      <c r="E115" s="99" t="str">
        <f>'Resultater - Vestdanmark'!E115</f>
        <v>Antal</v>
      </c>
      <c r="F115" s="99" t="str">
        <f>'Resultater - Vestdanmark'!F115</f>
        <v>Æg</v>
      </c>
      <c r="G115" s="99" t="str">
        <f>'Resultater - Vestdanmark'!G115</f>
        <v>Ton</v>
      </c>
      <c r="H115" s="298">
        <f>'Resultater - Vestdanmark'!H115+'Resultater - Østdanmark'!H115</f>
        <v>15000</v>
      </c>
      <c r="I115" s="299">
        <f>'Resultater - Vestdanmark'!I115+'Resultater - Østdanmark'!I115</f>
        <v>17283.306216671408</v>
      </c>
      <c r="J115" s="300">
        <f>'Resultater - Vestdanmark'!J115+'Resultater - Østdanmark'!J115</f>
        <v>21505.069095540424</v>
      </c>
    </row>
    <row r="116" spans="1:10" hidden="1" x14ac:dyDescent="0.25">
      <c r="A116" s="99" t="str">
        <f>'Resultater - Vestdanmark'!A116</f>
        <v>Fjerkræbrug</v>
      </c>
      <c r="B116" s="99" t="str">
        <f>'Resultater - Vestdanmark'!B116</f>
        <v>Økologisk</v>
      </c>
      <c r="C116" s="99" t="str">
        <f>'Resultater - Vestdanmark'!C116</f>
        <v/>
      </c>
      <c r="D116" s="99" t="str">
        <f>'Resultater - Vestdanmark'!D116</f>
        <v>Fjerkræ</v>
      </c>
      <c r="E116" s="99" t="str">
        <f>'Resultater - Vestdanmark'!E116</f>
        <v>Antal</v>
      </c>
      <c r="F116" s="99" t="str">
        <f>'Resultater - Vestdanmark'!F116</f>
        <v>Industriaffald</v>
      </c>
      <c r="G116" s="99" t="str">
        <f>'Resultater - Vestdanmark'!G116</f>
        <v>Ton</v>
      </c>
      <c r="H116" s="298">
        <f>'Resultater - Vestdanmark'!H116+'Resultater - Østdanmark'!H116</f>
        <v>1539.2752332269538</v>
      </c>
      <c r="I116" s="299">
        <f>'Resultater - Vestdanmark'!I116+'Resultater - Østdanmark'!I116</f>
        <v>1773.5843471733165</v>
      </c>
      <c r="J116" s="300">
        <f>'Resultater - Vestdanmark'!J116+'Resultater - Østdanmark'!J116</f>
        <v>2206.8146831733166</v>
      </c>
    </row>
    <row r="117" spans="1:10" hidden="1" x14ac:dyDescent="0.25">
      <c r="A117" s="99" t="str">
        <f>'Resultater - Vestdanmark'!A117</f>
        <v>Fjerkræbrug</v>
      </c>
      <c r="B117" s="99" t="str">
        <f>'Resultater - Vestdanmark'!B117</f>
        <v>Økologisk</v>
      </c>
      <c r="C117" s="99" t="str">
        <f>'Resultater - Vestdanmark'!C117</f>
        <v/>
      </c>
      <c r="D117" s="99" t="str">
        <f>'Resultater - Vestdanmark'!D117</f>
        <v>Fjerkræ</v>
      </c>
      <c r="E117" s="99" t="str">
        <f>'Resultater - Vestdanmark'!E117</f>
        <v>Antal</v>
      </c>
      <c r="F117" s="99" t="str">
        <f>'Resultater - Vestdanmark'!F117</f>
        <v>Foder</v>
      </c>
      <c r="G117" s="99" t="str">
        <f>'Resultater - Vestdanmark'!G117</f>
        <v>FE</v>
      </c>
      <c r="H117" s="298">
        <f>'Resultater - Vestdanmark'!H117+'Resultater - Østdanmark'!H117</f>
        <v>-60564263.759999998</v>
      </c>
      <c r="I117" s="299">
        <f>'Resultater - Vestdanmark'!I117+'Resultater - Østdanmark'!I117</f>
        <v>-69783381.090089008</v>
      </c>
      <c r="J117" s="300">
        <f>'Resultater - Vestdanmark'!J117+'Resultater - Østdanmark'!J117</f>
        <v>-86829245.125289008</v>
      </c>
    </row>
    <row r="118" spans="1:10" x14ac:dyDescent="0.25">
      <c r="A118" s="99" t="str">
        <f>'Resultater - Vestdanmark'!A118</f>
        <v>Fjerkræbrug</v>
      </c>
      <c r="B118" s="99" t="str">
        <f>'Resultater - Vestdanmark'!B118</f>
        <v>Økologisk</v>
      </c>
      <c r="C118" s="99" t="str">
        <f>'Resultater - Vestdanmark'!C118</f>
        <v/>
      </c>
      <c r="D118" s="99" t="str">
        <f>'Resultater - Vestdanmark'!D118</f>
        <v>Fjerkræ</v>
      </c>
      <c r="E118" s="99" t="str">
        <f>'Resultater - Vestdanmark'!E118</f>
        <v>Antal</v>
      </c>
      <c r="F118" s="99" t="str">
        <f>'Resultater - Vestdanmark'!F118</f>
        <v>Halm</v>
      </c>
      <c r="G118" s="99" t="str">
        <f>'Resultater - Vestdanmark'!G118</f>
        <v>Ton</v>
      </c>
      <c r="H118" s="298">
        <f>'Resultater - Vestdanmark'!H118+'Resultater - Østdanmark'!H118</f>
        <v>-2703.7617749999999</v>
      </c>
      <c r="I118" s="299">
        <f>'Resultater - Vestdanmark'!I118+'Resultater - Østdanmark'!I118</f>
        <v>-3115.3295129504022</v>
      </c>
      <c r="J118" s="300">
        <f>'Resultater - Vestdanmark'!J118+'Resultater - Østdanmark'!J118</f>
        <v>-3876.3055859504016</v>
      </c>
    </row>
    <row r="119" spans="1:10" hidden="1" x14ac:dyDescent="0.25">
      <c r="A119" s="99" t="str">
        <f>'Resultater - Vestdanmark'!A119</f>
        <v>Fjerkræbrug</v>
      </c>
      <c r="B119" s="99" t="str">
        <f>'Resultater - Vestdanmark'!B119</f>
        <v>Økologisk</v>
      </c>
      <c r="C119" s="99" t="str">
        <f>'Resultater - Vestdanmark'!C119</f>
        <v/>
      </c>
      <c r="D119" s="99" t="str">
        <f>'Resultater - Vestdanmark'!D119</f>
        <v>Fjerkræ</v>
      </c>
      <c r="E119" s="99" t="str">
        <f>'Resultater - Vestdanmark'!E119</f>
        <v>Antal</v>
      </c>
      <c r="F119" s="99" t="str">
        <f>'Resultater - Vestdanmark'!F119</f>
        <v>CO2 - atmosfære</v>
      </c>
      <c r="G119" s="99" t="str">
        <f>'Resultater - Vestdanmark'!G119</f>
        <v>t CO2-ækvivalenter</v>
      </c>
      <c r="H119" s="298">
        <f>'Resultater - Vestdanmark'!H119+'Resultater - Østdanmark'!H119</f>
        <v>2572.4691839803959</v>
      </c>
      <c r="I119" s="299">
        <f>'Resultater - Vestdanmark'!I119+'Resultater - Østdanmark'!I119</f>
        <v>2964.0515093122676</v>
      </c>
      <c r="J119" s="300">
        <f>'Resultater - Vestdanmark'!J119+'Resultater - Østdanmark'!J119</f>
        <v>3688.0751698431277</v>
      </c>
    </row>
    <row r="120" spans="1:10" hidden="1" x14ac:dyDescent="0.25">
      <c r="A120" s="99" t="str">
        <f>'Resultater - Vestdanmark'!A120</f>
        <v>Kornmark</v>
      </c>
      <c r="B120" s="99" t="str">
        <f>'Resultater - Vestdanmark'!B120</f>
        <v>Konventionel</v>
      </c>
      <c r="C120" s="99" t="str">
        <f>'Resultater - Vestdanmark'!C120</f>
        <v>JB1-10</v>
      </c>
      <c r="D120" s="99" t="str">
        <f>'Resultater - Vestdanmark'!D120</f>
        <v>Areal-korn</v>
      </c>
      <c r="E120" s="99" t="str">
        <f>'Resultater - Vestdanmark'!E120</f>
        <v>Hektar</v>
      </c>
      <c r="F120" s="99" t="str">
        <f>'Resultater - Vestdanmark'!F120</f>
        <v>Korn</v>
      </c>
      <c r="G120" s="99" t="str">
        <f>'Resultater - Vestdanmark'!G120</f>
        <v>Ton</v>
      </c>
      <c r="H120" s="298">
        <f>'Resultater - Vestdanmark'!H120+'Resultater - Østdanmark'!H120</f>
        <v>8030838.3925888147</v>
      </c>
      <c r="I120" s="299">
        <f>'Resultater - Vestdanmark'!I120+'Resultater - Østdanmark'!I120</f>
        <v>6704574.0925204353</v>
      </c>
      <c r="J120" s="300">
        <f>'Resultater - Vestdanmark'!J120+'Resultater - Østdanmark'!J120</f>
        <v>6486901.5612650346</v>
      </c>
    </row>
    <row r="121" spans="1:10" x14ac:dyDescent="0.25">
      <c r="A121" s="99" t="str">
        <f>'Resultater - Vestdanmark'!A121</f>
        <v>Kornmark</v>
      </c>
      <c r="B121" s="99" t="str">
        <f>'Resultater - Vestdanmark'!B121</f>
        <v>Konventionel</v>
      </c>
      <c r="C121" s="99" t="str">
        <f>'Resultater - Vestdanmark'!C121</f>
        <v>JB1-10</v>
      </c>
      <c r="D121" s="99" t="str">
        <f>'Resultater - Vestdanmark'!D121</f>
        <v>Areal-korn</v>
      </c>
      <c r="E121" s="99" t="str">
        <f>'Resultater - Vestdanmark'!E121</f>
        <v>Hektar</v>
      </c>
      <c r="F121" s="99" t="str">
        <f>'Resultater - Vestdanmark'!F121</f>
        <v>Halm</v>
      </c>
      <c r="G121" s="99" t="str">
        <f>'Resultater - Vestdanmark'!G121</f>
        <v>Ton</v>
      </c>
      <c r="H121" s="298">
        <f>'Resultater - Vestdanmark'!H121+'Resultater - Østdanmark'!H121</f>
        <v>2621245.5742450082</v>
      </c>
      <c r="I121" s="299">
        <f>'Resultater - Vestdanmark'!I121+'Resultater - Østdanmark'!I121</f>
        <v>2171575.2738194801</v>
      </c>
      <c r="J121" s="300">
        <f>'Resultater - Vestdanmark'!J121+'Resultater - Østdanmark'!J121</f>
        <v>2104999.5566305043</v>
      </c>
    </row>
    <row r="122" spans="1:10" hidden="1" x14ac:dyDescent="0.25">
      <c r="A122" s="99" t="str">
        <f>'Resultater - Vestdanmark'!A122</f>
        <v>Kornmark</v>
      </c>
      <c r="B122" s="99" t="str">
        <f>'Resultater - Vestdanmark'!B122</f>
        <v>Konventionel</v>
      </c>
      <c r="C122" s="99" t="str">
        <f>'Resultater - Vestdanmark'!C122</f>
        <v>JB1-10</v>
      </c>
      <c r="D122" s="99" t="str">
        <f>'Resultater - Vestdanmark'!D122</f>
        <v>Areal-korn</v>
      </c>
      <c r="E122" s="99" t="str">
        <f>'Resultater - Vestdanmark'!E122</f>
        <v>Hektar</v>
      </c>
      <c r="F122" s="99" t="str">
        <f>'Resultater - Vestdanmark'!F122</f>
        <v>Gødning</v>
      </c>
      <c r="G122" s="99" t="str">
        <f>'Resultater - Vestdanmark'!G122</f>
        <v>kg N</v>
      </c>
      <c r="H122" s="298">
        <f>'Resultater - Vestdanmark'!H122+'Resultater - Østdanmark'!H122</f>
        <v>-183300163.02627823</v>
      </c>
      <c r="I122" s="299">
        <f>'Resultater - Vestdanmark'!I122+'Resultater - Østdanmark'!I122</f>
        <v>-142750741.85109618</v>
      </c>
      <c r="J122" s="300">
        <f>'Resultater - Vestdanmark'!J122+'Resultater - Østdanmark'!J122</f>
        <v>-134600473.32413507</v>
      </c>
    </row>
    <row r="123" spans="1:10" hidden="1" x14ac:dyDescent="0.25">
      <c r="A123" s="99" t="str">
        <f>'Resultater - Vestdanmark'!A123</f>
        <v>Kornmark</v>
      </c>
      <c r="B123" s="99" t="str">
        <f>'Resultater - Vestdanmark'!B123</f>
        <v>Konventionel</v>
      </c>
      <c r="C123" s="99" t="str">
        <f>'Resultater - Vestdanmark'!C123</f>
        <v>JB1-10</v>
      </c>
      <c r="D123" s="99" t="str">
        <f>'Resultater - Vestdanmark'!D123</f>
        <v>Areal-korn</v>
      </c>
      <c r="E123" s="99" t="str">
        <f>'Resultater - Vestdanmark'!E123</f>
        <v>Hektar</v>
      </c>
      <c r="F123" s="99" t="str">
        <f>'Resultater - Vestdanmark'!F123</f>
        <v>CO2 - atmosfære</v>
      </c>
      <c r="G123" s="99" t="str">
        <f>'Resultater - Vestdanmark'!G123</f>
        <v>t CO2-ækvivalenter</v>
      </c>
      <c r="H123" s="298">
        <f>'Resultater - Vestdanmark'!H123+'Resultater - Østdanmark'!H123</f>
        <v>2604803.426450097</v>
      </c>
      <c r="I123" s="299">
        <f>'Resultater - Vestdanmark'!I123+'Resultater - Østdanmark'!I123</f>
        <v>2028572.2356325525</v>
      </c>
      <c r="J123" s="300">
        <f>'Resultater - Vestdanmark'!J123+'Resultater - Østdanmark'!J123</f>
        <v>1912752.112862268</v>
      </c>
    </row>
    <row r="124" spans="1:10" hidden="1" x14ac:dyDescent="0.25">
      <c r="A124" s="99" t="str">
        <f>'Resultater - Vestdanmark'!A124</f>
        <v>Kornmark</v>
      </c>
      <c r="B124" s="99" t="str">
        <f>'Resultater - Vestdanmark'!B124</f>
        <v>Konventionel</v>
      </c>
      <c r="C124" s="99" t="str">
        <f>'Resultater - Vestdanmark'!C124</f>
        <v>OC6</v>
      </c>
      <c r="D124" s="99" t="str">
        <f>'Resultater - Vestdanmark'!D124</f>
        <v>Areal-korn</v>
      </c>
      <c r="E124" s="99" t="str">
        <f>'Resultater - Vestdanmark'!E124</f>
        <v>Hektar</v>
      </c>
      <c r="F124" s="99" t="str">
        <f>'Resultater - Vestdanmark'!F124</f>
        <v>Korn</v>
      </c>
      <c r="G124" s="99" t="str">
        <f>'Resultater - Vestdanmark'!G124</f>
        <v>Ton</v>
      </c>
      <c r="H124" s="298">
        <f>'Resultater - Vestdanmark'!H124+'Resultater - Østdanmark'!H124</f>
        <v>225935.04552207049</v>
      </c>
      <c r="I124" s="299">
        <f>'Resultater - Vestdanmark'!I124+'Resultater - Østdanmark'!I124</f>
        <v>0</v>
      </c>
      <c r="J124" s="300">
        <f>'Resultater - Vestdanmark'!J124+'Resultater - Østdanmark'!J124</f>
        <v>0</v>
      </c>
    </row>
    <row r="125" spans="1:10" x14ac:dyDescent="0.25">
      <c r="A125" s="99" t="str">
        <f>'Resultater - Vestdanmark'!A125</f>
        <v>Kornmark</v>
      </c>
      <c r="B125" s="99" t="str">
        <f>'Resultater - Vestdanmark'!B125</f>
        <v>Konventionel</v>
      </c>
      <c r="C125" s="99" t="str">
        <f>'Resultater - Vestdanmark'!C125</f>
        <v>OC6</v>
      </c>
      <c r="D125" s="99" t="str">
        <f>'Resultater - Vestdanmark'!D125</f>
        <v>Areal-korn</v>
      </c>
      <c r="E125" s="99" t="str">
        <f>'Resultater - Vestdanmark'!E125</f>
        <v>Hektar</v>
      </c>
      <c r="F125" s="99" t="str">
        <f>'Resultater - Vestdanmark'!F125</f>
        <v>Halm</v>
      </c>
      <c r="G125" s="99" t="str">
        <f>'Resultater - Vestdanmark'!G125</f>
        <v>Ton</v>
      </c>
      <c r="H125" s="298">
        <f>'Resultater - Vestdanmark'!H125+'Resultater - Østdanmark'!H125</f>
        <v>73744.634020790007</v>
      </c>
      <c r="I125" s="299">
        <f>'Resultater - Vestdanmark'!I125+'Resultater - Østdanmark'!I125</f>
        <v>0</v>
      </c>
      <c r="J125" s="300">
        <f>'Resultater - Vestdanmark'!J125+'Resultater - Østdanmark'!J125</f>
        <v>0</v>
      </c>
    </row>
    <row r="126" spans="1:10" hidden="1" x14ac:dyDescent="0.25">
      <c r="A126" s="99" t="str">
        <f>'Resultater - Vestdanmark'!A126</f>
        <v>Kornmark</v>
      </c>
      <c r="B126" s="99" t="str">
        <f>'Resultater - Vestdanmark'!B126</f>
        <v>Konventionel</v>
      </c>
      <c r="C126" s="99" t="str">
        <f>'Resultater - Vestdanmark'!C126</f>
        <v>OC6</v>
      </c>
      <c r="D126" s="99" t="str">
        <f>'Resultater - Vestdanmark'!D126</f>
        <v>Areal-korn</v>
      </c>
      <c r="E126" s="99" t="str">
        <f>'Resultater - Vestdanmark'!E126</f>
        <v>Hektar</v>
      </c>
      <c r="F126" s="99" t="str">
        <f>'Resultater - Vestdanmark'!F126</f>
        <v>Gødning</v>
      </c>
      <c r="G126" s="99" t="str">
        <f>'Resultater - Vestdanmark'!G126</f>
        <v>kg N</v>
      </c>
      <c r="H126" s="298">
        <f>'Resultater - Vestdanmark'!H126+'Resultater - Østdanmark'!H126</f>
        <v>-3491625.762942126</v>
      </c>
      <c r="I126" s="299">
        <f>'Resultater - Vestdanmark'!I126+'Resultater - Østdanmark'!I126</f>
        <v>0</v>
      </c>
      <c r="J126" s="300">
        <f>'Resultater - Vestdanmark'!J126+'Resultater - Østdanmark'!J126</f>
        <v>0</v>
      </c>
    </row>
    <row r="127" spans="1:10" hidden="1" x14ac:dyDescent="0.25">
      <c r="A127" s="99" t="str">
        <f>'Resultater - Vestdanmark'!A127</f>
        <v>Kornmark</v>
      </c>
      <c r="B127" s="99" t="str">
        <f>'Resultater - Vestdanmark'!B127</f>
        <v>Konventionel</v>
      </c>
      <c r="C127" s="99" t="str">
        <f>'Resultater - Vestdanmark'!C127</f>
        <v>OC6</v>
      </c>
      <c r="D127" s="99" t="str">
        <f>'Resultater - Vestdanmark'!D127</f>
        <v>Areal-korn</v>
      </c>
      <c r="E127" s="99" t="str">
        <f>'Resultater - Vestdanmark'!E127</f>
        <v>Hektar</v>
      </c>
      <c r="F127" s="99" t="str">
        <f>'Resultater - Vestdanmark'!F127</f>
        <v>CO2 - atmosfære</v>
      </c>
      <c r="G127" s="99" t="str">
        <f>'Resultater - Vestdanmark'!G127</f>
        <v>t CO2-ækvivalenter</v>
      </c>
      <c r="H127" s="298">
        <f>'Resultater - Vestdanmark'!H127+'Resultater - Østdanmark'!H127</f>
        <v>429515.47728160548</v>
      </c>
      <c r="I127" s="299">
        <f>'Resultater - Vestdanmark'!I127+'Resultater - Østdanmark'!I127</f>
        <v>0</v>
      </c>
      <c r="J127" s="300">
        <f>'Resultater - Vestdanmark'!J127+'Resultater - Østdanmark'!J127</f>
        <v>0</v>
      </c>
    </row>
    <row r="128" spans="1:10" hidden="1" x14ac:dyDescent="0.25">
      <c r="A128" s="99" t="str">
        <f>'Resultater - Vestdanmark'!A128</f>
        <v>Kornmark</v>
      </c>
      <c r="B128" s="99" t="str">
        <f>'Resultater - Vestdanmark'!B128</f>
        <v>Konventionel</v>
      </c>
      <c r="C128" s="99" t="str">
        <f>'Resultater - Vestdanmark'!C128</f>
        <v>OC12</v>
      </c>
      <c r="D128" s="99" t="str">
        <f>'Resultater - Vestdanmark'!D128</f>
        <v>Areal-korn</v>
      </c>
      <c r="E128" s="99" t="str">
        <f>'Resultater - Vestdanmark'!E128</f>
        <v>Hektar</v>
      </c>
      <c r="F128" s="99" t="str">
        <f>'Resultater - Vestdanmark'!F128</f>
        <v>Korn</v>
      </c>
      <c r="G128" s="99" t="str">
        <f>'Resultater - Vestdanmark'!G128</f>
        <v>Ton</v>
      </c>
      <c r="H128" s="298">
        <f>'Resultater - Vestdanmark'!H128+'Resultater - Østdanmark'!H128</f>
        <v>134184.5342649988</v>
      </c>
      <c r="I128" s="299">
        <f>'Resultater - Vestdanmark'!I128+'Resultater - Østdanmark'!I128</f>
        <v>0</v>
      </c>
      <c r="J128" s="300">
        <f>'Resultater - Vestdanmark'!J128+'Resultater - Østdanmark'!J128</f>
        <v>0</v>
      </c>
    </row>
    <row r="129" spans="1:10" x14ac:dyDescent="0.25">
      <c r="A129" s="99" t="str">
        <f>'Resultater - Vestdanmark'!A129</f>
        <v>Kornmark</v>
      </c>
      <c r="B129" s="99" t="str">
        <f>'Resultater - Vestdanmark'!B129</f>
        <v>Konventionel</v>
      </c>
      <c r="C129" s="99" t="str">
        <f>'Resultater - Vestdanmark'!C129</f>
        <v>OC12</v>
      </c>
      <c r="D129" s="99" t="str">
        <f>'Resultater - Vestdanmark'!D129</f>
        <v>Areal-korn</v>
      </c>
      <c r="E129" s="99" t="str">
        <f>'Resultater - Vestdanmark'!E129</f>
        <v>Hektar</v>
      </c>
      <c r="F129" s="99" t="str">
        <f>'Resultater - Vestdanmark'!F129</f>
        <v>Halm</v>
      </c>
      <c r="G129" s="99" t="str">
        <f>'Resultater - Vestdanmark'!G129</f>
        <v>Ton</v>
      </c>
      <c r="H129" s="298">
        <f>'Resultater - Vestdanmark'!H129+'Resultater - Østdanmark'!H129</f>
        <v>43797.49652275996</v>
      </c>
      <c r="I129" s="299">
        <f>'Resultater - Vestdanmark'!I129+'Resultater - Østdanmark'!I129</f>
        <v>0</v>
      </c>
      <c r="J129" s="300">
        <f>'Resultater - Vestdanmark'!J129+'Resultater - Østdanmark'!J129</f>
        <v>0</v>
      </c>
    </row>
    <row r="130" spans="1:10" hidden="1" x14ac:dyDescent="0.25">
      <c r="A130" s="99" t="str">
        <f>'Resultater - Vestdanmark'!A130</f>
        <v>Kornmark</v>
      </c>
      <c r="B130" s="99" t="str">
        <f>'Resultater - Vestdanmark'!B130</f>
        <v>Konventionel</v>
      </c>
      <c r="C130" s="99" t="str">
        <f>'Resultater - Vestdanmark'!C130</f>
        <v>OC12</v>
      </c>
      <c r="D130" s="99" t="str">
        <f>'Resultater - Vestdanmark'!D130</f>
        <v>Areal-korn</v>
      </c>
      <c r="E130" s="99" t="str">
        <f>'Resultater - Vestdanmark'!E130</f>
        <v>Hektar</v>
      </c>
      <c r="F130" s="99" t="str">
        <f>'Resultater - Vestdanmark'!F130</f>
        <v>Gødning</v>
      </c>
      <c r="G130" s="99" t="str">
        <f>'Resultater - Vestdanmark'!G130</f>
        <v>kg N</v>
      </c>
      <c r="H130" s="298">
        <f>'Resultater - Vestdanmark'!H130+'Resultater - Østdanmark'!H130</f>
        <v>-1367276.6890666278</v>
      </c>
      <c r="I130" s="299">
        <f>'Resultater - Vestdanmark'!I130+'Resultater - Østdanmark'!I130</f>
        <v>0</v>
      </c>
      <c r="J130" s="300">
        <f>'Resultater - Vestdanmark'!J130+'Resultater - Østdanmark'!J130</f>
        <v>0</v>
      </c>
    </row>
    <row r="131" spans="1:10" hidden="1" x14ac:dyDescent="0.25">
      <c r="A131" s="99" t="str">
        <f>'Resultater - Vestdanmark'!A131</f>
        <v>Kornmark</v>
      </c>
      <c r="B131" s="99" t="str">
        <f>'Resultater - Vestdanmark'!B131</f>
        <v>Konventionel</v>
      </c>
      <c r="C131" s="99" t="str">
        <f>'Resultater - Vestdanmark'!C131</f>
        <v>OC12</v>
      </c>
      <c r="D131" s="99" t="str">
        <f>'Resultater - Vestdanmark'!D131</f>
        <v>Areal-korn</v>
      </c>
      <c r="E131" s="99" t="str">
        <f>'Resultater - Vestdanmark'!E131</f>
        <v>Hektar</v>
      </c>
      <c r="F131" s="99" t="str">
        <f>'Resultater - Vestdanmark'!F131</f>
        <v>CO2 - atmosfære</v>
      </c>
      <c r="G131" s="99" t="str">
        <f>'Resultater - Vestdanmark'!G131</f>
        <v>t CO2-ækvivalenter</v>
      </c>
      <c r="H131" s="298">
        <f>'Resultater - Vestdanmark'!H131+'Resultater - Østdanmark'!H131</f>
        <v>559922.97086443973</v>
      </c>
      <c r="I131" s="299">
        <f>'Resultater - Vestdanmark'!I131+'Resultater - Østdanmark'!I131</f>
        <v>0</v>
      </c>
      <c r="J131" s="300">
        <f>'Resultater - Vestdanmark'!J131+'Resultater - Østdanmark'!J131</f>
        <v>0</v>
      </c>
    </row>
    <row r="132" spans="1:10" hidden="1" x14ac:dyDescent="0.25">
      <c r="A132" s="99" t="str">
        <f>'Resultater - Vestdanmark'!A132</f>
        <v>Kornmark</v>
      </c>
      <c r="B132" s="99" t="str">
        <f>'Resultater - Vestdanmark'!B132</f>
        <v>Økologisk</v>
      </c>
      <c r="C132" s="99" t="str">
        <f>'Resultater - Vestdanmark'!C132</f>
        <v>JB1-10</v>
      </c>
      <c r="D132" s="99" t="str">
        <f>'Resultater - Vestdanmark'!D132</f>
        <v>Areal-korn</v>
      </c>
      <c r="E132" s="99" t="str">
        <f>'Resultater - Vestdanmark'!E132</f>
        <v>Hektar</v>
      </c>
      <c r="F132" s="99" t="str">
        <f>'Resultater - Vestdanmark'!F132</f>
        <v>Korn</v>
      </c>
      <c r="G132" s="99" t="str">
        <f>'Resultater - Vestdanmark'!G132</f>
        <v>Ton</v>
      </c>
      <c r="H132" s="298">
        <f>'Resultater - Vestdanmark'!H132+'Resultater - Østdanmark'!H132</f>
        <v>687979.55575600604</v>
      </c>
      <c r="I132" s="299">
        <f>'Resultater - Vestdanmark'!I132+'Resultater - Østdanmark'!I132</f>
        <v>701073.67244910216</v>
      </c>
      <c r="J132" s="300">
        <f>'Resultater - Vestdanmark'!J132+'Resultater - Østdanmark'!J132</f>
        <v>921926.31279797014</v>
      </c>
    </row>
    <row r="133" spans="1:10" x14ac:dyDescent="0.25">
      <c r="A133" s="99" t="str">
        <f>'Resultater - Vestdanmark'!A133</f>
        <v>Kornmark</v>
      </c>
      <c r="B133" s="99" t="str">
        <f>'Resultater - Vestdanmark'!B133</f>
        <v>Økologisk</v>
      </c>
      <c r="C133" s="99" t="str">
        <f>'Resultater - Vestdanmark'!C133</f>
        <v>JB1-10</v>
      </c>
      <c r="D133" s="99" t="str">
        <f>'Resultater - Vestdanmark'!D133</f>
        <v>Areal-korn</v>
      </c>
      <c r="E133" s="99" t="str">
        <f>'Resultater - Vestdanmark'!E133</f>
        <v>Hektar</v>
      </c>
      <c r="F133" s="99" t="str">
        <f>'Resultater - Vestdanmark'!F133</f>
        <v>Halm</v>
      </c>
      <c r="G133" s="99" t="str">
        <f>'Resultater - Vestdanmark'!G133</f>
        <v>Ton</v>
      </c>
      <c r="H133" s="298">
        <f>'Resultater - Vestdanmark'!H133+'Resultater - Østdanmark'!H133</f>
        <v>224554.80704987101</v>
      </c>
      <c r="I133" s="299">
        <f>'Resultater - Vestdanmark'!I133+'Resultater - Østdanmark'!I133</f>
        <v>227073.96938378268</v>
      </c>
      <c r="J133" s="300">
        <f>'Resultater - Vestdanmark'!J133+'Resultater - Østdanmark'!J133</f>
        <v>299165.08850294136</v>
      </c>
    </row>
    <row r="134" spans="1:10" hidden="1" x14ac:dyDescent="0.25">
      <c r="A134" s="99" t="str">
        <f>'Resultater - Vestdanmark'!A134</f>
        <v>Kornmark</v>
      </c>
      <c r="B134" s="99" t="str">
        <f>'Resultater - Vestdanmark'!B134</f>
        <v>Økologisk</v>
      </c>
      <c r="C134" s="99" t="str">
        <f>'Resultater - Vestdanmark'!C134</f>
        <v>JB1-10</v>
      </c>
      <c r="D134" s="99" t="str">
        <f>'Resultater - Vestdanmark'!D134</f>
        <v>Areal-korn</v>
      </c>
      <c r="E134" s="99" t="str">
        <f>'Resultater - Vestdanmark'!E134</f>
        <v>Hektar</v>
      </c>
      <c r="F134" s="99" t="str">
        <f>'Resultater - Vestdanmark'!F134</f>
        <v>Gødning</v>
      </c>
      <c r="G134" s="99" t="str">
        <f>'Resultater - Vestdanmark'!G134</f>
        <v>kg N</v>
      </c>
      <c r="H134" s="298">
        <f>'Resultater - Vestdanmark'!H134+'Resultater - Østdanmark'!H134</f>
        <v>-15702814.396713404</v>
      </c>
      <c r="I134" s="299">
        <f>'Resultater - Vestdanmark'!I134+'Resultater - Østdanmark'!I134</f>
        <v>-14926941.734603066</v>
      </c>
      <c r="J134" s="300">
        <f>'Resultater - Vestdanmark'!J134+'Resultater - Østdanmark'!J134</f>
        <v>-19129582.420914955</v>
      </c>
    </row>
    <row r="135" spans="1:10" hidden="1" x14ac:dyDescent="0.25">
      <c r="A135" s="99" t="str">
        <f>'Resultater - Vestdanmark'!A135</f>
        <v>Kornmark</v>
      </c>
      <c r="B135" s="99" t="str">
        <f>'Resultater - Vestdanmark'!B135</f>
        <v>Økologisk</v>
      </c>
      <c r="C135" s="99" t="str">
        <f>'Resultater - Vestdanmark'!C135</f>
        <v>JB1-10</v>
      </c>
      <c r="D135" s="99" t="str">
        <f>'Resultater - Vestdanmark'!D135</f>
        <v>Areal-korn</v>
      </c>
      <c r="E135" s="99" t="str">
        <f>'Resultater - Vestdanmark'!E135</f>
        <v>Hektar</v>
      </c>
      <c r="F135" s="99" t="str">
        <f>'Resultater - Vestdanmark'!F135</f>
        <v>CO2 - atmosfære</v>
      </c>
      <c r="G135" s="99" t="str">
        <f>'Resultater - Vestdanmark'!G135</f>
        <v>t CO2-ækvivalenter</v>
      </c>
      <c r="H135" s="298">
        <f>'Resultater - Vestdanmark'!H135+'Resultater - Østdanmark'!H135</f>
        <v>333054.11051750812</v>
      </c>
      <c r="I135" s="299">
        <f>'Resultater - Vestdanmark'!I135+'Resultater - Østdanmark'!I135</f>
        <v>316597.97897155449</v>
      </c>
      <c r="J135" s="300">
        <f>'Resultater - Vestdanmark'!J135+'Resultater - Østdanmark'!J135</f>
        <v>405735.29666775389</v>
      </c>
    </row>
    <row r="136" spans="1:10" hidden="1" x14ac:dyDescent="0.25">
      <c r="A136" s="99" t="str">
        <f>'Resultater - Vestdanmark'!A136</f>
        <v>Kornmark</v>
      </c>
      <c r="B136" s="99" t="str">
        <f>'Resultater - Vestdanmark'!B136</f>
        <v>Økologisk</v>
      </c>
      <c r="C136" s="99" t="str">
        <f>'Resultater - Vestdanmark'!C136</f>
        <v>OC6</v>
      </c>
      <c r="D136" s="99" t="str">
        <f>'Resultater - Vestdanmark'!D136</f>
        <v>Areal-korn</v>
      </c>
      <c r="E136" s="99" t="str">
        <f>'Resultater - Vestdanmark'!E136</f>
        <v>Hektar</v>
      </c>
      <c r="F136" s="99" t="str">
        <f>'Resultater - Vestdanmark'!F136</f>
        <v>Korn</v>
      </c>
      <c r="G136" s="99" t="str">
        <f>'Resultater - Vestdanmark'!G136</f>
        <v>Ton</v>
      </c>
      <c r="H136" s="298">
        <f>'Resultater - Vestdanmark'!H136+'Resultater - Østdanmark'!H136</f>
        <v>19355.226023653049</v>
      </c>
      <c r="I136" s="299">
        <f>'Resultater - Vestdanmark'!I136+'Resultater - Østdanmark'!I136</f>
        <v>0</v>
      </c>
      <c r="J136" s="300">
        <f>'Resultater - Vestdanmark'!J136+'Resultater - Østdanmark'!J136</f>
        <v>0</v>
      </c>
    </row>
    <row r="137" spans="1:10" x14ac:dyDescent="0.25">
      <c r="A137" s="99" t="str">
        <f>'Resultater - Vestdanmark'!A137</f>
        <v>Kornmark</v>
      </c>
      <c r="B137" s="99" t="str">
        <f>'Resultater - Vestdanmark'!B137</f>
        <v>Økologisk</v>
      </c>
      <c r="C137" s="99" t="str">
        <f>'Resultater - Vestdanmark'!C137</f>
        <v>OC6</v>
      </c>
      <c r="D137" s="99" t="str">
        <f>'Resultater - Vestdanmark'!D137</f>
        <v>Areal-korn</v>
      </c>
      <c r="E137" s="99" t="str">
        <f>'Resultater - Vestdanmark'!E137</f>
        <v>Hektar</v>
      </c>
      <c r="F137" s="99" t="str">
        <f>'Resultater - Vestdanmark'!F137</f>
        <v>Halm</v>
      </c>
      <c r="G137" s="99" t="str">
        <f>'Resultater - Vestdanmark'!G137</f>
        <v>Ton</v>
      </c>
      <c r="H137" s="298">
        <f>'Resultater - Vestdanmark'!H137+'Resultater - Østdanmark'!H137</f>
        <v>6317.4973860552982</v>
      </c>
      <c r="I137" s="299">
        <f>'Resultater - Vestdanmark'!I137+'Resultater - Østdanmark'!I137</f>
        <v>0</v>
      </c>
      <c r="J137" s="300">
        <f>'Resultater - Vestdanmark'!J137+'Resultater - Østdanmark'!J137</f>
        <v>0</v>
      </c>
    </row>
    <row r="138" spans="1:10" hidden="1" x14ac:dyDescent="0.25">
      <c r="A138" s="99" t="str">
        <f>'Resultater - Vestdanmark'!A138</f>
        <v>Kornmark</v>
      </c>
      <c r="B138" s="99" t="str">
        <f>'Resultater - Vestdanmark'!B138</f>
        <v>Økologisk</v>
      </c>
      <c r="C138" s="99" t="str">
        <f>'Resultater - Vestdanmark'!C138</f>
        <v>OC6</v>
      </c>
      <c r="D138" s="99" t="str">
        <f>'Resultater - Vestdanmark'!D138</f>
        <v>Areal-korn</v>
      </c>
      <c r="E138" s="99" t="str">
        <f>'Resultater - Vestdanmark'!E138</f>
        <v>Hektar</v>
      </c>
      <c r="F138" s="99" t="str">
        <f>'Resultater - Vestdanmark'!F138</f>
        <v>Gødning</v>
      </c>
      <c r="G138" s="99" t="str">
        <f>'Resultater - Vestdanmark'!G138</f>
        <v>kg N</v>
      </c>
      <c r="H138" s="298">
        <f>'Resultater - Vestdanmark'!H138+'Resultater - Østdanmark'!H138</f>
        <v>-299117.85343258409</v>
      </c>
      <c r="I138" s="299">
        <f>'Resultater - Vestdanmark'!I138+'Resultater - Østdanmark'!I138</f>
        <v>0</v>
      </c>
      <c r="J138" s="300">
        <f>'Resultater - Vestdanmark'!J138+'Resultater - Østdanmark'!J138</f>
        <v>0</v>
      </c>
    </row>
    <row r="139" spans="1:10" hidden="1" x14ac:dyDescent="0.25">
      <c r="A139" s="99" t="str">
        <f>'Resultater - Vestdanmark'!A139</f>
        <v>Kornmark</v>
      </c>
      <c r="B139" s="99" t="str">
        <f>'Resultater - Vestdanmark'!B139</f>
        <v>Økologisk</v>
      </c>
      <c r="C139" s="99" t="str">
        <f>'Resultater - Vestdanmark'!C139</f>
        <v>OC6</v>
      </c>
      <c r="D139" s="99" t="str">
        <f>'Resultater - Vestdanmark'!D139</f>
        <v>Areal-korn</v>
      </c>
      <c r="E139" s="99" t="str">
        <f>'Resultater - Vestdanmark'!E139</f>
        <v>Hektar</v>
      </c>
      <c r="F139" s="99" t="str">
        <f>'Resultater - Vestdanmark'!F139</f>
        <v>CO2 - atmosfære</v>
      </c>
      <c r="G139" s="99" t="str">
        <f>'Resultater - Vestdanmark'!G139</f>
        <v>t CO2-ækvivalenter</v>
      </c>
      <c r="H139" s="298">
        <f>'Resultater - Vestdanmark'!H139+'Resultater - Østdanmark'!H139</f>
        <v>54918.499333549895</v>
      </c>
      <c r="I139" s="299">
        <f>'Resultater - Vestdanmark'!I139+'Resultater - Østdanmark'!I139</f>
        <v>0</v>
      </c>
      <c r="J139" s="300">
        <f>'Resultater - Vestdanmark'!J139+'Resultater - Østdanmark'!J139</f>
        <v>0</v>
      </c>
    </row>
    <row r="140" spans="1:10" hidden="1" x14ac:dyDescent="0.25">
      <c r="A140" s="99" t="str">
        <f>'Resultater - Vestdanmark'!A140</f>
        <v>Kornmark</v>
      </c>
      <c r="B140" s="99" t="str">
        <f>'Resultater - Vestdanmark'!B140</f>
        <v>Økologisk</v>
      </c>
      <c r="C140" s="99" t="str">
        <f>'Resultater - Vestdanmark'!C140</f>
        <v>OC12</v>
      </c>
      <c r="D140" s="99" t="str">
        <f>'Resultater - Vestdanmark'!D140</f>
        <v>Areal-korn</v>
      </c>
      <c r="E140" s="99" t="str">
        <f>'Resultater - Vestdanmark'!E140</f>
        <v>Hektar</v>
      </c>
      <c r="F140" s="99" t="str">
        <f>'Resultater - Vestdanmark'!F140</f>
        <v>Korn</v>
      </c>
      <c r="G140" s="99" t="str">
        <f>'Resultater - Vestdanmark'!G140</f>
        <v>Ton</v>
      </c>
      <c r="H140" s="298">
        <f>'Resultater - Vestdanmark'!H140+'Resultater - Østdanmark'!H140</f>
        <v>11495.215288873653</v>
      </c>
      <c r="I140" s="299">
        <f>'Resultater - Vestdanmark'!I140+'Resultater - Østdanmark'!I140</f>
        <v>0</v>
      </c>
      <c r="J140" s="300">
        <f>'Resultater - Vestdanmark'!J140+'Resultater - Østdanmark'!J140</f>
        <v>0</v>
      </c>
    </row>
    <row r="141" spans="1:10" x14ac:dyDescent="0.25">
      <c r="A141" s="99" t="str">
        <f>'Resultater - Vestdanmark'!A141</f>
        <v>Kornmark</v>
      </c>
      <c r="B141" s="99" t="str">
        <f>'Resultater - Vestdanmark'!B141</f>
        <v>Økologisk</v>
      </c>
      <c r="C141" s="99" t="str">
        <f>'Resultater - Vestdanmark'!C141</f>
        <v>OC12</v>
      </c>
      <c r="D141" s="99" t="str">
        <f>'Resultater - Vestdanmark'!D141</f>
        <v>Areal-korn</v>
      </c>
      <c r="E141" s="99" t="str">
        <f>'Resultater - Vestdanmark'!E141</f>
        <v>Hektar</v>
      </c>
      <c r="F141" s="99" t="str">
        <f>'Resultater - Vestdanmark'!F141</f>
        <v>Halm</v>
      </c>
      <c r="G141" s="99" t="str">
        <f>'Resultater - Vestdanmark'!G141</f>
        <v>Ton</v>
      </c>
      <c r="H141" s="298">
        <f>'Resultater - Vestdanmark'!H141+'Resultater - Østdanmark'!H141</f>
        <v>3752.0095322501388</v>
      </c>
      <c r="I141" s="299">
        <f>'Resultater - Vestdanmark'!I141+'Resultater - Østdanmark'!I141</f>
        <v>0</v>
      </c>
      <c r="J141" s="300">
        <f>'Resultater - Vestdanmark'!J141+'Resultater - Østdanmark'!J141</f>
        <v>0</v>
      </c>
    </row>
    <row r="142" spans="1:10" hidden="1" x14ac:dyDescent="0.25">
      <c r="A142" s="99" t="str">
        <f>'Resultater - Vestdanmark'!A142</f>
        <v>Kornmark</v>
      </c>
      <c r="B142" s="99" t="str">
        <f>'Resultater - Vestdanmark'!B142</f>
        <v>Økologisk</v>
      </c>
      <c r="C142" s="99" t="str">
        <f>'Resultater - Vestdanmark'!C142</f>
        <v>OC12</v>
      </c>
      <c r="D142" s="99" t="str">
        <f>'Resultater - Vestdanmark'!D142</f>
        <v>Areal-korn</v>
      </c>
      <c r="E142" s="99" t="str">
        <f>'Resultater - Vestdanmark'!E142</f>
        <v>Hektar</v>
      </c>
      <c r="F142" s="99" t="str">
        <f>'Resultater - Vestdanmark'!F142</f>
        <v>Gødning</v>
      </c>
      <c r="G142" s="99" t="str">
        <f>'Resultater - Vestdanmark'!G142</f>
        <v>kg N</v>
      </c>
      <c r="H142" s="298">
        <f>'Resultater - Vestdanmark'!H142+'Resultater - Østdanmark'!H142</f>
        <v>-117130.7854990183</v>
      </c>
      <c r="I142" s="299">
        <f>'Resultater - Vestdanmark'!I142+'Resultater - Østdanmark'!I142</f>
        <v>0</v>
      </c>
      <c r="J142" s="300">
        <f>'Resultater - Vestdanmark'!J142+'Resultater - Østdanmark'!J142</f>
        <v>0</v>
      </c>
    </row>
    <row r="143" spans="1:10" hidden="1" x14ac:dyDescent="0.25">
      <c r="A143" s="99" t="str">
        <f>'Resultater - Vestdanmark'!A143</f>
        <v>Kornmark</v>
      </c>
      <c r="B143" s="99" t="str">
        <f>'Resultater - Vestdanmark'!B143</f>
        <v>Økologisk</v>
      </c>
      <c r="C143" s="99" t="str">
        <f>'Resultater - Vestdanmark'!C143</f>
        <v>OC12</v>
      </c>
      <c r="D143" s="99" t="str">
        <f>'Resultater - Vestdanmark'!D143</f>
        <v>Areal-korn</v>
      </c>
      <c r="E143" s="99" t="str">
        <f>'Resultater - Vestdanmark'!E143</f>
        <v>Hektar</v>
      </c>
      <c r="F143" s="99" t="str">
        <f>'Resultater - Vestdanmark'!F143</f>
        <v>CO2 - atmosfære</v>
      </c>
      <c r="G143" s="99" t="str">
        <f>'Resultater - Vestdanmark'!G143</f>
        <v>t CO2-ækvivalenter</v>
      </c>
      <c r="H143" s="298">
        <f>'Resultater - Vestdanmark'!H143+'Resultater - Østdanmark'!H143</f>
        <v>71592.598937004383</v>
      </c>
      <c r="I143" s="299">
        <f>'Resultater - Vestdanmark'!I143+'Resultater - Østdanmark'!I143</f>
        <v>0</v>
      </c>
      <c r="J143" s="300">
        <f>'Resultater - Vestdanmark'!J143+'Resultater - Østdanmark'!J143</f>
        <v>0</v>
      </c>
    </row>
    <row r="144" spans="1:10" hidden="1" x14ac:dyDescent="0.25">
      <c r="A144" s="99" t="str">
        <f>'Resultater - Vestdanmark'!A144</f>
        <v>Grøntsager på land</v>
      </c>
      <c r="B144" s="99" t="str">
        <f>'Resultater - Vestdanmark'!B144</f>
        <v>Konventionel</v>
      </c>
      <c r="C144" s="99" t="str">
        <f>'Resultater - Vestdanmark'!C144</f>
        <v>JB1-10</v>
      </c>
      <c r="D144" s="99" t="str">
        <f>'Resultater - Vestdanmark'!D144</f>
        <v>Areal-grøntsager</v>
      </c>
      <c r="E144" s="99" t="str">
        <f>'Resultater - Vestdanmark'!E144</f>
        <v>Hektar</v>
      </c>
      <c r="F144" s="99" t="str">
        <f>'Resultater - Vestdanmark'!F144</f>
        <v>Grøntsager</v>
      </c>
      <c r="G144" s="99" t="str">
        <f>'Resultater - Vestdanmark'!G144</f>
        <v>Ton</v>
      </c>
      <c r="H144" s="298">
        <f>'Resultater - Vestdanmark'!H144+'Resultater - Østdanmark'!H144</f>
        <v>230147.57425814544</v>
      </c>
      <c r="I144" s="299">
        <f>'Resultater - Vestdanmark'!I144+'Resultater - Østdanmark'!I144</f>
        <v>186611.63622769783</v>
      </c>
      <c r="J144" s="300">
        <f>'Resultater - Vestdanmark'!J144+'Resultater - Østdanmark'!J144</f>
        <v>179221.74383042968</v>
      </c>
    </row>
    <row r="145" spans="1:10" hidden="1" x14ac:dyDescent="0.25">
      <c r="A145" s="99" t="str">
        <f>'Resultater - Vestdanmark'!A145</f>
        <v>Grøntsager på land</v>
      </c>
      <c r="B145" s="99" t="str">
        <f>'Resultater - Vestdanmark'!B145</f>
        <v>Konventionel</v>
      </c>
      <c r="C145" s="99" t="str">
        <f>'Resultater - Vestdanmark'!C145</f>
        <v>JB1-10</v>
      </c>
      <c r="D145" s="99" t="str">
        <f>'Resultater - Vestdanmark'!D145</f>
        <v>Areal-grøntsager</v>
      </c>
      <c r="E145" s="99" t="str">
        <f>'Resultater - Vestdanmark'!E145</f>
        <v>Hektar</v>
      </c>
      <c r="F145" s="99" t="str">
        <f>'Resultater - Vestdanmark'!F145</f>
        <v>Gødning</v>
      </c>
      <c r="G145" s="99" t="str">
        <f>'Resultater - Vestdanmark'!G145</f>
        <v>kg N</v>
      </c>
      <c r="H145" s="298">
        <f>'Resultater - Vestdanmark'!H145+'Resultater - Østdanmark'!H145</f>
        <v>-2232747.9829002842</v>
      </c>
      <c r="I145" s="299">
        <f>'Resultater - Vestdanmark'!I145+'Resultater - Østdanmark'!I145</f>
        <v>-1688796.1854481797</v>
      </c>
      <c r="J145" s="300">
        <f>'Resultater - Vestdanmark'!J145+'Resultater - Østdanmark'!J145</f>
        <v>-1580633.992298692</v>
      </c>
    </row>
    <row r="146" spans="1:10" hidden="1" x14ac:dyDescent="0.25">
      <c r="A146" s="99" t="str">
        <f>'Resultater - Vestdanmark'!A146</f>
        <v>Grøntsager på land</v>
      </c>
      <c r="B146" s="99" t="str">
        <f>'Resultater - Vestdanmark'!B146</f>
        <v>Konventionel</v>
      </c>
      <c r="C146" s="99" t="str">
        <f>'Resultater - Vestdanmark'!C146</f>
        <v>JB1-10</v>
      </c>
      <c r="D146" s="99" t="str">
        <f>'Resultater - Vestdanmark'!D146</f>
        <v>Areal-grøntsager</v>
      </c>
      <c r="E146" s="99" t="str">
        <f>'Resultater - Vestdanmark'!E146</f>
        <v>Hektar</v>
      </c>
      <c r="F146" s="99" t="str">
        <f>'Resultater - Vestdanmark'!F146</f>
        <v>CO2 - atmosfære</v>
      </c>
      <c r="G146" s="99" t="str">
        <f>'Resultater - Vestdanmark'!G146</f>
        <v>t CO2-ækvivalenter</v>
      </c>
      <c r="H146" s="298">
        <f>'Resultater - Vestdanmark'!H146+'Resultater - Østdanmark'!H146</f>
        <v>25382.932563674498</v>
      </c>
      <c r="I146" s="299">
        <f>'Resultater - Vestdanmark'!I146+'Resultater - Østdanmark'!I146</f>
        <v>19199.031873422289</v>
      </c>
      <c r="J146" s="300">
        <f>'Resultater - Vestdanmark'!J146+'Resultater - Østdanmark'!J146</f>
        <v>17969.393026727965</v>
      </c>
    </row>
    <row r="147" spans="1:10" hidden="1" x14ac:dyDescent="0.25">
      <c r="A147" s="99" t="str">
        <f>'Resultater - Vestdanmark'!A147</f>
        <v>Grøntsager på land</v>
      </c>
      <c r="B147" s="99" t="str">
        <f>'Resultater - Vestdanmark'!B147</f>
        <v>Konventionel</v>
      </c>
      <c r="C147" s="99" t="str">
        <f>'Resultater - Vestdanmark'!C147</f>
        <v>OC6</v>
      </c>
      <c r="D147" s="99" t="str">
        <f>'Resultater - Vestdanmark'!D147</f>
        <v>Areal-grøntsager</v>
      </c>
      <c r="E147" s="99" t="str">
        <f>'Resultater - Vestdanmark'!E147</f>
        <v>Hektar</v>
      </c>
      <c r="F147" s="99" t="str">
        <f>'Resultater - Vestdanmark'!F147</f>
        <v>Grøntsager</v>
      </c>
      <c r="G147" s="99" t="str">
        <f>'Resultater - Vestdanmark'!G147</f>
        <v>Ton</v>
      </c>
      <c r="H147" s="298">
        <f>'Resultater - Vestdanmark'!H147+'Resultater - Østdanmark'!H147</f>
        <v>2806.7295229677611</v>
      </c>
      <c r="I147" s="299">
        <f>'Resultater - Vestdanmark'!I147+'Resultater - Østdanmark'!I147</f>
        <v>0</v>
      </c>
      <c r="J147" s="300">
        <f>'Resultater - Vestdanmark'!J147+'Resultater - Østdanmark'!J147</f>
        <v>0</v>
      </c>
    </row>
    <row r="148" spans="1:10" hidden="1" x14ac:dyDescent="0.25">
      <c r="A148" s="99" t="str">
        <f>'Resultater - Vestdanmark'!A148</f>
        <v>Grøntsager på land</v>
      </c>
      <c r="B148" s="99" t="str">
        <f>'Resultater - Vestdanmark'!B148</f>
        <v>Konventionel</v>
      </c>
      <c r="C148" s="99" t="str">
        <f>'Resultater - Vestdanmark'!C148</f>
        <v>OC6</v>
      </c>
      <c r="D148" s="99" t="str">
        <f>'Resultater - Vestdanmark'!D148</f>
        <v>Areal-grøntsager</v>
      </c>
      <c r="E148" s="99" t="str">
        <f>'Resultater - Vestdanmark'!E148</f>
        <v>Hektar</v>
      </c>
      <c r="F148" s="99" t="str">
        <f>'Resultater - Vestdanmark'!F148</f>
        <v>Gødning</v>
      </c>
      <c r="G148" s="99" t="str">
        <f>'Resultater - Vestdanmark'!G148</f>
        <v>kg N</v>
      </c>
      <c r="H148" s="298">
        <f>'Resultater - Vestdanmark'!H148+'Resultater - Østdanmark'!H148</f>
        <v>-22123.673287397512</v>
      </c>
      <c r="I148" s="299">
        <f>'Resultater - Vestdanmark'!I148+'Resultater - Østdanmark'!I148</f>
        <v>0</v>
      </c>
      <c r="J148" s="300">
        <f>'Resultater - Vestdanmark'!J148+'Resultater - Østdanmark'!J148</f>
        <v>0</v>
      </c>
    </row>
    <row r="149" spans="1:10" hidden="1" x14ac:dyDescent="0.25">
      <c r="A149" s="99" t="str">
        <f>'Resultater - Vestdanmark'!A149</f>
        <v>Grøntsager på land</v>
      </c>
      <c r="B149" s="99" t="str">
        <f>'Resultater - Vestdanmark'!B149</f>
        <v>Konventionel</v>
      </c>
      <c r="C149" s="99" t="str">
        <f>'Resultater - Vestdanmark'!C149</f>
        <v>OC6</v>
      </c>
      <c r="D149" s="99" t="str">
        <f>'Resultater - Vestdanmark'!D149</f>
        <v>Areal-grøntsager</v>
      </c>
      <c r="E149" s="99" t="str">
        <f>'Resultater - Vestdanmark'!E149</f>
        <v>Hektar</v>
      </c>
      <c r="F149" s="99" t="str">
        <f>'Resultater - Vestdanmark'!F149</f>
        <v>CO2 - atmosfære</v>
      </c>
      <c r="G149" s="99" t="str">
        <f>'Resultater - Vestdanmark'!G149</f>
        <v>t CO2-ækvivalenter</v>
      </c>
      <c r="H149" s="298">
        <f>'Resultater - Vestdanmark'!H149+'Resultater - Østdanmark'!H149</f>
        <v>1814.3334435803249</v>
      </c>
      <c r="I149" s="299">
        <f>'Resultater - Vestdanmark'!I149+'Resultater - Østdanmark'!I149</f>
        <v>0</v>
      </c>
      <c r="J149" s="300">
        <f>'Resultater - Vestdanmark'!J149+'Resultater - Østdanmark'!J149</f>
        <v>0</v>
      </c>
    </row>
    <row r="150" spans="1:10" hidden="1" x14ac:dyDescent="0.25">
      <c r="A150" s="99" t="str">
        <f>'Resultater - Vestdanmark'!A150</f>
        <v>Grøntsager på land</v>
      </c>
      <c r="B150" s="99" t="str">
        <f>'Resultater - Vestdanmark'!B150</f>
        <v>Konventionel</v>
      </c>
      <c r="C150" s="99" t="str">
        <f>'Resultater - Vestdanmark'!C150</f>
        <v>OC12</v>
      </c>
      <c r="D150" s="99" t="str">
        <f>'Resultater - Vestdanmark'!D150</f>
        <v>Areal-grøntsager</v>
      </c>
      <c r="E150" s="99" t="str">
        <f>'Resultater - Vestdanmark'!E150</f>
        <v>Hektar</v>
      </c>
      <c r="F150" s="99" t="str">
        <f>'Resultater - Vestdanmark'!F150</f>
        <v>Grøntsager</v>
      </c>
      <c r="G150" s="99" t="str">
        <f>'Resultater - Vestdanmark'!G150</f>
        <v>Ton</v>
      </c>
      <c r="H150" s="298">
        <f>'Resultater - Vestdanmark'!H150+'Resultater - Østdanmark'!H150</f>
        <v>843.56496811604438</v>
      </c>
      <c r="I150" s="299">
        <f>'Resultater - Vestdanmark'!I150+'Resultater - Østdanmark'!I150</f>
        <v>0</v>
      </c>
      <c r="J150" s="300">
        <f>'Resultater - Vestdanmark'!J150+'Resultater - Østdanmark'!J150</f>
        <v>0</v>
      </c>
    </row>
    <row r="151" spans="1:10" hidden="1" x14ac:dyDescent="0.25">
      <c r="A151" s="99" t="str">
        <f>'Resultater - Vestdanmark'!A151</f>
        <v>Grøntsager på land</v>
      </c>
      <c r="B151" s="99" t="str">
        <f>'Resultater - Vestdanmark'!B151</f>
        <v>Konventionel</v>
      </c>
      <c r="C151" s="99" t="str">
        <f>'Resultater - Vestdanmark'!C151</f>
        <v>OC12</v>
      </c>
      <c r="D151" s="99" t="str">
        <f>'Resultater - Vestdanmark'!D151</f>
        <v>Areal-grøntsager</v>
      </c>
      <c r="E151" s="99" t="str">
        <f>'Resultater - Vestdanmark'!E151</f>
        <v>Hektar</v>
      </c>
      <c r="F151" s="99" t="str">
        <f>'Resultater - Vestdanmark'!F151</f>
        <v>Gødning</v>
      </c>
      <c r="G151" s="99" t="str">
        <f>'Resultater - Vestdanmark'!G151</f>
        <v>kg N</v>
      </c>
      <c r="H151" s="298">
        <f>'Resultater - Vestdanmark'!H151+'Resultater - Østdanmark'!H151</f>
        <v>-5553.2523541027549</v>
      </c>
      <c r="I151" s="299">
        <f>'Resultater - Vestdanmark'!I151+'Resultater - Østdanmark'!I151</f>
        <v>0</v>
      </c>
      <c r="J151" s="300">
        <f>'Resultater - Vestdanmark'!J151+'Resultater - Østdanmark'!J151</f>
        <v>0</v>
      </c>
    </row>
    <row r="152" spans="1:10" hidden="1" x14ac:dyDescent="0.25">
      <c r="A152" s="99" t="str">
        <f>'Resultater - Vestdanmark'!A152</f>
        <v>Grøntsager på land</v>
      </c>
      <c r="B152" s="99" t="str">
        <f>'Resultater - Vestdanmark'!B152</f>
        <v>Konventionel</v>
      </c>
      <c r="C152" s="99" t="str">
        <f>'Resultater - Vestdanmark'!C152</f>
        <v>OC12</v>
      </c>
      <c r="D152" s="99" t="str">
        <f>'Resultater - Vestdanmark'!D152</f>
        <v>Areal-grøntsager</v>
      </c>
      <c r="E152" s="99" t="str">
        <f>'Resultater - Vestdanmark'!E152</f>
        <v>Hektar</v>
      </c>
      <c r="F152" s="99" t="str">
        <f>'Resultater - Vestdanmark'!F152</f>
        <v>CO2 - atmosfære</v>
      </c>
      <c r="G152" s="99" t="str">
        <f>'Resultater - Vestdanmark'!G152</f>
        <v>t CO2-ækvivalenter</v>
      </c>
      <c r="H152" s="298">
        <f>'Resultater - Vestdanmark'!H152+'Resultater - Østdanmark'!H152</f>
        <v>1196.9215428986058</v>
      </c>
      <c r="I152" s="299">
        <f>'Resultater - Vestdanmark'!I152+'Resultater - Østdanmark'!I152</f>
        <v>0</v>
      </c>
      <c r="J152" s="300">
        <f>'Resultater - Vestdanmark'!J152+'Resultater - Østdanmark'!J152</f>
        <v>0</v>
      </c>
    </row>
    <row r="153" spans="1:10" hidden="1" x14ac:dyDescent="0.25">
      <c r="A153" s="99" t="str">
        <f>'Resultater - Vestdanmark'!A153</f>
        <v>Grøntsager på land</v>
      </c>
      <c r="B153" s="99" t="str">
        <f>'Resultater - Vestdanmark'!B153</f>
        <v>Økologisk</v>
      </c>
      <c r="C153" s="99" t="str">
        <f>'Resultater - Vestdanmark'!C153</f>
        <v>JB1-10</v>
      </c>
      <c r="D153" s="99" t="str">
        <f>'Resultater - Vestdanmark'!D153</f>
        <v>Areal-grøntsager</v>
      </c>
      <c r="E153" s="99" t="str">
        <f>'Resultater - Vestdanmark'!E153</f>
        <v>Hektar</v>
      </c>
      <c r="F153" s="99" t="str">
        <f>'Resultater - Vestdanmark'!F153</f>
        <v>Grøntsager</v>
      </c>
      <c r="G153" s="99" t="str">
        <f>'Resultater - Vestdanmark'!G153</f>
        <v>Ton</v>
      </c>
      <c r="H153" s="298">
        <f>'Resultater - Vestdanmark'!H153+'Resultater - Østdanmark'!H153</f>
        <v>16773.399891430559</v>
      </c>
      <c r="I153" s="299">
        <f>'Resultater - Vestdanmark'!I153+'Resultater - Østdanmark'!I153</f>
        <v>16600.884864417741</v>
      </c>
      <c r="J153" s="300">
        <f>'Resultater - Vestdanmark'!J153+'Resultater - Østdanmark'!J153</f>
        <v>21669.538117679222</v>
      </c>
    </row>
    <row r="154" spans="1:10" hidden="1" x14ac:dyDescent="0.25">
      <c r="A154" s="99" t="str">
        <f>'Resultater - Vestdanmark'!A154</f>
        <v>Grøntsager på land</v>
      </c>
      <c r="B154" s="99" t="str">
        <f>'Resultater - Vestdanmark'!B154</f>
        <v>Økologisk</v>
      </c>
      <c r="C154" s="99" t="str">
        <f>'Resultater - Vestdanmark'!C154</f>
        <v>JB1-10</v>
      </c>
      <c r="D154" s="99" t="str">
        <f>'Resultater - Vestdanmark'!D154</f>
        <v>Areal-grøntsager</v>
      </c>
      <c r="E154" s="99" t="str">
        <f>'Resultater - Vestdanmark'!E154</f>
        <v>Hektar</v>
      </c>
      <c r="F154" s="99" t="str">
        <f>'Resultater - Vestdanmark'!F154</f>
        <v>Gødning</v>
      </c>
      <c r="G154" s="99" t="str">
        <f>'Resultater - Vestdanmark'!G154</f>
        <v>kg N</v>
      </c>
      <c r="H154" s="298">
        <f>'Resultater - Vestdanmark'!H154+'Resultater - Østdanmark'!H154</f>
        <v>-162725.04672139056</v>
      </c>
      <c r="I154" s="299">
        <f>'Resultater - Vestdanmark'!I154+'Resultater - Østdanmark'!I154</f>
        <v>-150234.52771125713</v>
      </c>
      <c r="J154" s="300">
        <f>'Resultater - Vestdanmark'!J154+'Resultater - Østdanmark'!J154</f>
        <v>-191113.01906884182</v>
      </c>
    </row>
    <row r="155" spans="1:10" hidden="1" x14ac:dyDescent="0.25">
      <c r="A155" s="99" t="str">
        <f>'Resultater - Vestdanmark'!A155</f>
        <v>Grøntsager på land</v>
      </c>
      <c r="B155" s="99" t="str">
        <f>'Resultater - Vestdanmark'!B155</f>
        <v>Økologisk</v>
      </c>
      <c r="C155" s="99" t="str">
        <f>'Resultater - Vestdanmark'!C155</f>
        <v>JB1-10</v>
      </c>
      <c r="D155" s="99" t="str">
        <f>'Resultater - Vestdanmark'!D155</f>
        <v>Areal-grøntsager</v>
      </c>
      <c r="E155" s="99" t="str">
        <f>'Resultater - Vestdanmark'!E155</f>
        <v>Hektar</v>
      </c>
      <c r="F155" s="99" t="str">
        <f>'Resultater - Vestdanmark'!F155</f>
        <v>CO2 - atmosfære</v>
      </c>
      <c r="G155" s="99" t="str">
        <f>'Resultater - Vestdanmark'!G155</f>
        <v>t CO2-ækvivalenter</v>
      </c>
      <c r="H155" s="298">
        <f>'Resultater - Vestdanmark'!H155+'Resultater - Østdanmark'!H155</f>
        <v>3245.5001945546865</v>
      </c>
      <c r="I155" s="299">
        <f>'Resultater - Vestdanmark'!I155+'Resultater - Østdanmark'!I155</f>
        <v>2996.3806970081032</v>
      </c>
      <c r="J155" s="300">
        <f>'Resultater - Vestdanmark'!J155+'Resultater - Østdanmark'!J155</f>
        <v>3811.6894299119922</v>
      </c>
    </row>
    <row r="156" spans="1:10" hidden="1" x14ac:dyDescent="0.25">
      <c r="A156" s="99" t="str">
        <f>'Resultater - Vestdanmark'!A156</f>
        <v>Grøntsager på land</v>
      </c>
      <c r="B156" s="99" t="str">
        <f>'Resultater - Vestdanmark'!B156</f>
        <v>Økologisk</v>
      </c>
      <c r="C156" s="99" t="str">
        <f>'Resultater - Vestdanmark'!C156</f>
        <v>OC6</v>
      </c>
      <c r="D156" s="99" t="str">
        <f>'Resultater - Vestdanmark'!D156</f>
        <v>Areal-grøntsager</v>
      </c>
      <c r="E156" s="99" t="str">
        <f>'Resultater - Vestdanmark'!E156</f>
        <v>Hektar</v>
      </c>
      <c r="F156" s="99" t="str">
        <f>'Resultater - Vestdanmark'!F156</f>
        <v>Grøntsager</v>
      </c>
      <c r="G156" s="99" t="str">
        <f>'Resultater - Vestdanmark'!G156</f>
        <v>Ton</v>
      </c>
      <c r="H156" s="298">
        <f>'Resultater - Vestdanmark'!H156+'Resultater - Østdanmark'!H156</f>
        <v>204.5574315852524</v>
      </c>
      <c r="I156" s="299">
        <f>'Resultater - Vestdanmark'!I156+'Resultater - Østdanmark'!I156</f>
        <v>0</v>
      </c>
      <c r="J156" s="300">
        <f>'Resultater - Vestdanmark'!J156+'Resultater - Østdanmark'!J156</f>
        <v>0</v>
      </c>
    </row>
    <row r="157" spans="1:10" hidden="1" x14ac:dyDescent="0.25">
      <c r="A157" s="99" t="str">
        <f>'Resultater - Vestdanmark'!A157</f>
        <v>Grøntsager på land</v>
      </c>
      <c r="B157" s="99" t="str">
        <f>'Resultater - Vestdanmark'!B157</f>
        <v>Økologisk</v>
      </c>
      <c r="C157" s="99" t="str">
        <f>'Resultater - Vestdanmark'!C157</f>
        <v>OC6</v>
      </c>
      <c r="D157" s="99" t="str">
        <f>'Resultater - Vestdanmark'!D157</f>
        <v>Areal-grøntsager</v>
      </c>
      <c r="E157" s="99" t="str">
        <f>'Resultater - Vestdanmark'!E157</f>
        <v>Hektar</v>
      </c>
      <c r="F157" s="99" t="str">
        <f>'Resultater - Vestdanmark'!F157</f>
        <v>Gødning</v>
      </c>
      <c r="G157" s="99" t="str">
        <f>'Resultater - Vestdanmark'!G157</f>
        <v>kg N</v>
      </c>
      <c r="H157" s="298">
        <f>'Resultater - Vestdanmark'!H157+'Resultater - Østdanmark'!H157</f>
        <v>-1612.3968297864642</v>
      </c>
      <c r="I157" s="299">
        <f>'Resultater - Vestdanmark'!I157+'Resultater - Østdanmark'!I157</f>
        <v>0</v>
      </c>
      <c r="J157" s="300">
        <f>'Resultater - Vestdanmark'!J157+'Resultater - Østdanmark'!J157</f>
        <v>0</v>
      </c>
    </row>
    <row r="158" spans="1:10" hidden="1" x14ac:dyDescent="0.25">
      <c r="A158" s="99" t="str">
        <f>'Resultater - Vestdanmark'!A158</f>
        <v>Grøntsager på land</v>
      </c>
      <c r="B158" s="99" t="str">
        <f>'Resultater - Vestdanmark'!B158</f>
        <v>Økologisk</v>
      </c>
      <c r="C158" s="99" t="str">
        <f>'Resultater - Vestdanmark'!C158</f>
        <v>OC6</v>
      </c>
      <c r="D158" s="99" t="str">
        <f>'Resultater - Vestdanmark'!D158</f>
        <v>Areal-grøntsager</v>
      </c>
      <c r="E158" s="99" t="str">
        <f>'Resultater - Vestdanmark'!E158</f>
        <v>Hektar</v>
      </c>
      <c r="F158" s="99" t="str">
        <f>'Resultater - Vestdanmark'!F158</f>
        <v>CO2 - atmosfære</v>
      </c>
      <c r="G158" s="99" t="str">
        <f>'Resultater - Vestdanmark'!G158</f>
        <v>t CO2-ækvivalenter</v>
      </c>
      <c r="H158" s="298">
        <f>'Resultater - Vestdanmark'!H158+'Resultater - Østdanmark'!H158</f>
        <v>231.98342151189939</v>
      </c>
      <c r="I158" s="299">
        <f>'Resultater - Vestdanmark'!I158+'Resultater - Østdanmark'!I158</f>
        <v>0</v>
      </c>
      <c r="J158" s="300">
        <f>'Resultater - Vestdanmark'!J158+'Resultater - Østdanmark'!J158</f>
        <v>0</v>
      </c>
    </row>
    <row r="159" spans="1:10" hidden="1" x14ac:dyDescent="0.25">
      <c r="A159" s="99" t="str">
        <f>'Resultater - Vestdanmark'!A159</f>
        <v>Grøntsager på land</v>
      </c>
      <c r="B159" s="99" t="str">
        <f>'Resultater - Vestdanmark'!B159</f>
        <v>Økologisk</v>
      </c>
      <c r="C159" s="99" t="str">
        <f>'Resultater - Vestdanmark'!C159</f>
        <v>OC12</v>
      </c>
      <c r="D159" s="99" t="str">
        <f>'Resultater - Vestdanmark'!D159</f>
        <v>Areal-grøntsager</v>
      </c>
      <c r="E159" s="99" t="str">
        <f>'Resultater - Vestdanmark'!E159</f>
        <v>Hektar</v>
      </c>
      <c r="F159" s="99" t="str">
        <f>'Resultater - Vestdanmark'!F159</f>
        <v>Grøntsager</v>
      </c>
      <c r="G159" s="99" t="str">
        <f>'Resultater - Vestdanmark'!G159</f>
        <v>Ton</v>
      </c>
      <c r="H159" s="298">
        <f>'Resultater - Vestdanmark'!H159+'Resultater - Østdanmark'!H159</f>
        <v>61.479911705441317</v>
      </c>
      <c r="I159" s="299">
        <f>'Resultater - Vestdanmark'!I159+'Resultater - Østdanmark'!I159</f>
        <v>0</v>
      </c>
      <c r="J159" s="300">
        <f>'Resultater - Vestdanmark'!J159+'Resultater - Østdanmark'!J159</f>
        <v>0</v>
      </c>
    </row>
    <row r="160" spans="1:10" hidden="1" x14ac:dyDescent="0.25">
      <c r="A160" s="99" t="str">
        <f>'Resultater - Vestdanmark'!A160</f>
        <v>Grøntsager på land</v>
      </c>
      <c r="B160" s="99" t="str">
        <f>'Resultater - Vestdanmark'!B160</f>
        <v>Økologisk</v>
      </c>
      <c r="C160" s="99" t="str">
        <f>'Resultater - Vestdanmark'!C160</f>
        <v>OC12</v>
      </c>
      <c r="D160" s="99" t="str">
        <f>'Resultater - Vestdanmark'!D160</f>
        <v>Areal-grøntsager</v>
      </c>
      <c r="E160" s="99" t="str">
        <f>'Resultater - Vestdanmark'!E160</f>
        <v>Hektar</v>
      </c>
      <c r="F160" s="99" t="str">
        <f>'Resultater - Vestdanmark'!F160</f>
        <v>Gødning</v>
      </c>
      <c r="G160" s="99" t="str">
        <f>'Resultater - Vestdanmark'!G160</f>
        <v>kg N</v>
      </c>
      <c r="H160" s="298">
        <f>'Resultater - Vestdanmark'!H160+'Resultater - Østdanmark'!H160</f>
        <v>-404.72693546148446</v>
      </c>
      <c r="I160" s="299">
        <f>'Resultater - Vestdanmark'!I160+'Resultater - Østdanmark'!I160</f>
        <v>0</v>
      </c>
      <c r="J160" s="300">
        <f>'Resultater - Vestdanmark'!J160+'Resultater - Østdanmark'!J160</f>
        <v>0</v>
      </c>
    </row>
    <row r="161" spans="1:10" hidden="1" x14ac:dyDescent="0.25">
      <c r="A161" s="99" t="str">
        <f>'Resultater - Vestdanmark'!A161</f>
        <v>Grøntsager på land</v>
      </c>
      <c r="B161" s="99" t="str">
        <f>'Resultater - Vestdanmark'!B161</f>
        <v>Økologisk</v>
      </c>
      <c r="C161" s="99" t="str">
        <f>'Resultater - Vestdanmark'!C161</f>
        <v>OC12</v>
      </c>
      <c r="D161" s="99" t="str">
        <f>'Resultater - Vestdanmark'!D161</f>
        <v>Areal-grøntsager</v>
      </c>
      <c r="E161" s="99" t="str">
        <f>'Resultater - Vestdanmark'!E161</f>
        <v>Hektar</v>
      </c>
      <c r="F161" s="99" t="str">
        <f>'Resultater - Vestdanmark'!F161</f>
        <v>CO2 - atmosfære</v>
      </c>
      <c r="G161" s="99" t="str">
        <f>'Resultater - Vestdanmark'!G161</f>
        <v>t CO2-ækvivalenter</v>
      </c>
      <c r="H161" s="298">
        <f>'Resultater - Vestdanmark'!H161+'Resultater - Østdanmark'!H161</f>
        <v>153.04020095390325</v>
      </c>
      <c r="I161" s="299">
        <f>'Resultater - Vestdanmark'!I161+'Resultater - Østdanmark'!I161</f>
        <v>0</v>
      </c>
      <c r="J161" s="300">
        <f>'Resultater - Vestdanmark'!J161+'Resultater - Østdanmark'!J161</f>
        <v>0</v>
      </c>
    </row>
    <row r="162" spans="1:10" hidden="1" x14ac:dyDescent="0.25">
      <c r="A162" s="99" t="str">
        <f>'Resultater - Vestdanmark'!A162</f>
        <v>Grøntsager i drivhus</v>
      </c>
      <c r="B162" s="99" t="str">
        <f>'Resultater - Vestdanmark'!B162</f>
        <v>Konventionel</v>
      </c>
      <c r="C162" s="99" t="str">
        <f>'Resultater - Vestdanmark'!C162</f>
        <v/>
      </c>
      <c r="D162" s="99" t="str">
        <f>'Resultater - Vestdanmark'!D162</f>
        <v>Areal-grøntsager</v>
      </c>
      <c r="E162" s="99" t="str">
        <f>'Resultater - Vestdanmark'!E162</f>
        <v>Hektar</v>
      </c>
      <c r="F162" s="99" t="str">
        <f>'Resultater - Vestdanmark'!F162</f>
        <v>Grøntsager</v>
      </c>
      <c r="G162" s="99" t="str">
        <f>'Resultater - Vestdanmark'!G162</f>
        <v>Ton</v>
      </c>
      <c r="H162" s="298">
        <f>'Resultater - Vestdanmark'!H162+'Resultater - Østdanmark'!H162</f>
        <v>27749.688657763778</v>
      </c>
      <c r="I162" s="299">
        <f>'Resultater - Vestdanmark'!I162+'Resultater - Østdanmark'!I162</f>
        <v>20724.313640960372</v>
      </c>
      <c r="J162" s="300">
        <f>'Resultater - Vestdanmark'!J162+'Resultater - Østdanmark'!J162</f>
        <v>19396.985195858968</v>
      </c>
    </row>
    <row r="163" spans="1:10" hidden="1" x14ac:dyDescent="0.25">
      <c r="A163" s="99" t="str">
        <f>'Resultater - Vestdanmark'!A163</f>
        <v>Grøntsager i drivhus</v>
      </c>
      <c r="B163" s="99" t="str">
        <f>'Resultater - Vestdanmark'!B163</f>
        <v>Konventionel</v>
      </c>
      <c r="C163" s="99" t="str">
        <f>'Resultater - Vestdanmark'!C163</f>
        <v/>
      </c>
      <c r="D163" s="99" t="str">
        <f>'Resultater - Vestdanmark'!D163</f>
        <v>Areal-grøntsager</v>
      </c>
      <c r="E163" s="99" t="str">
        <f>'Resultater - Vestdanmark'!E163</f>
        <v>Hektar</v>
      </c>
      <c r="F163" s="99" t="str">
        <f>'Resultater - Vestdanmark'!F163</f>
        <v>Gødning</v>
      </c>
      <c r="G163" s="99" t="str">
        <f>'Resultater - Vestdanmark'!G163</f>
        <v>kg N</v>
      </c>
      <c r="H163" s="298">
        <f>'Resultater - Vestdanmark'!H163+'Resultater - Østdanmark'!H163</f>
        <v>-23743486.815882854</v>
      </c>
      <c r="I163" s="299">
        <f>'Resultater - Vestdanmark'!I163+'Resultater - Østdanmark'!I163</f>
        <v>-17732359.947205886</v>
      </c>
      <c r="J163" s="300">
        <f>'Resultater - Vestdanmark'!J163+'Resultater - Østdanmark'!J163</f>
        <v>-16596656.919136267</v>
      </c>
    </row>
    <row r="164" spans="1:10" hidden="1" x14ac:dyDescent="0.25">
      <c r="A164" s="99" t="str">
        <f>'Resultater - Vestdanmark'!A164</f>
        <v>Grøntsager i drivhus</v>
      </c>
      <c r="B164" s="99" t="str">
        <f>'Resultater - Vestdanmark'!B164</f>
        <v>Konventionel</v>
      </c>
      <c r="C164" s="99" t="str">
        <f>'Resultater - Vestdanmark'!C164</f>
        <v/>
      </c>
      <c r="D164" s="99" t="str">
        <f>'Resultater - Vestdanmark'!D164</f>
        <v>Areal-grøntsager</v>
      </c>
      <c r="E164" s="99" t="str">
        <f>'Resultater - Vestdanmark'!E164</f>
        <v>Hektar</v>
      </c>
      <c r="F164" s="99" t="str">
        <f>'Resultater - Vestdanmark'!F164</f>
        <v>CO2 - atmosfære</v>
      </c>
      <c r="G164" s="99" t="str">
        <f>'Resultater - Vestdanmark'!G164</f>
        <v>t CO2-ækvivalenter</v>
      </c>
      <c r="H164" s="298">
        <f>'Resultater - Vestdanmark'!H164+'Resultater - Østdanmark'!H164</f>
        <v>5141.4697369274418</v>
      </c>
      <c r="I164" s="299">
        <f>'Resultater - Vestdanmark'!I164+'Resultater - Østdanmark'!I164</f>
        <v>3839.8063746844578</v>
      </c>
      <c r="J164" s="300">
        <f>'Resultater - Vestdanmark'!J164+'Resultater - Østdanmark'!J164</f>
        <v>3593.8786053455929</v>
      </c>
    </row>
    <row r="165" spans="1:10" hidden="1" x14ac:dyDescent="0.25">
      <c r="A165" s="99" t="str">
        <f>'Resultater - Vestdanmark'!A165</f>
        <v>Grøntsager i drivhus</v>
      </c>
      <c r="B165" s="99" t="str">
        <f>'Resultater - Vestdanmark'!B165</f>
        <v>Økologisk</v>
      </c>
      <c r="C165" s="99" t="str">
        <f>'Resultater - Vestdanmark'!C165</f>
        <v/>
      </c>
      <c r="D165" s="99" t="str">
        <f>'Resultater - Vestdanmark'!D165</f>
        <v>Areal-grøntsager</v>
      </c>
      <c r="E165" s="99" t="str">
        <f>'Resultater - Vestdanmark'!E165</f>
        <v>Hektar</v>
      </c>
      <c r="F165" s="99" t="str">
        <f>'Resultater - Vestdanmark'!F165</f>
        <v>Grøntsager</v>
      </c>
      <c r="G165" s="99" t="str">
        <f>'Resultater - Vestdanmark'!G165</f>
        <v>Ton</v>
      </c>
      <c r="H165" s="298">
        <f>'Resultater - Vestdanmark'!H165+'Resultater - Østdanmark'!H165</f>
        <v>2022.4268112306345</v>
      </c>
      <c r="I165" s="299">
        <f>'Resultater - Vestdanmark'!I165+'Resultater - Østdanmark'!I165</f>
        <v>1843.6253580021976</v>
      </c>
      <c r="J165" s="300">
        <f>'Resultater - Vestdanmark'!J165+'Resultater - Østdanmark'!J165</f>
        <v>2345.2718464084019</v>
      </c>
    </row>
    <row r="166" spans="1:10" hidden="1" x14ac:dyDescent="0.25">
      <c r="A166" s="99" t="str">
        <f>'Resultater - Vestdanmark'!A166</f>
        <v>Grøntsager i drivhus</v>
      </c>
      <c r="B166" s="99" t="str">
        <f>'Resultater - Vestdanmark'!B166</f>
        <v>Økologisk</v>
      </c>
      <c r="C166" s="99" t="str">
        <f>'Resultater - Vestdanmark'!C166</f>
        <v/>
      </c>
      <c r="D166" s="99" t="str">
        <f>'Resultater - Vestdanmark'!D166</f>
        <v>Areal-grøntsager</v>
      </c>
      <c r="E166" s="99" t="str">
        <f>'Resultater - Vestdanmark'!E166</f>
        <v>Hektar</v>
      </c>
      <c r="F166" s="99" t="str">
        <f>'Resultater - Vestdanmark'!F166</f>
        <v>Gødning</v>
      </c>
      <c r="G166" s="99" t="str">
        <f>'Resultater - Vestdanmark'!G166</f>
        <v>kg N</v>
      </c>
      <c r="H166" s="298">
        <f>'Resultater - Vestdanmark'!H166+'Resultater - Østdanmark'!H166</f>
        <v>-1730450.5618338804</v>
      </c>
      <c r="I166" s="299">
        <f>'Resultater - Vestdanmark'!I166+'Resultater - Østdanmark'!I166</f>
        <v>-1577462.5409682002</v>
      </c>
      <c r="J166" s="300">
        <f>'Resultater - Vestdanmark'!J166+'Resultater - Østdanmark'!J166</f>
        <v>-2006686.7002228394</v>
      </c>
    </row>
    <row r="167" spans="1:10" hidden="1" x14ac:dyDescent="0.25">
      <c r="A167" s="99" t="str">
        <f>'Resultater - Vestdanmark'!A167</f>
        <v>Grøntsager i drivhus</v>
      </c>
      <c r="B167" s="99" t="str">
        <f>'Resultater - Vestdanmark'!B167</f>
        <v>Økologisk</v>
      </c>
      <c r="C167" s="99" t="str">
        <f>'Resultater - Vestdanmark'!C167</f>
        <v/>
      </c>
      <c r="D167" s="99" t="str">
        <f>'Resultater - Vestdanmark'!D167</f>
        <v>Areal-grøntsager</v>
      </c>
      <c r="E167" s="99" t="str">
        <f>'Resultater - Vestdanmark'!E167</f>
        <v>Hektar</v>
      </c>
      <c r="F167" s="99" t="str">
        <f>'Resultater - Vestdanmark'!F167</f>
        <v>CO2 - atmosfære</v>
      </c>
      <c r="G167" s="99" t="str">
        <f>'Resultater - Vestdanmark'!G167</f>
        <v>t CO2-ækvivalenter</v>
      </c>
      <c r="H167" s="298">
        <f>'Resultater - Vestdanmark'!H167+'Resultater - Østdanmark'!H167</f>
        <v>657.39610620781025</v>
      </c>
      <c r="I167" s="299">
        <f>'Resultater - Vestdanmark'!I167+'Resultater - Østdanmark'!I167</f>
        <v>599.27613940162064</v>
      </c>
      <c r="J167" s="300">
        <f>'Resultater - Vestdanmark'!J167+'Resultater - Østdanmark'!J167</f>
        <v>762.33788598239846</v>
      </c>
    </row>
    <row r="168" spans="1:10" hidden="1" x14ac:dyDescent="0.25">
      <c r="A168" s="99" t="str">
        <f>'Resultater - Vestdanmark'!A168</f>
        <v>Kartoffelmark</v>
      </c>
      <c r="B168" s="99" t="str">
        <f>'Resultater - Vestdanmark'!B168</f>
        <v>Konventionel</v>
      </c>
      <c r="C168" s="99" t="str">
        <f>'Resultater - Vestdanmark'!C168</f>
        <v>JB1-10</v>
      </c>
      <c r="D168" s="99" t="str">
        <f>'Resultater - Vestdanmark'!D168</f>
        <v>Areal-kartofler</v>
      </c>
      <c r="E168" s="99" t="str">
        <f>'Resultater - Vestdanmark'!E168</f>
        <v>Hektar</v>
      </c>
      <c r="F168" s="99" t="str">
        <f>'Resultater - Vestdanmark'!F168</f>
        <v>Kartofler</v>
      </c>
      <c r="G168" s="99" t="str">
        <f>'Resultater - Vestdanmark'!G168</f>
        <v>Ton</v>
      </c>
      <c r="H168" s="298">
        <f>'Resultater - Vestdanmark'!H168+'Resultater - Østdanmark'!H168</f>
        <v>1955168.9801122241</v>
      </c>
      <c r="I168" s="299">
        <f>'Resultater - Vestdanmark'!I168+'Resultater - Østdanmark'!I168</f>
        <v>-272793.33281513606</v>
      </c>
      <c r="J168" s="300">
        <f>'Resultater - Vestdanmark'!J168+'Resultater - Østdanmark'!J168</f>
        <v>-261768.19314326186</v>
      </c>
    </row>
    <row r="169" spans="1:10" hidden="1" x14ac:dyDescent="0.25">
      <c r="A169" s="99" t="str">
        <f>'Resultater - Vestdanmark'!A169</f>
        <v>Kartoffelmark</v>
      </c>
      <c r="B169" s="99" t="str">
        <f>'Resultater - Vestdanmark'!B169</f>
        <v>Konventionel</v>
      </c>
      <c r="C169" s="99" t="str">
        <f>'Resultater - Vestdanmark'!C169</f>
        <v>JB1-10</v>
      </c>
      <c r="D169" s="99" t="str">
        <f>'Resultater - Vestdanmark'!D169</f>
        <v>Areal-kartofler</v>
      </c>
      <c r="E169" s="99" t="str">
        <f>'Resultater - Vestdanmark'!E169</f>
        <v>Hektar</v>
      </c>
      <c r="F169" s="99" t="str">
        <f>'Resultater - Vestdanmark'!F169</f>
        <v>Gødning</v>
      </c>
      <c r="G169" s="99" t="str">
        <f>'Resultater - Vestdanmark'!G169</f>
        <v>kg N</v>
      </c>
      <c r="H169" s="298">
        <f>'Resultater - Vestdanmark'!H169+'Resultater - Østdanmark'!H169</f>
        <v>-6905324.6027384531</v>
      </c>
      <c r="I169" s="299">
        <f>'Resultater - Vestdanmark'!I169+'Resultater - Østdanmark'!I169</f>
        <v>898749.71705906605</v>
      </c>
      <c r="J169" s="300">
        <f>'Resultater - Vestdanmark'!J169+'Resultater - Østdanmark'!J169</f>
        <v>840473.43348148558</v>
      </c>
    </row>
    <row r="170" spans="1:10" hidden="1" x14ac:dyDescent="0.25">
      <c r="A170" s="99" t="str">
        <f>'Resultater - Vestdanmark'!A170</f>
        <v>Kartoffelmark</v>
      </c>
      <c r="B170" s="99" t="str">
        <f>'Resultater - Vestdanmark'!B170</f>
        <v>Konventionel</v>
      </c>
      <c r="C170" s="99" t="str">
        <f>'Resultater - Vestdanmark'!C170</f>
        <v>JB1-10</v>
      </c>
      <c r="D170" s="99" t="str">
        <f>'Resultater - Vestdanmark'!D170</f>
        <v>Areal-kartofler</v>
      </c>
      <c r="E170" s="99" t="str">
        <f>'Resultater - Vestdanmark'!E170</f>
        <v>Hektar</v>
      </c>
      <c r="F170" s="99" t="str">
        <f>'Resultater - Vestdanmark'!F170</f>
        <v>CO2 - atmosfære</v>
      </c>
      <c r="G170" s="99" t="str">
        <f>'Resultater - Vestdanmark'!G170</f>
        <v>t CO2-ækvivalenter</v>
      </c>
      <c r="H170" s="298">
        <f>'Resultater - Vestdanmark'!H170+'Resultater - Østdanmark'!H170</f>
        <v>104670.65103270129</v>
      </c>
      <c r="I170" s="299">
        <f>'Resultater - Vestdanmark'!I170+'Resultater - Østdanmark'!I170</f>
        <v>-13623.214463042332</v>
      </c>
      <c r="J170" s="300">
        <f>'Resultater - Vestdanmark'!J170+'Resultater - Østdanmark'!J170</f>
        <v>-12739.864744853465</v>
      </c>
    </row>
    <row r="171" spans="1:10" hidden="1" x14ac:dyDescent="0.25">
      <c r="A171" s="99" t="str">
        <f>'Resultater - Vestdanmark'!A171</f>
        <v>Kartoffelmark</v>
      </c>
      <c r="B171" s="99" t="str">
        <f>'Resultater - Vestdanmark'!B171</f>
        <v>Konventionel</v>
      </c>
      <c r="C171" s="99" t="str">
        <f>'Resultater - Vestdanmark'!C171</f>
        <v>OC6</v>
      </c>
      <c r="D171" s="99" t="str">
        <f>'Resultater - Vestdanmark'!D171</f>
        <v>Areal-kartofler</v>
      </c>
      <c r="E171" s="99" t="str">
        <f>'Resultater - Vestdanmark'!E171</f>
        <v>Hektar</v>
      </c>
      <c r="F171" s="99" t="str">
        <f>'Resultater - Vestdanmark'!F171</f>
        <v>Kartofler</v>
      </c>
      <c r="G171" s="99" t="str">
        <f>'Resultater - Vestdanmark'!G171</f>
        <v>Ton</v>
      </c>
      <c r="H171" s="298">
        <f>'Resultater - Vestdanmark'!H171+'Resultater - Østdanmark'!H171</f>
        <v>76780.532840637781</v>
      </c>
      <c r="I171" s="299">
        <f>'Resultater - Vestdanmark'!I171+'Resultater - Østdanmark'!I171</f>
        <v>0</v>
      </c>
      <c r="J171" s="300">
        <f>'Resultater - Vestdanmark'!J171+'Resultater - Østdanmark'!J171</f>
        <v>0</v>
      </c>
    </row>
    <row r="172" spans="1:10" hidden="1" x14ac:dyDescent="0.25">
      <c r="A172" s="99" t="str">
        <f>'Resultater - Vestdanmark'!A172</f>
        <v>Kartoffelmark</v>
      </c>
      <c r="B172" s="99" t="str">
        <f>'Resultater - Vestdanmark'!B172</f>
        <v>Konventionel</v>
      </c>
      <c r="C172" s="99" t="str">
        <f>'Resultater - Vestdanmark'!C172</f>
        <v>OC6</v>
      </c>
      <c r="D172" s="99" t="str">
        <f>'Resultater - Vestdanmark'!D172</f>
        <v>Areal-kartofler</v>
      </c>
      <c r="E172" s="99" t="str">
        <f>'Resultater - Vestdanmark'!E172</f>
        <v>Hektar</v>
      </c>
      <c r="F172" s="99" t="str">
        <f>'Resultater - Vestdanmark'!F172</f>
        <v>Gødning</v>
      </c>
      <c r="G172" s="99" t="str">
        <f>'Resultater - Vestdanmark'!G172</f>
        <v>kg N</v>
      </c>
      <c r="H172" s="298">
        <f>'Resultater - Vestdanmark'!H172+'Resultater - Østdanmark'!H172</f>
        <v>-180783.86329737815</v>
      </c>
      <c r="I172" s="299">
        <f>'Resultater - Vestdanmark'!I172+'Resultater - Østdanmark'!I172</f>
        <v>0</v>
      </c>
      <c r="J172" s="300">
        <f>'Resultater - Vestdanmark'!J172+'Resultater - Østdanmark'!J172</f>
        <v>0</v>
      </c>
    </row>
    <row r="173" spans="1:10" hidden="1" x14ac:dyDescent="0.25">
      <c r="A173" s="99" t="str">
        <f>'Resultater - Vestdanmark'!A173</f>
        <v>Kartoffelmark</v>
      </c>
      <c r="B173" s="99" t="str">
        <f>'Resultater - Vestdanmark'!B173</f>
        <v>Konventionel</v>
      </c>
      <c r="C173" s="99" t="str">
        <f>'Resultater - Vestdanmark'!C173</f>
        <v>OC6</v>
      </c>
      <c r="D173" s="99" t="str">
        <f>'Resultater - Vestdanmark'!D173</f>
        <v>Areal-kartofler</v>
      </c>
      <c r="E173" s="99" t="str">
        <f>'Resultater - Vestdanmark'!E173</f>
        <v>Hektar</v>
      </c>
      <c r="F173" s="99" t="str">
        <f>'Resultater - Vestdanmark'!F173</f>
        <v>CO2 - atmosfære</v>
      </c>
      <c r="G173" s="99" t="str">
        <f>'Resultater - Vestdanmark'!G173</f>
        <v>t CO2-ækvivalenter</v>
      </c>
      <c r="H173" s="298">
        <f>'Resultater - Vestdanmark'!H173+'Resultater - Østdanmark'!H173</f>
        <v>24092.002403541195</v>
      </c>
      <c r="I173" s="299">
        <f>'Resultater - Vestdanmark'!I173+'Resultater - Østdanmark'!I173</f>
        <v>0</v>
      </c>
      <c r="J173" s="300">
        <f>'Resultater - Vestdanmark'!J173+'Resultater - Østdanmark'!J173</f>
        <v>0</v>
      </c>
    </row>
    <row r="174" spans="1:10" hidden="1" x14ac:dyDescent="0.25">
      <c r="A174" s="99" t="str">
        <f>'Resultater - Vestdanmark'!A174</f>
        <v>Kartoffelmark</v>
      </c>
      <c r="B174" s="99" t="str">
        <f>'Resultater - Vestdanmark'!B174</f>
        <v>Konventionel</v>
      </c>
      <c r="C174" s="99" t="str">
        <f>'Resultater - Vestdanmark'!C174</f>
        <v>OC12</v>
      </c>
      <c r="D174" s="99" t="str">
        <f>'Resultater - Vestdanmark'!D174</f>
        <v>Areal-kartofler</v>
      </c>
      <c r="E174" s="99" t="str">
        <f>'Resultater - Vestdanmark'!E174</f>
        <v>Hektar</v>
      </c>
      <c r="F174" s="99" t="str">
        <f>'Resultater - Vestdanmark'!F174</f>
        <v>Kartofler</v>
      </c>
      <c r="G174" s="99" t="str">
        <f>'Resultater - Vestdanmark'!G174</f>
        <v>Ton</v>
      </c>
      <c r="H174" s="298">
        <f>'Resultater - Vestdanmark'!H174+'Resultater - Østdanmark'!H174</f>
        <v>76689.476357594409</v>
      </c>
      <c r="I174" s="299">
        <f>'Resultater - Vestdanmark'!I174+'Resultater - Østdanmark'!I174</f>
        <v>0</v>
      </c>
      <c r="J174" s="300">
        <f>'Resultater - Vestdanmark'!J174+'Resultater - Østdanmark'!J174</f>
        <v>0</v>
      </c>
    </row>
    <row r="175" spans="1:10" hidden="1" x14ac:dyDescent="0.25">
      <c r="A175" s="99" t="str">
        <f>'Resultater - Vestdanmark'!A175</f>
        <v>Kartoffelmark</v>
      </c>
      <c r="B175" s="99" t="str">
        <f>'Resultater - Vestdanmark'!B175</f>
        <v>Konventionel</v>
      </c>
      <c r="C175" s="99" t="str">
        <f>'Resultater - Vestdanmark'!C175</f>
        <v>OC12</v>
      </c>
      <c r="D175" s="99" t="str">
        <f>'Resultater - Vestdanmark'!D175</f>
        <v>Areal-kartofler</v>
      </c>
      <c r="E175" s="99" t="str">
        <f>'Resultater - Vestdanmark'!E175</f>
        <v>Hektar</v>
      </c>
      <c r="F175" s="99" t="str">
        <f>'Resultater - Vestdanmark'!F175</f>
        <v>Gødning</v>
      </c>
      <c r="G175" s="99" t="str">
        <f>'Resultater - Vestdanmark'!G175</f>
        <v>kg N</v>
      </c>
      <c r="H175" s="298">
        <f>'Resultater - Vestdanmark'!H175+'Resultater - Østdanmark'!H175</f>
        <v>-116080.37096608599</v>
      </c>
      <c r="I175" s="299">
        <f>'Resultater - Vestdanmark'!I175+'Resultater - Østdanmark'!I175</f>
        <v>0</v>
      </c>
      <c r="J175" s="300">
        <f>'Resultater - Vestdanmark'!J175+'Resultater - Østdanmark'!J175</f>
        <v>0</v>
      </c>
    </row>
    <row r="176" spans="1:10" hidden="1" x14ac:dyDescent="0.25">
      <c r="A176" s="99" t="str">
        <f>'Resultater - Vestdanmark'!A176</f>
        <v>Kartoffelmark</v>
      </c>
      <c r="B176" s="99" t="str">
        <f>'Resultater - Vestdanmark'!B176</f>
        <v>Konventionel</v>
      </c>
      <c r="C176" s="99" t="str">
        <f>'Resultater - Vestdanmark'!C176</f>
        <v>OC12</v>
      </c>
      <c r="D176" s="99" t="str">
        <f>'Resultater - Vestdanmark'!D176</f>
        <v>Areal-kartofler</v>
      </c>
      <c r="E176" s="99" t="str">
        <f>'Resultater - Vestdanmark'!E176</f>
        <v>Hektar</v>
      </c>
      <c r="F176" s="99" t="str">
        <f>'Resultater - Vestdanmark'!F176</f>
        <v>CO2 - atmosfære</v>
      </c>
      <c r="G176" s="99" t="str">
        <f>'Resultater - Vestdanmark'!G176</f>
        <v>t CO2-ækvivalenter</v>
      </c>
      <c r="H176" s="298">
        <f>'Resultater - Vestdanmark'!H176+'Resultater - Østdanmark'!H176</f>
        <v>52818.754154083166</v>
      </c>
      <c r="I176" s="299">
        <f>'Resultater - Vestdanmark'!I176+'Resultater - Østdanmark'!I176</f>
        <v>0</v>
      </c>
      <c r="J176" s="300">
        <f>'Resultater - Vestdanmark'!J176+'Resultater - Østdanmark'!J176</f>
        <v>0</v>
      </c>
    </row>
    <row r="177" spans="1:10" hidden="1" x14ac:dyDescent="0.25">
      <c r="A177" s="99" t="str">
        <f>'Resultater - Vestdanmark'!A177</f>
        <v>Kartoffelmark</v>
      </c>
      <c r="B177" s="99" t="str">
        <f>'Resultater - Vestdanmark'!B177</f>
        <v>Økologisk</v>
      </c>
      <c r="C177" s="99" t="str">
        <f>'Resultater - Vestdanmark'!C177</f>
        <v>JB1-10</v>
      </c>
      <c r="D177" s="99" t="str">
        <f>'Resultater - Vestdanmark'!D177</f>
        <v>Areal-kartofler</v>
      </c>
      <c r="E177" s="99" t="str">
        <f>'Resultater - Vestdanmark'!E177</f>
        <v>Hektar</v>
      </c>
      <c r="F177" s="99" t="str">
        <f>'Resultater - Vestdanmark'!F177</f>
        <v>Kartofler</v>
      </c>
      <c r="G177" s="99" t="str">
        <f>'Resultater - Vestdanmark'!G177</f>
        <v>Ton</v>
      </c>
      <c r="H177" s="298">
        <f>'Resultater - Vestdanmark'!H177+'Resultater - Østdanmark'!H177</f>
        <v>142494.79389236751</v>
      </c>
      <c r="I177" s="299">
        <f>'Resultater - Vestdanmark'!I177+'Resultater - Østdanmark'!I177</f>
        <v>-24267.568740028582</v>
      </c>
      <c r="J177" s="300">
        <f>'Resultater - Vestdanmark'!J177+'Resultater - Østdanmark'!J177</f>
        <v>-31650.154261867112</v>
      </c>
    </row>
    <row r="178" spans="1:10" hidden="1" x14ac:dyDescent="0.25">
      <c r="A178" s="99" t="str">
        <f>'Resultater - Vestdanmark'!A178</f>
        <v>Kartoffelmark</v>
      </c>
      <c r="B178" s="99" t="str">
        <f>'Resultater - Vestdanmark'!B178</f>
        <v>Økologisk</v>
      </c>
      <c r="C178" s="99" t="str">
        <f>'Resultater - Vestdanmark'!C178</f>
        <v>JB1-10</v>
      </c>
      <c r="D178" s="99" t="str">
        <f>'Resultater - Vestdanmark'!D178</f>
        <v>Areal-kartofler</v>
      </c>
      <c r="E178" s="99" t="str">
        <f>'Resultater - Vestdanmark'!E178</f>
        <v>Hektar</v>
      </c>
      <c r="F178" s="99" t="str">
        <f>'Resultater - Vestdanmark'!F178</f>
        <v>Gødning</v>
      </c>
      <c r="G178" s="99" t="str">
        <f>'Resultater - Vestdanmark'!G178</f>
        <v>kg N</v>
      </c>
      <c r="H178" s="298">
        <f>'Resultater - Vestdanmark'!H178+'Resultater - Østdanmark'!H178</f>
        <v>-503267.39838652278</v>
      </c>
      <c r="I178" s="299">
        <f>'Resultater - Vestdanmark'!I178+'Resultater - Østdanmark'!I178</f>
        <v>79952.359222768951</v>
      </c>
      <c r="J178" s="300">
        <f>'Resultater - Vestdanmark'!J178+'Resultater - Østdanmark'!J178</f>
        <v>101620.8787754887</v>
      </c>
    </row>
    <row r="179" spans="1:10" hidden="1" x14ac:dyDescent="0.25">
      <c r="A179" s="99" t="str">
        <f>'Resultater - Vestdanmark'!A179</f>
        <v>Kartoffelmark</v>
      </c>
      <c r="B179" s="99" t="str">
        <f>'Resultater - Vestdanmark'!B179</f>
        <v>Økologisk</v>
      </c>
      <c r="C179" s="99" t="str">
        <f>'Resultater - Vestdanmark'!C179</f>
        <v>JB1-10</v>
      </c>
      <c r="D179" s="99" t="str">
        <f>'Resultater - Vestdanmark'!D179</f>
        <v>Areal-kartofler</v>
      </c>
      <c r="E179" s="99" t="str">
        <f>'Resultater - Vestdanmark'!E179</f>
        <v>Hektar</v>
      </c>
      <c r="F179" s="99" t="str">
        <f>'Resultater - Vestdanmark'!F179</f>
        <v>CO2 - atmosfære</v>
      </c>
      <c r="G179" s="99" t="str">
        <f>'Resultater - Vestdanmark'!G179</f>
        <v>t CO2-ækvivalenter</v>
      </c>
      <c r="H179" s="298">
        <f>'Resultater - Vestdanmark'!H179+'Resultater - Østdanmark'!H179</f>
        <v>13383.347942111091</v>
      </c>
      <c r="I179" s="299">
        <f>'Resultater - Vestdanmark'!I179+'Resultater - Østdanmark'!I179</f>
        <v>-2126.1664190875322</v>
      </c>
      <c r="J179" s="300">
        <f>'Resultater - Vestdanmark'!J179+'Resultater - Østdanmark'!J179</f>
        <v>-2702.3955519386136</v>
      </c>
    </row>
    <row r="180" spans="1:10" hidden="1" x14ac:dyDescent="0.25">
      <c r="A180" s="99" t="str">
        <f>'Resultater - Vestdanmark'!A180</f>
        <v>Kartoffelmark</v>
      </c>
      <c r="B180" s="99" t="str">
        <f>'Resultater - Vestdanmark'!B180</f>
        <v>Økologisk</v>
      </c>
      <c r="C180" s="99" t="str">
        <f>'Resultater - Vestdanmark'!C180</f>
        <v>OC6</v>
      </c>
      <c r="D180" s="99" t="str">
        <f>'Resultater - Vestdanmark'!D180</f>
        <v>Areal-kartofler</v>
      </c>
      <c r="E180" s="99" t="str">
        <f>'Resultater - Vestdanmark'!E180</f>
        <v>Hektar</v>
      </c>
      <c r="F180" s="99" t="str">
        <f>'Resultater - Vestdanmark'!F180</f>
        <v>Kartofler</v>
      </c>
      <c r="G180" s="99" t="str">
        <f>'Resultater - Vestdanmark'!G180</f>
        <v>Ton</v>
      </c>
      <c r="H180" s="298">
        <f>'Resultater - Vestdanmark'!H180+'Resultater - Østdanmark'!H180</f>
        <v>5595.8468620164213</v>
      </c>
      <c r="I180" s="299">
        <f>'Resultater - Vestdanmark'!I180+'Resultater - Østdanmark'!I180</f>
        <v>0</v>
      </c>
      <c r="J180" s="300">
        <f>'Resultater - Vestdanmark'!J180+'Resultater - Østdanmark'!J180</f>
        <v>0</v>
      </c>
    </row>
    <row r="181" spans="1:10" hidden="1" x14ac:dyDescent="0.25">
      <c r="A181" s="99" t="str">
        <f>'Resultater - Vestdanmark'!A181</f>
        <v>Kartoffelmark</v>
      </c>
      <c r="B181" s="99" t="str">
        <f>'Resultater - Vestdanmark'!B181</f>
        <v>Økologisk</v>
      </c>
      <c r="C181" s="99" t="str">
        <f>'Resultater - Vestdanmark'!C181</f>
        <v>OC6</v>
      </c>
      <c r="D181" s="99" t="str">
        <f>'Resultater - Vestdanmark'!D181</f>
        <v>Areal-kartofler</v>
      </c>
      <c r="E181" s="99" t="str">
        <f>'Resultater - Vestdanmark'!E181</f>
        <v>Hektar</v>
      </c>
      <c r="F181" s="99" t="str">
        <f>'Resultater - Vestdanmark'!F181</f>
        <v>Gødning</v>
      </c>
      <c r="G181" s="99" t="str">
        <f>'Resultater - Vestdanmark'!G181</f>
        <v>kg N</v>
      </c>
      <c r="H181" s="298">
        <f>'Resultater - Vestdanmark'!H181+'Resultater - Østdanmark'!H181</f>
        <v>-13175.720155987337</v>
      </c>
      <c r="I181" s="299">
        <f>'Resultater - Vestdanmark'!I181+'Resultater - Østdanmark'!I181</f>
        <v>0</v>
      </c>
      <c r="J181" s="300">
        <f>'Resultater - Vestdanmark'!J181+'Resultater - Østdanmark'!J181</f>
        <v>0</v>
      </c>
    </row>
    <row r="182" spans="1:10" hidden="1" x14ac:dyDescent="0.25">
      <c r="A182" s="99" t="str">
        <f>'Resultater - Vestdanmark'!A182</f>
        <v>Kartoffelmark</v>
      </c>
      <c r="B182" s="99" t="str">
        <f>'Resultater - Vestdanmark'!B182</f>
        <v>Økologisk</v>
      </c>
      <c r="C182" s="99" t="str">
        <f>'Resultater - Vestdanmark'!C182</f>
        <v>OC6</v>
      </c>
      <c r="D182" s="99" t="str">
        <f>'Resultater - Vestdanmark'!D182</f>
        <v>Areal-kartofler</v>
      </c>
      <c r="E182" s="99" t="str">
        <f>'Resultater - Vestdanmark'!E182</f>
        <v>Hektar</v>
      </c>
      <c r="F182" s="99" t="str">
        <f>'Resultater - Vestdanmark'!F182</f>
        <v>CO2 - atmosfære</v>
      </c>
      <c r="G182" s="99" t="str">
        <f>'Resultater - Vestdanmark'!G182</f>
        <v>t CO2-ækvivalenter</v>
      </c>
      <c r="H182" s="298">
        <f>'Resultater - Vestdanmark'!H182+'Resultater - Østdanmark'!H182</f>
        <v>3080.4399094454293</v>
      </c>
      <c r="I182" s="299">
        <f>'Resultater - Vestdanmark'!I182+'Resultater - Østdanmark'!I182</f>
        <v>0</v>
      </c>
      <c r="J182" s="300">
        <f>'Resultater - Vestdanmark'!J182+'Resultater - Østdanmark'!J182</f>
        <v>0</v>
      </c>
    </row>
    <row r="183" spans="1:10" hidden="1" x14ac:dyDescent="0.25">
      <c r="A183" s="99" t="str">
        <f>'Resultater - Vestdanmark'!A183</f>
        <v>Kartoffelmark</v>
      </c>
      <c r="B183" s="99" t="str">
        <f>'Resultater - Vestdanmark'!B183</f>
        <v>Økologisk</v>
      </c>
      <c r="C183" s="99" t="str">
        <f>'Resultater - Vestdanmark'!C183</f>
        <v>OC12</v>
      </c>
      <c r="D183" s="99" t="str">
        <f>'Resultater - Vestdanmark'!D183</f>
        <v>Areal-kartofler</v>
      </c>
      <c r="E183" s="99" t="str">
        <f>'Resultater - Vestdanmark'!E183</f>
        <v>Hektar</v>
      </c>
      <c r="F183" s="99" t="str">
        <f>'Resultater - Vestdanmark'!F183</f>
        <v>Kartofler</v>
      </c>
      <c r="G183" s="99" t="str">
        <f>'Resultater - Vestdanmark'!G183</f>
        <v>Ton</v>
      </c>
      <c r="H183" s="298">
        <f>'Resultater - Vestdanmark'!H183+'Resultater - Østdanmark'!H183</f>
        <v>5589.2105687262674</v>
      </c>
      <c r="I183" s="299">
        <f>'Resultater - Vestdanmark'!I183+'Resultater - Østdanmark'!I183</f>
        <v>0</v>
      </c>
      <c r="J183" s="300">
        <f>'Resultater - Vestdanmark'!J183+'Resultater - Østdanmark'!J183</f>
        <v>0</v>
      </c>
    </row>
    <row r="184" spans="1:10" hidden="1" x14ac:dyDescent="0.25">
      <c r="A184" s="99" t="str">
        <f>'Resultater - Vestdanmark'!A184</f>
        <v>Kartoffelmark</v>
      </c>
      <c r="B184" s="99" t="str">
        <f>'Resultater - Vestdanmark'!B184</f>
        <v>Økologisk</v>
      </c>
      <c r="C184" s="99" t="str">
        <f>'Resultater - Vestdanmark'!C184</f>
        <v>OC12</v>
      </c>
      <c r="D184" s="99" t="str">
        <f>'Resultater - Vestdanmark'!D184</f>
        <v>Areal-kartofler</v>
      </c>
      <c r="E184" s="99" t="str">
        <f>'Resultater - Vestdanmark'!E184</f>
        <v>Hektar</v>
      </c>
      <c r="F184" s="99" t="str">
        <f>'Resultater - Vestdanmark'!F184</f>
        <v>Gødning</v>
      </c>
      <c r="G184" s="99" t="str">
        <f>'Resultater - Vestdanmark'!G184</f>
        <v>kg N</v>
      </c>
      <c r="H184" s="298">
        <f>'Resultater - Vestdanmark'!H184+'Resultater - Østdanmark'!H184</f>
        <v>-8460.0608458981151</v>
      </c>
      <c r="I184" s="299">
        <f>'Resultater - Vestdanmark'!I184+'Resultater - Østdanmark'!I184</f>
        <v>0</v>
      </c>
      <c r="J184" s="300">
        <f>'Resultater - Vestdanmark'!J184+'Resultater - Østdanmark'!J184</f>
        <v>0</v>
      </c>
    </row>
    <row r="185" spans="1:10" hidden="1" x14ac:dyDescent="0.25">
      <c r="A185" s="99" t="str">
        <f>'Resultater - Vestdanmark'!A185</f>
        <v>Kartoffelmark</v>
      </c>
      <c r="B185" s="99" t="str">
        <f>'Resultater - Vestdanmark'!B185</f>
        <v>Økologisk</v>
      </c>
      <c r="C185" s="99" t="str">
        <f>'Resultater - Vestdanmark'!C185</f>
        <v>OC12</v>
      </c>
      <c r="D185" s="99" t="str">
        <f>'Resultater - Vestdanmark'!D185</f>
        <v>Areal-kartofler</v>
      </c>
      <c r="E185" s="99" t="str">
        <f>'Resultater - Vestdanmark'!E185</f>
        <v>Hektar</v>
      </c>
      <c r="F185" s="99" t="str">
        <f>'Resultater - Vestdanmark'!F185</f>
        <v>CO2 - atmosfære</v>
      </c>
      <c r="G185" s="99" t="str">
        <f>'Resultater - Vestdanmark'!G185</f>
        <v>t CO2-ækvivalenter</v>
      </c>
      <c r="H185" s="298">
        <f>'Resultater - Vestdanmark'!H185+'Resultater - Østdanmark'!H185</f>
        <v>6753.4858887241726</v>
      </c>
      <c r="I185" s="299">
        <f>'Resultater - Vestdanmark'!I185+'Resultater - Østdanmark'!I185</f>
        <v>0</v>
      </c>
      <c r="J185" s="300">
        <f>'Resultater - Vestdanmark'!J185+'Resultater - Østdanmark'!J185</f>
        <v>0</v>
      </c>
    </row>
    <row r="186" spans="1:10" hidden="1" x14ac:dyDescent="0.25">
      <c r="A186" s="99" t="str">
        <f>'Resultater - Vestdanmark'!A186</f>
        <v>Græsmark</v>
      </c>
      <c r="B186" s="99" t="str">
        <f>'Resultater - Vestdanmark'!B186</f>
        <v>Konventionel</v>
      </c>
      <c r="C186" s="99" t="str">
        <f>'Resultater - Vestdanmark'!C186</f>
        <v>JB1-10</v>
      </c>
      <c r="D186" s="99" t="str">
        <f>'Resultater - Vestdanmark'!D186</f>
        <v>Areal-græs</v>
      </c>
      <c r="E186" s="99" t="str">
        <f>'Resultater - Vestdanmark'!E186</f>
        <v>Hektar</v>
      </c>
      <c r="F186" s="99" t="str">
        <f>'Resultater - Vestdanmark'!F186</f>
        <v>Græs</v>
      </c>
      <c r="G186" s="99" t="str">
        <f>'Resultater - Vestdanmark'!G186</f>
        <v>Ton</v>
      </c>
      <c r="H186" s="298">
        <f>'Resultater - Vestdanmark'!H186+'Resultater - Østdanmark'!H186</f>
        <v>10596561.852889422</v>
      </c>
      <c r="I186" s="299">
        <f>'Resultater - Vestdanmark'!I186+'Resultater - Østdanmark'!I186</f>
        <v>8576267.6054017581</v>
      </c>
      <c r="J186" s="300">
        <f>'Resultater - Vestdanmark'!J186+'Resultater - Østdanmark'!J186</f>
        <v>8791120.4891610537</v>
      </c>
    </row>
    <row r="187" spans="1:10" hidden="1" x14ac:dyDescent="0.25">
      <c r="A187" s="99" t="str">
        <f>'Resultater - Vestdanmark'!A187</f>
        <v>Græsmark</v>
      </c>
      <c r="B187" s="99" t="str">
        <f>'Resultater - Vestdanmark'!B187</f>
        <v>Konventionel</v>
      </c>
      <c r="C187" s="99" t="str">
        <f>'Resultater - Vestdanmark'!C187</f>
        <v>JB1-10</v>
      </c>
      <c r="D187" s="99" t="str">
        <f>'Resultater - Vestdanmark'!D187</f>
        <v>Areal-græs</v>
      </c>
      <c r="E187" s="99" t="str">
        <f>'Resultater - Vestdanmark'!E187</f>
        <v>Hektar</v>
      </c>
      <c r="F187" s="99" t="str">
        <f>'Resultater - Vestdanmark'!F187</f>
        <v>Gødning</v>
      </c>
      <c r="G187" s="99" t="str">
        <f>'Resultater - Vestdanmark'!G187</f>
        <v>kg N</v>
      </c>
      <c r="H187" s="298">
        <f>'Resultater - Vestdanmark'!H187+'Resultater - Østdanmark'!H187</f>
        <v>-33100908.649694897</v>
      </c>
      <c r="I187" s="299">
        <f>'Resultater - Vestdanmark'!I187+'Resultater - Østdanmark'!I187</f>
        <v>-24990703.203249034</v>
      </c>
      <c r="J187" s="300">
        <f>'Resultater - Vestdanmark'!J187+'Resultater - Østdanmark'!J187</f>
        <v>-24964707.702538628</v>
      </c>
    </row>
    <row r="188" spans="1:10" hidden="1" x14ac:dyDescent="0.25">
      <c r="A188" s="99" t="str">
        <f>'Resultater - Vestdanmark'!A188</f>
        <v>Græsmark</v>
      </c>
      <c r="B188" s="99" t="str">
        <f>'Resultater - Vestdanmark'!B188</f>
        <v>Konventionel</v>
      </c>
      <c r="C188" s="99" t="str">
        <f>'Resultater - Vestdanmark'!C188</f>
        <v>JB1-10</v>
      </c>
      <c r="D188" s="99" t="str">
        <f>'Resultater - Vestdanmark'!D188</f>
        <v>Areal-græs</v>
      </c>
      <c r="E188" s="99" t="str">
        <f>'Resultater - Vestdanmark'!E188</f>
        <v>Hektar</v>
      </c>
      <c r="F188" s="99" t="str">
        <f>'Resultater - Vestdanmark'!F188</f>
        <v>CO2 - atmosfære</v>
      </c>
      <c r="G188" s="99" t="str">
        <f>'Resultater - Vestdanmark'!G188</f>
        <v>t CO2-ækvivalenter</v>
      </c>
      <c r="H188" s="298">
        <f>'Resultater - Vestdanmark'!H188+'Resultater - Østdanmark'!H188</f>
        <v>485557.09390620678</v>
      </c>
      <c r="I188" s="299">
        <f>'Resultater - Vestdanmark'!I188+'Resultater - Østdanmark'!I188</f>
        <v>366588.52330792375</v>
      </c>
      <c r="J188" s="300">
        <f>'Resultater - Vestdanmark'!J188+'Resultater - Østdanmark'!J188</f>
        <v>366207.19541408366</v>
      </c>
    </row>
    <row r="189" spans="1:10" hidden="1" x14ac:dyDescent="0.25">
      <c r="A189" s="99" t="str">
        <f>'Resultater - Vestdanmark'!A189</f>
        <v>Græsmark</v>
      </c>
      <c r="B189" s="99" t="str">
        <f>'Resultater - Vestdanmark'!B189</f>
        <v>Konventionel</v>
      </c>
      <c r="C189" s="99" t="str">
        <f>'Resultater - Vestdanmark'!C189</f>
        <v>OC6</v>
      </c>
      <c r="D189" s="99" t="str">
        <f>'Resultater - Vestdanmark'!D189</f>
        <v>Areal-græs</v>
      </c>
      <c r="E189" s="99" t="str">
        <f>'Resultater - Vestdanmark'!E189</f>
        <v>Hektar</v>
      </c>
      <c r="F189" s="99" t="str">
        <f>'Resultater - Vestdanmark'!F189</f>
        <v>Græs</v>
      </c>
      <c r="G189" s="99" t="str">
        <f>'Resultater - Vestdanmark'!G189</f>
        <v>Ton</v>
      </c>
      <c r="H189" s="298">
        <f>'Resultater - Vestdanmark'!H189+'Resultater - Østdanmark'!H189</f>
        <v>1250706.5448330601</v>
      </c>
      <c r="I189" s="299">
        <f>'Resultater - Vestdanmark'!I189+'Resultater - Østdanmark'!I189</f>
        <v>0</v>
      </c>
      <c r="J189" s="300">
        <f>'Resultater - Vestdanmark'!J189+'Resultater - Østdanmark'!J189</f>
        <v>0</v>
      </c>
    </row>
    <row r="190" spans="1:10" hidden="1" x14ac:dyDescent="0.25">
      <c r="A190" s="99" t="str">
        <f>'Resultater - Vestdanmark'!A190</f>
        <v>Græsmark</v>
      </c>
      <c r="B190" s="99" t="str">
        <f>'Resultater - Vestdanmark'!B190</f>
        <v>Konventionel</v>
      </c>
      <c r="C190" s="99" t="str">
        <f>'Resultater - Vestdanmark'!C190</f>
        <v>OC6</v>
      </c>
      <c r="D190" s="99" t="str">
        <f>'Resultater - Vestdanmark'!D190</f>
        <v>Areal-græs</v>
      </c>
      <c r="E190" s="99" t="str">
        <f>'Resultater - Vestdanmark'!E190</f>
        <v>Hektar</v>
      </c>
      <c r="F190" s="99" t="str">
        <f>'Resultater - Vestdanmark'!F190</f>
        <v>Gødning</v>
      </c>
      <c r="G190" s="99" t="str">
        <f>'Resultater - Vestdanmark'!G190</f>
        <v>kg N</v>
      </c>
      <c r="H190" s="298">
        <f>'Resultater - Vestdanmark'!H190+'Resultater - Østdanmark'!H190</f>
        <v>-2730616.868673549</v>
      </c>
      <c r="I190" s="299">
        <f>'Resultater - Vestdanmark'!I190+'Resultater - Østdanmark'!I190</f>
        <v>0</v>
      </c>
      <c r="J190" s="300">
        <f>'Resultater - Vestdanmark'!J190+'Resultater - Østdanmark'!J190</f>
        <v>0</v>
      </c>
    </row>
    <row r="191" spans="1:10" hidden="1" x14ac:dyDescent="0.25">
      <c r="A191" s="99" t="str">
        <f>'Resultater - Vestdanmark'!A191</f>
        <v>Græsmark</v>
      </c>
      <c r="B191" s="99" t="str">
        <f>'Resultater - Vestdanmark'!B191</f>
        <v>Konventionel</v>
      </c>
      <c r="C191" s="99" t="str">
        <f>'Resultater - Vestdanmark'!C191</f>
        <v>OC6</v>
      </c>
      <c r="D191" s="99" t="str">
        <f>'Resultater - Vestdanmark'!D191</f>
        <v>Areal-græs</v>
      </c>
      <c r="E191" s="99" t="str">
        <f>'Resultater - Vestdanmark'!E191</f>
        <v>Hektar</v>
      </c>
      <c r="F191" s="99" t="str">
        <f>'Resultater - Vestdanmark'!F191</f>
        <v>CO2 - atmosfære</v>
      </c>
      <c r="G191" s="99" t="str">
        <f>'Resultater - Vestdanmark'!G191</f>
        <v>t CO2-ækvivalenter</v>
      </c>
      <c r="H191" s="298">
        <f>'Resultater - Vestdanmark'!H191+'Resultater - Østdanmark'!H191</f>
        <v>335901.46460405836</v>
      </c>
      <c r="I191" s="299">
        <f>'Resultater - Vestdanmark'!I191+'Resultater - Østdanmark'!I191</f>
        <v>0</v>
      </c>
      <c r="J191" s="300">
        <f>'Resultater - Vestdanmark'!J191+'Resultater - Østdanmark'!J191</f>
        <v>0</v>
      </c>
    </row>
    <row r="192" spans="1:10" hidden="1" x14ac:dyDescent="0.25">
      <c r="A192" s="99" t="str">
        <f>'Resultater - Vestdanmark'!A192</f>
        <v>Græsmark</v>
      </c>
      <c r="B192" s="99" t="str">
        <f>'Resultater - Vestdanmark'!B192</f>
        <v>Konventionel</v>
      </c>
      <c r="C192" s="99" t="str">
        <f>'Resultater - Vestdanmark'!C192</f>
        <v>OC12</v>
      </c>
      <c r="D192" s="99" t="str">
        <f>'Resultater - Vestdanmark'!D192</f>
        <v>Areal-græs</v>
      </c>
      <c r="E192" s="99" t="str">
        <f>'Resultater - Vestdanmark'!E192</f>
        <v>Hektar</v>
      </c>
      <c r="F192" s="99" t="str">
        <f>'Resultater - Vestdanmark'!F192</f>
        <v>Græs</v>
      </c>
      <c r="G192" s="99" t="str">
        <f>'Resultater - Vestdanmark'!G192</f>
        <v>Ton</v>
      </c>
      <c r="H192" s="298">
        <f>'Resultater - Vestdanmark'!H192+'Resultater - Østdanmark'!H192</f>
        <v>1501712.5809897545</v>
      </c>
      <c r="I192" s="299">
        <f>'Resultater - Vestdanmark'!I192+'Resultater - Østdanmark'!I192</f>
        <v>0</v>
      </c>
      <c r="J192" s="300">
        <f>'Resultater - Vestdanmark'!J192+'Resultater - Østdanmark'!J192</f>
        <v>0</v>
      </c>
    </row>
    <row r="193" spans="1:10" hidden="1" x14ac:dyDescent="0.25">
      <c r="A193" s="99" t="str">
        <f>'Resultater - Vestdanmark'!A193</f>
        <v>Græsmark</v>
      </c>
      <c r="B193" s="99" t="str">
        <f>'Resultater - Vestdanmark'!B193</f>
        <v>Konventionel</v>
      </c>
      <c r="C193" s="99" t="str">
        <f>'Resultater - Vestdanmark'!C193</f>
        <v>OC12</v>
      </c>
      <c r="D193" s="99" t="str">
        <f>'Resultater - Vestdanmark'!D193</f>
        <v>Areal-græs</v>
      </c>
      <c r="E193" s="99" t="str">
        <f>'Resultater - Vestdanmark'!E193</f>
        <v>Hektar</v>
      </c>
      <c r="F193" s="99" t="str">
        <f>'Resultater - Vestdanmark'!F193</f>
        <v>Gødning</v>
      </c>
      <c r="G193" s="99" t="str">
        <f>'Resultater - Vestdanmark'!G193</f>
        <v>kg N</v>
      </c>
      <c r="H193" s="298">
        <f>'Resultater - Vestdanmark'!H193+'Resultater - Østdanmark'!H193</f>
        <v>-2269819.4996822169</v>
      </c>
      <c r="I193" s="299">
        <f>'Resultater - Vestdanmark'!I193+'Resultater - Østdanmark'!I193</f>
        <v>0</v>
      </c>
      <c r="J193" s="300">
        <f>'Resultater - Vestdanmark'!J193+'Resultater - Østdanmark'!J193</f>
        <v>0</v>
      </c>
    </row>
    <row r="194" spans="1:10" hidden="1" x14ac:dyDescent="0.25">
      <c r="A194" s="99" t="str">
        <f>'Resultater - Vestdanmark'!A194</f>
        <v>Græsmark</v>
      </c>
      <c r="B194" s="99" t="str">
        <f>'Resultater - Vestdanmark'!B194</f>
        <v>Konventionel</v>
      </c>
      <c r="C194" s="99" t="str">
        <f>'Resultater - Vestdanmark'!C194</f>
        <v>OC12</v>
      </c>
      <c r="D194" s="99" t="str">
        <f>'Resultater - Vestdanmark'!D194</f>
        <v>Areal-græs</v>
      </c>
      <c r="E194" s="99" t="str">
        <f>'Resultater - Vestdanmark'!E194</f>
        <v>Hektar</v>
      </c>
      <c r="F194" s="99" t="str">
        <f>'Resultater - Vestdanmark'!F194</f>
        <v>CO2 - atmosfære</v>
      </c>
      <c r="G194" s="99" t="str">
        <f>'Resultater - Vestdanmark'!G194</f>
        <v>t CO2-ækvivalenter</v>
      </c>
      <c r="H194" s="298">
        <f>'Resultater - Vestdanmark'!H194+'Resultater - Østdanmark'!H194</f>
        <v>885266.2325747133</v>
      </c>
      <c r="I194" s="299">
        <f>'Resultater - Vestdanmark'!I194+'Resultater - Østdanmark'!I194</f>
        <v>0</v>
      </c>
      <c r="J194" s="300">
        <f>'Resultater - Vestdanmark'!J194+'Resultater - Østdanmark'!J194</f>
        <v>0</v>
      </c>
    </row>
    <row r="195" spans="1:10" hidden="1" x14ac:dyDescent="0.25">
      <c r="A195" s="99" t="str">
        <f>'Resultater - Vestdanmark'!A195</f>
        <v>Græsmark</v>
      </c>
      <c r="B195" s="99" t="str">
        <f>'Resultater - Vestdanmark'!B195</f>
        <v>Økologisk</v>
      </c>
      <c r="C195" s="99" t="str">
        <f>'Resultater - Vestdanmark'!C195</f>
        <v>JB1-10</v>
      </c>
      <c r="D195" s="99" t="str">
        <f>'Resultater - Vestdanmark'!D195</f>
        <v>Areal-græs</v>
      </c>
      <c r="E195" s="99" t="str">
        <f>'Resultater - Vestdanmark'!E195</f>
        <v>Hektar</v>
      </c>
      <c r="F195" s="99" t="str">
        <f>'Resultater - Vestdanmark'!F195</f>
        <v>Græs</v>
      </c>
      <c r="G195" s="99" t="str">
        <f>'Resultater - Vestdanmark'!G195</f>
        <v>Ton</v>
      </c>
      <c r="H195" s="298">
        <f>'Resultater - Vestdanmark'!H195+'Resultater - Østdanmark'!H195</f>
        <v>1056816.1068755633</v>
      </c>
      <c r="I195" s="299">
        <f>'Resultater - Vestdanmark'!I195+'Resultater - Østdanmark'!I195</f>
        <v>1044024.2530043992</v>
      </c>
      <c r="J195" s="300">
        <f>'Resultater - Vestdanmark'!J195+'Resultater - Østdanmark'!J195</f>
        <v>1454530.8445702838</v>
      </c>
    </row>
    <row r="196" spans="1:10" hidden="1" x14ac:dyDescent="0.25">
      <c r="A196" s="99" t="str">
        <f>'Resultater - Vestdanmark'!A196</f>
        <v>Græsmark</v>
      </c>
      <c r="B196" s="99" t="str">
        <f>'Resultater - Vestdanmark'!B196</f>
        <v>Økologisk</v>
      </c>
      <c r="C196" s="99" t="str">
        <f>'Resultater - Vestdanmark'!C196</f>
        <v>JB1-10</v>
      </c>
      <c r="D196" s="99" t="str">
        <f>'Resultater - Vestdanmark'!D196</f>
        <v>Areal-græs</v>
      </c>
      <c r="E196" s="99" t="str">
        <f>'Resultater - Vestdanmark'!E196</f>
        <v>Hektar</v>
      </c>
      <c r="F196" s="99" t="str">
        <f>'Resultater - Vestdanmark'!F196</f>
        <v>Gødning</v>
      </c>
      <c r="G196" s="99" t="str">
        <f>'Resultater - Vestdanmark'!G196</f>
        <v>kg N</v>
      </c>
      <c r="H196" s="298">
        <f>'Resultater - Vestdanmark'!H196+'Resultater - Østdanmark'!H196</f>
        <v>-3301219.1972130653</v>
      </c>
      <c r="I196" s="299">
        <f>'Resultater - Vestdanmark'!I196+'Resultater - Østdanmark'!I196</f>
        <v>-3042220.8639330906</v>
      </c>
      <c r="J196" s="300">
        <f>'Resultater - Vestdanmark'!J196+'Resultater - Østdanmark'!J196</f>
        <v>-4130524.365329118</v>
      </c>
    </row>
    <row r="197" spans="1:10" hidden="1" x14ac:dyDescent="0.25">
      <c r="A197" s="99" t="str">
        <f>'Resultater - Vestdanmark'!A197</f>
        <v>Græsmark</v>
      </c>
      <c r="B197" s="99" t="str">
        <f>'Resultater - Vestdanmark'!B197</f>
        <v>Økologisk</v>
      </c>
      <c r="C197" s="99" t="str">
        <f>'Resultater - Vestdanmark'!C197</f>
        <v>JB1-10</v>
      </c>
      <c r="D197" s="99" t="str">
        <f>'Resultater - Vestdanmark'!D197</f>
        <v>Areal-græs</v>
      </c>
      <c r="E197" s="99" t="str">
        <f>'Resultater - Vestdanmark'!E197</f>
        <v>Hektar</v>
      </c>
      <c r="F197" s="99" t="str">
        <f>'Resultater - Vestdanmark'!F197</f>
        <v>CO2 - atmosfære</v>
      </c>
      <c r="G197" s="99" t="str">
        <f>'Resultater - Vestdanmark'!G197</f>
        <v>t CO2-ækvivalenter</v>
      </c>
      <c r="H197" s="298">
        <f>'Resultater - Vestdanmark'!H197+'Resultater - Østdanmark'!H197</f>
        <v>62084.065298082889</v>
      </c>
      <c r="I197" s="299">
        <f>'Resultater - Vestdanmark'!I197+'Resultater - Østdanmark'!I197</f>
        <v>57213.237741699086</v>
      </c>
      <c r="J197" s="300">
        <f>'Resultater - Vestdanmark'!J197+'Resultater - Østdanmark'!J197</f>
        <v>77680.314178745015</v>
      </c>
    </row>
    <row r="198" spans="1:10" hidden="1" x14ac:dyDescent="0.25">
      <c r="A198" s="99" t="str">
        <f>'Resultater - Vestdanmark'!A198</f>
        <v>Græsmark</v>
      </c>
      <c r="B198" s="99" t="str">
        <f>'Resultater - Vestdanmark'!B198</f>
        <v>Økologisk</v>
      </c>
      <c r="C198" s="99" t="str">
        <f>'Resultater - Vestdanmark'!C198</f>
        <v>OC6</v>
      </c>
      <c r="D198" s="99" t="str">
        <f>'Resultater - Vestdanmark'!D198</f>
        <v>Areal-græs</v>
      </c>
      <c r="E198" s="99" t="str">
        <f>'Resultater - Vestdanmark'!E198</f>
        <v>Hektar</v>
      </c>
      <c r="F198" s="99" t="str">
        <f>'Resultater - Vestdanmark'!F198</f>
        <v>Græs</v>
      </c>
      <c r="G198" s="99" t="str">
        <f>'Resultater - Vestdanmark'!G198</f>
        <v>Ton</v>
      </c>
      <c r="H198" s="298">
        <f>'Resultater - Vestdanmark'!H198+'Resultater - Østdanmark'!H198</f>
        <v>124735.44154265925</v>
      </c>
      <c r="I198" s="299">
        <f>'Resultater - Vestdanmark'!I198+'Resultater - Østdanmark'!I198</f>
        <v>0</v>
      </c>
      <c r="J198" s="300">
        <f>'Resultater - Vestdanmark'!J198+'Resultater - Østdanmark'!J198</f>
        <v>0</v>
      </c>
    </row>
    <row r="199" spans="1:10" hidden="1" x14ac:dyDescent="0.25">
      <c r="A199" s="99" t="str">
        <f>'Resultater - Vestdanmark'!A199</f>
        <v>Græsmark</v>
      </c>
      <c r="B199" s="99" t="str">
        <f>'Resultater - Vestdanmark'!B199</f>
        <v>Økologisk</v>
      </c>
      <c r="C199" s="99" t="str">
        <f>'Resultater - Vestdanmark'!C199</f>
        <v>OC6</v>
      </c>
      <c r="D199" s="99" t="str">
        <f>'Resultater - Vestdanmark'!D199</f>
        <v>Areal-græs</v>
      </c>
      <c r="E199" s="99" t="str">
        <f>'Resultater - Vestdanmark'!E199</f>
        <v>Hektar</v>
      </c>
      <c r="F199" s="99" t="str">
        <f>'Resultater - Vestdanmark'!F199</f>
        <v>Gødning</v>
      </c>
      <c r="G199" s="99" t="str">
        <f>'Resultater - Vestdanmark'!G199</f>
        <v>kg N</v>
      </c>
      <c r="H199" s="298">
        <f>'Resultater - Vestdanmark'!H199+'Resultater - Østdanmark'!H199</f>
        <v>-272329.83005081455</v>
      </c>
      <c r="I199" s="299">
        <f>'Resultater - Vestdanmark'!I199+'Resultater - Østdanmark'!I199</f>
        <v>0</v>
      </c>
      <c r="J199" s="300">
        <f>'Resultater - Vestdanmark'!J199+'Resultater - Østdanmark'!J199</f>
        <v>0</v>
      </c>
    </row>
    <row r="200" spans="1:10" hidden="1" x14ac:dyDescent="0.25">
      <c r="A200" s="99" t="str">
        <f>'Resultater - Vestdanmark'!A200</f>
        <v>Græsmark</v>
      </c>
      <c r="B200" s="99" t="str">
        <f>'Resultater - Vestdanmark'!B200</f>
        <v>Økologisk</v>
      </c>
      <c r="C200" s="99" t="str">
        <f>'Resultater - Vestdanmark'!C200</f>
        <v>OC6</v>
      </c>
      <c r="D200" s="99" t="str">
        <f>'Resultater - Vestdanmark'!D200</f>
        <v>Areal-græs</v>
      </c>
      <c r="E200" s="99" t="str">
        <f>'Resultater - Vestdanmark'!E200</f>
        <v>Hektar</v>
      </c>
      <c r="F200" s="99" t="str">
        <f>'Resultater - Vestdanmark'!F200</f>
        <v>CO2 - atmosfære</v>
      </c>
      <c r="G200" s="99" t="str">
        <f>'Resultater - Vestdanmark'!G200</f>
        <v>t CO2-ækvivalenter</v>
      </c>
      <c r="H200" s="298">
        <f>'Resultater - Vestdanmark'!H200+'Resultater - Østdanmark'!H200</f>
        <v>42948.869914417002</v>
      </c>
      <c r="I200" s="299">
        <f>'Resultater - Vestdanmark'!I200+'Resultater - Østdanmark'!I200</f>
        <v>0</v>
      </c>
      <c r="J200" s="300">
        <f>'Resultater - Vestdanmark'!J200+'Resultater - Østdanmark'!J200</f>
        <v>0</v>
      </c>
    </row>
    <row r="201" spans="1:10" hidden="1" x14ac:dyDescent="0.25">
      <c r="A201" s="99" t="str">
        <f>'Resultater - Vestdanmark'!A201</f>
        <v>Græsmark</v>
      </c>
      <c r="B201" s="99" t="str">
        <f>'Resultater - Vestdanmark'!B201</f>
        <v>Økologisk</v>
      </c>
      <c r="C201" s="99" t="str">
        <f>'Resultater - Vestdanmark'!C201</f>
        <v>OC12</v>
      </c>
      <c r="D201" s="99" t="str">
        <f>'Resultater - Vestdanmark'!D201</f>
        <v>Areal-græs</v>
      </c>
      <c r="E201" s="99" t="str">
        <f>'Resultater - Vestdanmark'!E201</f>
        <v>Hektar</v>
      </c>
      <c r="F201" s="99" t="str">
        <f>'Resultater - Vestdanmark'!F201</f>
        <v>Græs</v>
      </c>
      <c r="G201" s="99" t="str">
        <f>'Resultater - Vestdanmark'!G201</f>
        <v>Ton</v>
      </c>
      <c r="H201" s="298">
        <f>'Resultater - Vestdanmark'!H201+'Resultater - Østdanmark'!H201</f>
        <v>149768.77080700482</v>
      </c>
      <c r="I201" s="299">
        <f>'Resultater - Vestdanmark'!I201+'Resultater - Østdanmark'!I201</f>
        <v>0</v>
      </c>
      <c r="J201" s="300">
        <f>'Resultater - Vestdanmark'!J201+'Resultater - Østdanmark'!J201</f>
        <v>0</v>
      </c>
    </row>
    <row r="202" spans="1:10" hidden="1" x14ac:dyDescent="0.25">
      <c r="A202" s="99" t="str">
        <f>'Resultater - Vestdanmark'!A202</f>
        <v>Græsmark</v>
      </c>
      <c r="B202" s="99" t="str">
        <f>'Resultater - Vestdanmark'!B202</f>
        <v>Økologisk</v>
      </c>
      <c r="C202" s="99" t="str">
        <f>'Resultater - Vestdanmark'!C202</f>
        <v>OC12</v>
      </c>
      <c r="D202" s="99" t="str">
        <f>'Resultater - Vestdanmark'!D202</f>
        <v>Areal-græs</v>
      </c>
      <c r="E202" s="99" t="str">
        <f>'Resultater - Vestdanmark'!E202</f>
        <v>Hektar</v>
      </c>
      <c r="F202" s="99" t="str">
        <f>'Resultater - Vestdanmark'!F202</f>
        <v>Gødning</v>
      </c>
      <c r="G202" s="99" t="str">
        <f>'Resultater - Vestdanmark'!G202</f>
        <v>kg N</v>
      </c>
      <c r="H202" s="298">
        <f>'Resultater - Vestdanmark'!H202+'Resultater - Østdanmark'!H202</f>
        <v>-226373.59553658532</v>
      </c>
      <c r="I202" s="299">
        <f>'Resultater - Vestdanmark'!I202+'Resultater - Østdanmark'!I202</f>
        <v>0</v>
      </c>
      <c r="J202" s="300">
        <f>'Resultater - Vestdanmark'!J202+'Resultater - Østdanmark'!J202</f>
        <v>0</v>
      </c>
    </row>
    <row r="203" spans="1:10" hidden="1" x14ac:dyDescent="0.25">
      <c r="A203" s="99" t="str">
        <f>'Resultater - Vestdanmark'!A203</f>
        <v>Græsmark</v>
      </c>
      <c r="B203" s="99" t="str">
        <f>'Resultater - Vestdanmark'!B203</f>
        <v>Økologisk</v>
      </c>
      <c r="C203" s="99" t="str">
        <f>'Resultater - Vestdanmark'!C203</f>
        <v>OC12</v>
      </c>
      <c r="D203" s="99" t="str">
        <f>'Resultater - Vestdanmark'!D203</f>
        <v>Areal-græs</v>
      </c>
      <c r="E203" s="99" t="str">
        <f>'Resultater - Vestdanmark'!E203</f>
        <v>Hektar</v>
      </c>
      <c r="F203" s="99" t="str">
        <f>'Resultater - Vestdanmark'!F203</f>
        <v>CO2 - atmosfære</v>
      </c>
      <c r="G203" s="99" t="str">
        <f>'Resultater - Vestdanmark'!G203</f>
        <v>t CO2-ækvivalenter</v>
      </c>
      <c r="H203" s="298">
        <f>'Resultater - Vestdanmark'!H203+'Resultater - Østdanmark'!H203</f>
        <v>113191.4810413066</v>
      </c>
      <c r="I203" s="299">
        <f>'Resultater - Vestdanmark'!I203+'Resultater - Østdanmark'!I203</f>
        <v>0</v>
      </c>
      <c r="J203" s="300">
        <f>'Resultater - Vestdanmark'!J203+'Resultater - Østdanmark'!J203</f>
        <v>0</v>
      </c>
    </row>
    <row r="204" spans="1:10" hidden="1" x14ac:dyDescent="0.25">
      <c r="A204" s="99" t="str">
        <f>'Resultater - Vestdanmark'!A204</f>
        <v>Bælgsædsmark</v>
      </c>
      <c r="B204" s="99" t="str">
        <f>'Resultater - Vestdanmark'!B204</f>
        <v>Konventionel</v>
      </c>
      <c r="C204" s="99" t="str">
        <f>'Resultater - Vestdanmark'!C204</f>
        <v>JB1-10</v>
      </c>
      <c r="D204" s="99" t="str">
        <f>'Resultater - Vestdanmark'!D204</f>
        <v>Areal-bælgsæd</v>
      </c>
      <c r="E204" s="99" t="str">
        <f>'Resultater - Vestdanmark'!E204</f>
        <v>Hektar</v>
      </c>
      <c r="F204" s="99" t="str">
        <f>'Resultater - Vestdanmark'!F204</f>
        <v>Bælgsæd</v>
      </c>
      <c r="G204" s="99" t="str">
        <f>'Resultater - Vestdanmark'!G204</f>
        <v>Ton</v>
      </c>
      <c r="H204" s="298">
        <f>'Resultater - Vestdanmark'!H204+'Resultater - Østdanmark'!H204</f>
        <v>252119.08822285215</v>
      </c>
      <c r="I204" s="299">
        <f>'Resultater - Vestdanmark'!I204+'Resultater - Østdanmark'!I204</f>
        <v>192407.63010724087</v>
      </c>
      <c r="J204" s="300">
        <f>'Resultater - Vestdanmark'!J204+'Resultater - Østdanmark'!J204</f>
        <v>183811.02228776546</v>
      </c>
    </row>
    <row r="205" spans="1:10" x14ac:dyDescent="0.25">
      <c r="A205" s="99" t="str">
        <f>'Resultater - Vestdanmark'!A205</f>
        <v>Bælgsædsmark</v>
      </c>
      <c r="B205" s="99" t="str">
        <f>'Resultater - Vestdanmark'!B205</f>
        <v>Konventionel</v>
      </c>
      <c r="C205" s="99" t="str">
        <f>'Resultater - Vestdanmark'!C205</f>
        <v>JB1-10</v>
      </c>
      <c r="D205" s="99" t="str">
        <f>'Resultater - Vestdanmark'!D205</f>
        <v>Areal-bælgsæd</v>
      </c>
      <c r="E205" s="99" t="str">
        <f>'Resultater - Vestdanmark'!E205</f>
        <v>Hektar</v>
      </c>
      <c r="F205" s="99" t="str">
        <f>'Resultater - Vestdanmark'!F205</f>
        <v>Halm</v>
      </c>
      <c r="G205" s="99" t="str">
        <f>'Resultater - Vestdanmark'!G205</f>
        <v>Ton</v>
      </c>
      <c r="H205" s="298">
        <f>'Resultater - Vestdanmark'!H205+'Resultater - Østdanmark'!H205</f>
        <v>74848.798129844407</v>
      </c>
      <c r="I205" s="299">
        <f>'Resultater - Vestdanmark'!I205+'Resultater - Østdanmark'!I205</f>
        <v>56683.70947921175</v>
      </c>
      <c r="J205" s="300">
        <f>'Resultater - Vestdanmark'!J205+'Resultater - Østdanmark'!J205</f>
        <v>54252.34704202805</v>
      </c>
    </row>
    <row r="206" spans="1:10" hidden="1" x14ac:dyDescent="0.25">
      <c r="A206" s="99" t="str">
        <f>'Resultater - Vestdanmark'!A206</f>
        <v>Bælgsædsmark</v>
      </c>
      <c r="B206" s="99" t="str">
        <f>'Resultater - Vestdanmark'!B206</f>
        <v>Konventionel</v>
      </c>
      <c r="C206" s="99" t="str">
        <f>'Resultater - Vestdanmark'!C206</f>
        <v>JB1-10</v>
      </c>
      <c r="D206" s="99" t="str">
        <f>'Resultater - Vestdanmark'!D206</f>
        <v>Areal-bælgsæd</v>
      </c>
      <c r="E206" s="99" t="str">
        <f>'Resultater - Vestdanmark'!E206</f>
        <v>Hektar</v>
      </c>
      <c r="F206" s="99" t="str">
        <f>'Resultater - Vestdanmark'!F206</f>
        <v>Gødning</v>
      </c>
      <c r="G206" s="99" t="str">
        <f>'Resultater - Vestdanmark'!G206</f>
        <v>kg N</v>
      </c>
      <c r="H206" s="298">
        <f>'Resultater - Vestdanmark'!H206+'Resultater - Østdanmark'!H206</f>
        <v>0</v>
      </c>
      <c r="I206" s="299">
        <f>'Resultater - Vestdanmark'!I206+'Resultater - Østdanmark'!I206</f>
        <v>0</v>
      </c>
      <c r="J206" s="300">
        <f>'Resultater - Vestdanmark'!J206+'Resultater - Østdanmark'!J206</f>
        <v>0</v>
      </c>
    </row>
    <row r="207" spans="1:10" hidden="1" x14ac:dyDescent="0.25">
      <c r="A207" s="99" t="str">
        <f>'Resultater - Vestdanmark'!A207</f>
        <v>Bælgsædsmark</v>
      </c>
      <c r="B207" s="99" t="str">
        <f>'Resultater - Vestdanmark'!B207</f>
        <v>Konventionel</v>
      </c>
      <c r="C207" s="99" t="str">
        <f>'Resultater - Vestdanmark'!C207</f>
        <v>JB1-10</v>
      </c>
      <c r="D207" s="99" t="str">
        <f>'Resultater - Vestdanmark'!D207</f>
        <v>Areal-bælgsæd</v>
      </c>
      <c r="E207" s="99" t="str">
        <f>'Resultater - Vestdanmark'!E207</f>
        <v>Hektar</v>
      </c>
      <c r="F207" s="99" t="str">
        <f>'Resultater - Vestdanmark'!F207</f>
        <v>CO2 - atmosfære</v>
      </c>
      <c r="G207" s="99" t="str">
        <f>'Resultater - Vestdanmark'!G207</f>
        <v>t CO2-ækvivalenter</v>
      </c>
      <c r="H207" s="298">
        <f>'Resultater - Vestdanmark'!H207+'Resultater - Østdanmark'!H207</f>
        <v>148508.2256030748</v>
      </c>
      <c r="I207" s="299">
        <f>'Resultater - Vestdanmark'!I207+'Resultater - Østdanmark'!I207</f>
        <v>105723.6835985373</v>
      </c>
      <c r="J207" s="300">
        <f>'Resultater - Vestdanmark'!J207+'Resultater - Østdanmark'!J207</f>
        <v>98429.130018237571</v>
      </c>
    </row>
    <row r="208" spans="1:10" hidden="1" x14ac:dyDescent="0.25">
      <c r="A208" s="99" t="str">
        <f>'Resultater - Vestdanmark'!A208</f>
        <v>Bælgsædsmark</v>
      </c>
      <c r="B208" s="99" t="str">
        <f>'Resultater - Vestdanmark'!B208</f>
        <v>Konventionel</v>
      </c>
      <c r="C208" s="99" t="str">
        <f>'Resultater - Vestdanmark'!C208</f>
        <v>OC6</v>
      </c>
      <c r="D208" s="99" t="str">
        <f>'Resultater - Vestdanmark'!D208</f>
        <v>Areal-bælgsæd</v>
      </c>
      <c r="E208" s="99" t="str">
        <f>'Resultater - Vestdanmark'!E208</f>
        <v>Hektar</v>
      </c>
      <c r="F208" s="99" t="str">
        <f>'Resultater - Vestdanmark'!F208</f>
        <v>Bælgsæd</v>
      </c>
      <c r="G208" s="99" t="str">
        <f>'Resultater - Vestdanmark'!G208</f>
        <v>Ton</v>
      </c>
      <c r="H208" s="298">
        <f>'Resultater - Vestdanmark'!H208+'Resultater - Østdanmark'!H208</f>
        <v>9762.0012470722486</v>
      </c>
      <c r="I208" s="299">
        <f>'Resultater - Vestdanmark'!I208+'Resultater - Østdanmark'!I208</f>
        <v>0</v>
      </c>
      <c r="J208" s="300">
        <f>'Resultater - Vestdanmark'!J208+'Resultater - Østdanmark'!J208</f>
        <v>0</v>
      </c>
    </row>
    <row r="209" spans="1:10" x14ac:dyDescent="0.25">
      <c r="A209" s="99" t="str">
        <f>'Resultater - Vestdanmark'!A209</f>
        <v>Bælgsædsmark</v>
      </c>
      <c r="B209" s="99" t="str">
        <f>'Resultater - Vestdanmark'!B209</f>
        <v>Konventionel</v>
      </c>
      <c r="C209" s="99" t="str">
        <f>'Resultater - Vestdanmark'!C209</f>
        <v>OC6</v>
      </c>
      <c r="D209" s="99" t="str">
        <f>'Resultater - Vestdanmark'!D209</f>
        <v>Areal-bælgsæd</v>
      </c>
      <c r="E209" s="99" t="str">
        <f>'Resultater - Vestdanmark'!E209</f>
        <v>Hektar</v>
      </c>
      <c r="F209" s="99" t="str">
        <f>'Resultater - Vestdanmark'!F209</f>
        <v>Halm</v>
      </c>
      <c r="G209" s="99" t="str">
        <f>'Resultater - Vestdanmark'!G209</f>
        <v>Ton</v>
      </c>
      <c r="H209" s="298">
        <f>'Resultater - Vestdanmark'!H209+'Resultater - Østdanmark'!H209</f>
        <v>2898.1306645038535</v>
      </c>
      <c r="I209" s="299">
        <f>'Resultater - Vestdanmark'!I209+'Resultater - Østdanmark'!I209</f>
        <v>0</v>
      </c>
      <c r="J209" s="300">
        <f>'Resultater - Vestdanmark'!J209+'Resultater - Østdanmark'!J209</f>
        <v>0</v>
      </c>
    </row>
    <row r="210" spans="1:10" hidden="1" x14ac:dyDescent="0.25">
      <c r="A210" s="99" t="str">
        <f>'Resultater - Vestdanmark'!A210</f>
        <v>Bælgsædsmark</v>
      </c>
      <c r="B210" s="99" t="str">
        <f>'Resultater - Vestdanmark'!B210</f>
        <v>Konventionel</v>
      </c>
      <c r="C210" s="99" t="str">
        <f>'Resultater - Vestdanmark'!C210</f>
        <v>OC6</v>
      </c>
      <c r="D210" s="99" t="str">
        <f>'Resultater - Vestdanmark'!D210</f>
        <v>Areal-bælgsæd</v>
      </c>
      <c r="E210" s="99" t="str">
        <f>'Resultater - Vestdanmark'!E210</f>
        <v>Hektar</v>
      </c>
      <c r="F210" s="99" t="str">
        <f>'Resultater - Vestdanmark'!F210</f>
        <v>Gødning</v>
      </c>
      <c r="G210" s="99" t="str">
        <f>'Resultater - Vestdanmark'!G210</f>
        <v>kg N</v>
      </c>
      <c r="H210" s="298">
        <f>'Resultater - Vestdanmark'!H210+'Resultater - Østdanmark'!H210</f>
        <v>0</v>
      </c>
      <c r="I210" s="299">
        <f>'Resultater - Vestdanmark'!I210+'Resultater - Østdanmark'!I210</f>
        <v>0</v>
      </c>
      <c r="J210" s="300">
        <f>'Resultater - Vestdanmark'!J210+'Resultater - Østdanmark'!J210</f>
        <v>0</v>
      </c>
    </row>
    <row r="211" spans="1:10" hidden="1" x14ac:dyDescent="0.25">
      <c r="A211" s="99" t="str">
        <f>'Resultater - Vestdanmark'!A211</f>
        <v>Bælgsædsmark</v>
      </c>
      <c r="B211" s="99" t="str">
        <f>'Resultater - Vestdanmark'!B211</f>
        <v>Konventionel</v>
      </c>
      <c r="C211" s="99" t="str">
        <f>'Resultater - Vestdanmark'!C211</f>
        <v>OC6</v>
      </c>
      <c r="D211" s="99" t="str">
        <f>'Resultater - Vestdanmark'!D211</f>
        <v>Areal-bælgsæd</v>
      </c>
      <c r="E211" s="99" t="str">
        <f>'Resultater - Vestdanmark'!E211</f>
        <v>Hektar</v>
      </c>
      <c r="F211" s="99" t="str">
        <f>'Resultater - Vestdanmark'!F211</f>
        <v>CO2 - atmosfære</v>
      </c>
      <c r="G211" s="99" t="str">
        <f>'Resultater - Vestdanmark'!G211</f>
        <v>t CO2-ækvivalenter</v>
      </c>
      <c r="H211" s="298">
        <f>'Resultater - Vestdanmark'!H211+'Resultater - Østdanmark'!H211</f>
        <v>33702.707331215737</v>
      </c>
      <c r="I211" s="299">
        <f>'Resultater - Vestdanmark'!I211+'Resultater - Østdanmark'!I211</f>
        <v>0</v>
      </c>
      <c r="J211" s="300">
        <f>'Resultater - Vestdanmark'!J211+'Resultater - Østdanmark'!J211</f>
        <v>0</v>
      </c>
    </row>
    <row r="212" spans="1:10" hidden="1" x14ac:dyDescent="0.25">
      <c r="A212" s="99" t="str">
        <f>'Resultater - Vestdanmark'!A212</f>
        <v>Bælgsædsmark</v>
      </c>
      <c r="B212" s="99" t="str">
        <f>'Resultater - Vestdanmark'!B212</f>
        <v>Konventionel</v>
      </c>
      <c r="C212" s="99" t="str">
        <f>'Resultater - Vestdanmark'!C212</f>
        <v>OC12</v>
      </c>
      <c r="D212" s="99" t="str">
        <f>'Resultater - Vestdanmark'!D212</f>
        <v>Areal-bælgsæd</v>
      </c>
      <c r="E212" s="99" t="str">
        <f>'Resultater - Vestdanmark'!E212</f>
        <v>Hektar</v>
      </c>
      <c r="F212" s="99" t="str">
        <f>'Resultater - Vestdanmark'!F212</f>
        <v>Bælgsæd</v>
      </c>
      <c r="G212" s="99" t="str">
        <f>'Resultater - Vestdanmark'!G212</f>
        <v>Ton</v>
      </c>
      <c r="H212" s="298">
        <f>'Resultater - Vestdanmark'!H212+'Resultater - Østdanmark'!H212</f>
        <v>3876.3292971970382</v>
      </c>
      <c r="I212" s="299">
        <f>'Resultater - Vestdanmark'!I212+'Resultater - Østdanmark'!I212</f>
        <v>0</v>
      </c>
      <c r="J212" s="300">
        <f>'Resultater - Vestdanmark'!J212+'Resultater - Østdanmark'!J212</f>
        <v>0</v>
      </c>
    </row>
    <row r="213" spans="1:10" x14ac:dyDescent="0.25">
      <c r="A213" s="99" t="str">
        <f>'Resultater - Vestdanmark'!A213</f>
        <v>Bælgsædsmark</v>
      </c>
      <c r="B213" s="99" t="str">
        <f>'Resultater - Vestdanmark'!B213</f>
        <v>Konventionel</v>
      </c>
      <c r="C213" s="99" t="str">
        <f>'Resultater - Vestdanmark'!C213</f>
        <v>OC12</v>
      </c>
      <c r="D213" s="99" t="str">
        <f>'Resultater - Vestdanmark'!D213</f>
        <v>Areal-bælgsæd</v>
      </c>
      <c r="E213" s="99" t="str">
        <f>'Resultater - Vestdanmark'!E213</f>
        <v>Hektar</v>
      </c>
      <c r="F213" s="99" t="str">
        <f>'Resultater - Vestdanmark'!F213</f>
        <v>Halm</v>
      </c>
      <c r="G213" s="99" t="str">
        <f>'Resultater - Vestdanmark'!G213</f>
        <v>Ton</v>
      </c>
      <c r="H213" s="298">
        <f>'Resultater - Vestdanmark'!H213+'Resultater - Østdanmark'!H213</f>
        <v>1150.7997712344754</v>
      </c>
      <c r="I213" s="299">
        <f>'Resultater - Vestdanmark'!I213+'Resultater - Østdanmark'!I213</f>
        <v>0</v>
      </c>
      <c r="J213" s="300">
        <f>'Resultater - Vestdanmark'!J213+'Resultater - Østdanmark'!J213</f>
        <v>0</v>
      </c>
    </row>
    <row r="214" spans="1:10" hidden="1" x14ac:dyDescent="0.25">
      <c r="A214" s="99" t="str">
        <f>'Resultater - Vestdanmark'!A214</f>
        <v>Bælgsædsmark</v>
      </c>
      <c r="B214" s="99" t="str">
        <f>'Resultater - Vestdanmark'!B214</f>
        <v>Konventionel</v>
      </c>
      <c r="C214" s="99" t="str">
        <f>'Resultater - Vestdanmark'!C214</f>
        <v>OC12</v>
      </c>
      <c r="D214" s="99" t="str">
        <f>'Resultater - Vestdanmark'!D214</f>
        <v>Areal-bælgsæd</v>
      </c>
      <c r="E214" s="99" t="str">
        <f>'Resultater - Vestdanmark'!E214</f>
        <v>Hektar</v>
      </c>
      <c r="F214" s="99" t="str">
        <f>'Resultater - Vestdanmark'!F214</f>
        <v>Gødning</v>
      </c>
      <c r="G214" s="99" t="str">
        <f>'Resultater - Vestdanmark'!G214</f>
        <v>kg N</v>
      </c>
      <c r="H214" s="298">
        <f>'Resultater - Vestdanmark'!H214+'Resultater - Østdanmark'!H214</f>
        <v>0</v>
      </c>
      <c r="I214" s="299">
        <f>'Resultater - Vestdanmark'!I214+'Resultater - Østdanmark'!I214</f>
        <v>0</v>
      </c>
      <c r="J214" s="300">
        <f>'Resultater - Vestdanmark'!J214+'Resultater - Østdanmark'!J214</f>
        <v>0</v>
      </c>
    </row>
    <row r="215" spans="1:10" hidden="1" x14ac:dyDescent="0.25">
      <c r="A215" s="99" t="str">
        <f>'Resultater - Vestdanmark'!A215</f>
        <v>Bælgsædsmark</v>
      </c>
      <c r="B215" s="99" t="str">
        <f>'Resultater - Vestdanmark'!B215</f>
        <v>Konventionel</v>
      </c>
      <c r="C215" s="99" t="str">
        <f>'Resultater - Vestdanmark'!C215</f>
        <v>OC12</v>
      </c>
      <c r="D215" s="99" t="str">
        <f>'Resultater - Vestdanmark'!D215</f>
        <v>Areal-bælgsæd</v>
      </c>
      <c r="E215" s="99" t="str">
        <f>'Resultater - Vestdanmark'!E215</f>
        <v>Hektar</v>
      </c>
      <c r="F215" s="99" t="str">
        <f>'Resultater - Vestdanmark'!F215</f>
        <v>CO2 - atmosfære</v>
      </c>
      <c r="G215" s="99" t="str">
        <f>'Resultater - Vestdanmark'!G215</f>
        <v>t CO2-ækvivalenter</v>
      </c>
      <c r="H215" s="298">
        <f>'Resultater - Vestdanmark'!H215+'Resultater - Østdanmark'!H215</f>
        <v>29374.954227709619</v>
      </c>
      <c r="I215" s="299">
        <f>'Resultater - Vestdanmark'!I215+'Resultater - Østdanmark'!I215</f>
        <v>0</v>
      </c>
      <c r="J215" s="300">
        <f>'Resultater - Vestdanmark'!J215+'Resultater - Østdanmark'!J215</f>
        <v>0</v>
      </c>
    </row>
    <row r="216" spans="1:10" hidden="1" x14ac:dyDescent="0.25">
      <c r="A216" s="99" t="str">
        <f>'Resultater - Vestdanmark'!A216</f>
        <v>Bælgsædsmark</v>
      </c>
      <c r="B216" s="99" t="str">
        <f>'Resultater - Vestdanmark'!B216</f>
        <v>Økologisk</v>
      </c>
      <c r="C216" s="99" t="str">
        <f>'Resultater - Vestdanmark'!C216</f>
        <v>JB1-10</v>
      </c>
      <c r="D216" s="99" t="str">
        <f>'Resultater - Vestdanmark'!D216</f>
        <v>Areal-bælgsæd</v>
      </c>
      <c r="E216" s="99" t="str">
        <f>'Resultater - Vestdanmark'!E216</f>
        <v>Hektar</v>
      </c>
      <c r="F216" s="99" t="str">
        <f>'Resultater - Vestdanmark'!F216</f>
        <v>Bælgsæd</v>
      </c>
      <c r="G216" s="99" t="str">
        <f>'Resultater - Vestdanmark'!G216</f>
        <v>Ton</v>
      </c>
      <c r="H216" s="298">
        <f>'Resultater - Vestdanmark'!H216+'Resultater - Østdanmark'!H216</f>
        <v>18374.707188012384</v>
      </c>
      <c r="I216" s="299">
        <f>'Resultater - Vestdanmark'!I216+'Resultater - Østdanmark'!I216</f>
        <v>17116.493799713513</v>
      </c>
      <c r="J216" s="300">
        <f>'Resultater - Vestdanmark'!J216+'Resultater - Østdanmark'!J216</f>
        <v>22224.42360388437</v>
      </c>
    </row>
    <row r="217" spans="1:10" x14ac:dyDescent="0.25">
      <c r="A217" s="99" t="str">
        <f>'Resultater - Vestdanmark'!A217</f>
        <v>Bælgsædsmark</v>
      </c>
      <c r="B217" s="99" t="str">
        <f>'Resultater - Vestdanmark'!B217</f>
        <v>Økologisk</v>
      </c>
      <c r="C217" s="99" t="str">
        <f>'Resultater - Vestdanmark'!C217</f>
        <v>JB1-10</v>
      </c>
      <c r="D217" s="99" t="str">
        <f>'Resultater - Vestdanmark'!D217</f>
        <v>Areal-bælgsæd</v>
      </c>
      <c r="E217" s="99" t="str">
        <f>'Resultater - Vestdanmark'!E217</f>
        <v>Hektar</v>
      </c>
      <c r="F217" s="99" t="str">
        <f>'Resultater - Vestdanmark'!F217</f>
        <v>Halm</v>
      </c>
      <c r="G217" s="99" t="str">
        <f>'Resultater - Vestdanmark'!G217</f>
        <v>Ton</v>
      </c>
      <c r="H217" s="298">
        <f>'Resultater - Vestdanmark'!H217+'Resultater - Østdanmark'!H217</f>
        <v>5455.059982585959</v>
      </c>
      <c r="I217" s="299">
        <f>'Resultater - Vestdanmark'!I217+'Resultater - Østdanmark'!I217</f>
        <v>5042.5565831506883</v>
      </c>
      <c r="J217" s="300">
        <f>'Resultater - Vestdanmark'!J217+'Resultater - Østdanmark'!J217</f>
        <v>6559.6019605361198</v>
      </c>
    </row>
    <row r="218" spans="1:10" hidden="1" x14ac:dyDescent="0.25">
      <c r="A218" s="99" t="str">
        <f>'Resultater - Vestdanmark'!A218</f>
        <v>Bælgsædsmark</v>
      </c>
      <c r="B218" s="99" t="str">
        <f>'Resultater - Vestdanmark'!B218</f>
        <v>Økologisk</v>
      </c>
      <c r="C218" s="99" t="str">
        <f>'Resultater - Vestdanmark'!C218</f>
        <v>JB1-10</v>
      </c>
      <c r="D218" s="99" t="str">
        <f>'Resultater - Vestdanmark'!D218</f>
        <v>Areal-bælgsæd</v>
      </c>
      <c r="E218" s="99" t="str">
        <f>'Resultater - Vestdanmark'!E218</f>
        <v>Hektar</v>
      </c>
      <c r="F218" s="99" t="str">
        <f>'Resultater - Vestdanmark'!F218</f>
        <v>Gødning</v>
      </c>
      <c r="G218" s="99" t="str">
        <f>'Resultater - Vestdanmark'!G218</f>
        <v>kg N</v>
      </c>
      <c r="H218" s="298">
        <f>'Resultater - Vestdanmark'!H218+'Resultater - Østdanmark'!H218</f>
        <v>0</v>
      </c>
      <c r="I218" s="299">
        <f>'Resultater - Vestdanmark'!I218+'Resultater - Østdanmark'!I218</f>
        <v>0</v>
      </c>
      <c r="J218" s="300">
        <f>'Resultater - Vestdanmark'!J218+'Resultater - Østdanmark'!J218</f>
        <v>0</v>
      </c>
    </row>
    <row r="219" spans="1:10" hidden="1" x14ac:dyDescent="0.25">
      <c r="A219" s="99" t="str">
        <f>'Resultater - Vestdanmark'!A219</f>
        <v>Bælgsædsmark</v>
      </c>
      <c r="B219" s="99" t="str">
        <f>'Resultater - Vestdanmark'!B219</f>
        <v>Økologisk</v>
      </c>
      <c r="C219" s="99" t="str">
        <f>'Resultater - Vestdanmark'!C219</f>
        <v>JB1-10</v>
      </c>
      <c r="D219" s="99" t="str">
        <f>'Resultater - Vestdanmark'!D219</f>
        <v>Areal-bælgsæd</v>
      </c>
      <c r="E219" s="99" t="str">
        <f>'Resultater - Vestdanmark'!E219</f>
        <v>Hektar</v>
      </c>
      <c r="F219" s="99" t="str">
        <f>'Resultater - Vestdanmark'!F219</f>
        <v>CO2 - atmosfære</v>
      </c>
      <c r="G219" s="99" t="str">
        <f>'Resultater - Vestdanmark'!G219</f>
        <v>t CO2-ækvivalenter</v>
      </c>
      <c r="H219" s="298">
        <f>'Resultater - Vestdanmark'!H219+'Resultater - Østdanmark'!H219</f>
        <v>18988.48660920751</v>
      </c>
      <c r="I219" s="299">
        <f>'Resultater - Vestdanmark'!I219+'Resultater - Østdanmark'!I219</f>
        <v>16500.228076072297</v>
      </c>
      <c r="J219" s="300">
        <f>'Resultater - Vestdanmark'!J219+'Resultater - Østdanmark'!J219</f>
        <v>20878.906367504944</v>
      </c>
    </row>
    <row r="220" spans="1:10" hidden="1" x14ac:dyDescent="0.25">
      <c r="A220" s="99" t="str">
        <f>'Resultater - Vestdanmark'!A220</f>
        <v>Bælgsædsmark</v>
      </c>
      <c r="B220" s="99" t="str">
        <f>'Resultater - Vestdanmark'!B220</f>
        <v>Økologisk</v>
      </c>
      <c r="C220" s="99" t="str">
        <f>'Resultater - Vestdanmark'!C220</f>
        <v>OC6</v>
      </c>
      <c r="D220" s="99" t="str">
        <f>'Resultater - Vestdanmark'!D220</f>
        <v>Areal-bælgsæd</v>
      </c>
      <c r="E220" s="99" t="str">
        <f>'Resultater - Vestdanmark'!E220</f>
        <v>Hektar</v>
      </c>
      <c r="F220" s="99" t="str">
        <f>'Resultater - Vestdanmark'!F220</f>
        <v>Bælgsæd</v>
      </c>
      <c r="G220" s="99" t="str">
        <f>'Resultater - Vestdanmark'!G220</f>
        <v>Ton</v>
      </c>
      <c r="H220" s="298">
        <f>'Resultater - Vestdanmark'!H220+'Resultater - Østdanmark'!H220</f>
        <v>711.46502927780227</v>
      </c>
      <c r="I220" s="299">
        <f>'Resultater - Vestdanmark'!I220+'Resultater - Østdanmark'!I220</f>
        <v>0</v>
      </c>
      <c r="J220" s="300">
        <f>'Resultater - Vestdanmark'!J220+'Resultater - Østdanmark'!J220</f>
        <v>0</v>
      </c>
    </row>
    <row r="221" spans="1:10" x14ac:dyDescent="0.25">
      <c r="A221" s="99" t="str">
        <f>'Resultater - Vestdanmark'!A221</f>
        <v>Bælgsædsmark</v>
      </c>
      <c r="B221" s="99" t="str">
        <f>'Resultater - Vestdanmark'!B221</f>
        <v>Økologisk</v>
      </c>
      <c r="C221" s="99" t="str">
        <f>'Resultater - Vestdanmark'!C221</f>
        <v>OC6</v>
      </c>
      <c r="D221" s="99" t="str">
        <f>'Resultater - Vestdanmark'!D221</f>
        <v>Areal-bælgsæd</v>
      </c>
      <c r="E221" s="99" t="str">
        <f>'Resultater - Vestdanmark'!E221</f>
        <v>Hektar</v>
      </c>
      <c r="F221" s="99" t="str">
        <f>'Resultater - Vestdanmark'!F221</f>
        <v>Halm</v>
      </c>
      <c r="G221" s="99" t="str">
        <f>'Resultater - Vestdanmark'!G221</f>
        <v>Ton</v>
      </c>
      <c r="H221" s="298">
        <f>'Resultater - Vestdanmark'!H221+'Resultater - Østdanmark'!H221</f>
        <v>211.21884395277317</v>
      </c>
      <c r="I221" s="299">
        <f>'Resultater - Vestdanmark'!I221+'Resultater - Østdanmark'!I221</f>
        <v>0</v>
      </c>
      <c r="J221" s="300">
        <f>'Resultater - Vestdanmark'!J221+'Resultater - Østdanmark'!J221</f>
        <v>0</v>
      </c>
    </row>
    <row r="222" spans="1:10" hidden="1" x14ac:dyDescent="0.25">
      <c r="A222" s="99" t="str">
        <f>'Resultater - Vestdanmark'!A222</f>
        <v>Bælgsædsmark</v>
      </c>
      <c r="B222" s="99" t="str">
        <f>'Resultater - Vestdanmark'!B222</f>
        <v>Økologisk</v>
      </c>
      <c r="C222" s="99" t="str">
        <f>'Resultater - Vestdanmark'!C222</f>
        <v>OC6</v>
      </c>
      <c r="D222" s="99" t="str">
        <f>'Resultater - Vestdanmark'!D222</f>
        <v>Areal-bælgsæd</v>
      </c>
      <c r="E222" s="99" t="str">
        <f>'Resultater - Vestdanmark'!E222</f>
        <v>Hektar</v>
      </c>
      <c r="F222" s="99" t="str">
        <f>'Resultater - Vestdanmark'!F222</f>
        <v>Gødning</v>
      </c>
      <c r="G222" s="99" t="str">
        <f>'Resultater - Vestdanmark'!G222</f>
        <v>kg N</v>
      </c>
      <c r="H222" s="298">
        <f>'Resultater - Vestdanmark'!H222+'Resultater - Østdanmark'!H222</f>
        <v>0</v>
      </c>
      <c r="I222" s="299">
        <f>'Resultater - Vestdanmark'!I222+'Resultater - Østdanmark'!I222</f>
        <v>0</v>
      </c>
      <c r="J222" s="300">
        <f>'Resultater - Vestdanmark'!J222+'Resultater - Østdanmark'!J222</f>
        <v>0</v>
      </c>
    </row>
    <row r="223" spans="1:10" hidden="1" x14ac:dyDescent="0.25">
      <c r="A223" s="99" t="str">
        <f>'Resultater - Vestdanmark'!A223</f>
        <v>Bælgsædsmark</v>
      </c>
      <c r="B223" s="99" t="str">
        <f>'Resultater - Vestdanmark'!B223</f>
        <v>Økologisk</v>
      </c>
      <c r="C223" s="99" t="str">
        <f>'Resultater - Vestdanmark'!C223</f>
        <v>OC6</v>
      </c>
      <c r="D223" s="99" t="str">
        <f>'Resultater - Vestdanmark'!D223</f>
        <v>Areal-bælgsæd</v>
      </c>
      <c r="E223" s="99" t="str">
        <f>'Resultater - Vestdanmark'!E223</f>
        <v>Hektar</v>
      </c>
      <c r="F223" s="99" t="str">
        <f>'Resultater - Vestdanmark'!F223</f>
        <v>CO2 - atmosfære</v>
      </c>
      <c r="G223" s="99" t="str">
        <f>'Resultater - Vestdanmark'!G223</f>
        <v>t CO2-ækvivalenter</v>
      </c>
      <c r="H223" s="298">
        <f>'Resultater - Vestdanmark'!H223+'Resultater - Østdanmark'!H223</f>
        <v>4309.2791948325566</v>
      </c>
      <c r="I223" s="299">
        <f>'Resultater - Vestdanmark'!I223+'Resultater - Østdanmark'!I223</f>
        <v>0</v>
      </c>
      <c r="J223" s="300">
        <f>'Resultater - Vestdanmark'!J223+'Resultater - Østdanmark'!J223</f>
        <v>0</v>
      </c>
    </row>
    <row r="224" spans="1:10" hidden="1" x14ac:dyDescent="0.25">
      <c r="A224" s="99" t="str">
        <f>'Resultater - Vestdanmark'!A224</f>
        <v>Bælgsædsmark</v>
      </c>
      <c r="B224" s="99" t="str">
        <f>'Resultater - Vestdanmark'!B224</f>
        <v>Økologisk</v>
      </c>
      <c r="C224" s="99" t="str">
        <f>'Resultater - Vestdanmark'!C224</f>
        <v>OC12</v>
      </c>
      <c r="D224" s="99" t="str">
        <f>'Resultater - Vestdanmark'!D224</f>
        <v>Areal-bælgsæd</v>
      </c>
      <c r="E224" s="99" t="str">
        <f>'Resultater - Vestdanmark'!E224</f>
        <v>Hektar</v>
      </c>
      <c r="F224" s="99" t="str">
        <f>'Resultater - Vestdanmark'!F224</f>
        <v>Bælgsæd</v>
      </c>
      <c r="G224" s="99" t="str">
        <f>'Resultater - Vestdanmark'!G224</f>
        <v>Ton</v>
      </c>
      <c r="H224" s="298">
        <f>'Resultater - Vestdanmark'!H224+'Resultater - Østdanmark'!H224</f>
        <v>282.51100026726743</v>
      </c>
      <c r="I224" s="299">
        <f>'Resultater - Vestdanmark'!I224+'Resultater - Østdanmark'!I224</f>
        <v>0</v>
      </c>
      <c r="J224" s="300">
        <f>'Resultater - Vestdanmark'!J224+'Resultater - Østdanmark'!J224</f>
        <v>0</v>
      </c>
    </row>
    <row r="225" spans="1:10" x14ac:dyDescent="0.25">
      <c r="A225" s="99" t="str">
        <f>'Resultater - Vestdanmark'!A225</f>
        <v>Bælgsædsmark</v>
      </c>
      <c r="B225" s="99" t="str">
        <f>'Resultater - Vestdanmark'!B225</f>
        <v>Økologisk</v>
      </c>
      <c r="C225" s="99" t="str">
        <f>'Resultater - Vestdanmark'!C225</f>
        <v>OC12</v>
      </c>
      <c r="D225" s="99" t="str">
        <f>'Resultater - Vestdanmark'!D225</f>
        <v>Areal-bælgsæd</v>
      </c>
      <c r="E225" s="99" t="str">
        <f>'Resultater - Vestdanmark'!E225</f>
        <v>Hektar</v>
      </c>
      <c r="F225" s="99" t="str">
        <f>'Resultater - Vestdanmark'!F225</f>
        <v>Halm</v>
      </c>
      <c r="G225" s="99" t="str">
        <f>'Resultater - Vestdanmark'!G225</f>
        <v>Ton</v>
      </c>
      <c r="H225" s="298">
        <f>'Resultater - Vestdanmark'!H225+'Resultater - Østdanmark'!H225</f>
        <v>83.871510790861564</v>
      </c>
      <c r="I225" s="299">
        <f>'Resultater - Vestdanmark'!I225+'Resultater - Østdanmark'!I225</f>
        <v>0</v>
      </c>
      <c r="J225" s="300">
        <f>'Resultater - Vestdanmark'!J225+'Resultater - Østdanmark'!J225</f>
        <v>0</v>
      </c>
    </row>
    <row r="226" spans="1:10" hidden="1" x14ac:dyDescent="0.25">
      <c r="A226" s="99" t="str">
        <f>'Resultater - Vestdanmark'!A226</f>
        <v>Bælgsædsmark</v>
      </c>
      <c r="B226" s="99" t="str">
        <f>'Resultater - Vestdanmark'!B226</f>
        <v>Økologisk</v>
      </c>
      <c r="C226" s="99" t="str">
        <f>'Resultater - Vestdanmark'!C226</f>
        <v>OC12</v>
      </c>
      <c r="D226" s="99" t="str">
        <f>'Resultater - Vestdanmark'!D226</f>
        <v>Areal-bælgsæd</v>
      </c>
      <c r="E226" s="99" t="str">
        <f>'Resultater - Vestdanmark'!E226</f>
        <v>Hektar</v>
      </c>
      <c r="F226" s="99" t="str">
        <f>'Resultater - Vestdanmark'!F226</f>
        <v>Gødning</v>
      </c>
      <c r="G226" s="99" t="str">
        <f>'Resultater - Vestdanmark'!G226</f>
        <v>kg N</v>
      </c>
      <c r="H226" s="298">
        <f>'Resultater - Vestdanmark'!H226+'Resultater - Østdanmark'!H226</f>
        <v>0</v>
      </c>
      <c r="I226" s="299">
        <f>'Resultater - Vestdanmark'!I226+'Resultater - Østdanmark'!I226</f>
        <v>0</v>
      </c>
      <c r="J226" s="300">
        <f>'Resultater - Vestdanmark'!J226+'Resultater - Østdanmark'!J226</f>
        <v>0</v>
      </c>
    </row>
    <row r="227" spans="1:10" hidden="1" x14ac:dyDescent="0.25">
      <c r="A227" s="99" t="str">
        <f>'Resultater - Vestdanmark'!A227</f>
        <v>Bælgsædsmark</v>
      </c>
      <c r="B227" s="99" t="str">
        <f>'Resultater - Vestdanmark'!B227</f>
        <v>Økologisk</v>
      </c>
      <c r="C227" s="99" t="str">
        <f>'Resultater - Vestdanmark'!C227</f>
        <v>OC12</v>
      </c>
      <c r="D227" s="99" t="str">
        <f>'Resultater - Vestdanmark'!D227</f>
        <v>Areal-bælgsæd</v>
      </c>
      <c r="E227" s="99" t="str">
        <f>'Resultater - Vestdanmark'!E227</f>
        <v>Hektar</v>
      </c>
      <c r="F227" s="99" t="str">
        <f>'Resultater - Vestdanmark'!F227</f>
        <v>CO2 - atmosfære</v>
      </c>
      <c r="G227" s="99" t="str">
        <f>'Resultater - Vestdanmark'!G227</f>
        <v>t CO2-ækvivalenter</v>
      </c>
      <c r="H227" s="298">
        <f>'Resultater - Vestdanmark'!H227+'Resultater - Østdanmark'!H227</f>
        <v>3755.926129571902</v>
      </c>
      <c r="I227" s="299">
        <f>'Resultater - Vestdanmark'!I227+'Resultater - Østdanmark'!I227</f>
        <v>0</v>
      </c>
      <c r="J227" s="300">
        <f>'Resultater - Vestdanmark'!J227+'Resultater - Østdanmark'!J227</f>
        <v>0</v>
      </c>
    </row>
    <row r="228" spans="1:10" hidden="1" x14ac:dyDescent="0.25">
      <c r="A228" s="99" t="str">
        <f>'Resultater - Vestdanmark'!A228</f>
        <v>Roemark</v>
      </c>
      <c r="B228" s="99" t="str">
        <f>'Resultater - Vestdanmark'!B228</f>
        <v>Konventionel</v>
      </c>
      <c r="C228" s="99" t="str">
        <f>'Resultater - Vestdanmark'!C228</f>
        <v>JB1-10</v>
      </c>
      <c r="D228" s="99" t="str">
        <f>'Resultater - Vestdanmark'!D228</f>
        <v>Areal-roer</v>
      </c>
      <c r="E228" s="99" t="str">
        <f>'Resultater - Vestdanmark'!E228</f>
        <v>Hektar</v>
      </c>
      <c r="F228" s="99" t="str">
        <f>'Resultater - Vestdanmark'!F228</f>
        <v>Roer</v>
      </c>
      <c r="G228" s="99" t="str">
        <f>'Resultater - Vestdanmark'!G228</f>
        <v>Ton</v>
      </c>
      <c r="H228" s="298">
        <f>'Resultater - Vestdanmark'!H228+'Resultater - Østdanmark'!H228</f>
        <v>2432067.6197482329</v>
      </c>
      <c r="I228" s="299">
        <f>'Resultater - Vestdanmark'!I228+'Resultater - Østdanmark'!I228</f>
        <v>2212519.888419156</v>
      </c>
      <c r="J228" s="300">
        <f>'Resultater - Vestdanmark'!J228+'Resultater - Østdanmark'!J228</f>
        <v>2144457.6309224539</v>
      </c>
    </row>
    <row r="229" spans="1:10" hidden="1" x14ac:dyDescent="0.25">
      <c r="A229" s="99" t="str">
        <f>'Resultater - Vestdanmark'!A229</f>
        <v>Roemark</v>
      </c>
      <c r="B229" s="99" t="str">
        <f>'Resultater - Vestdanmark'!B229</f>
        <v>Konventionel</v>
      </c>
      <c r="C229" s="99" t="str">
        <f>'Resultater - Vestdanmark'!C229</f>
        <v>JB1-10</v>
      </c>
      <c r="D229" s="99" t="str">
        <f>'Resultater - Vestdanmark'!D229</f>
        <v>Areal-roer</v>
      </c>
      <c r="E229" s="99" t="str">
        <f>'Resultater - Vestdanmark'!E229</f>
        <v>Hektar</v>
      </c>
      <c r="F229" s="99" t="str">
        <f>'Resultater - Vestdanmark'!F229</f>
        <v>Gødning</v>
      </c>
      <c r="G229" s="99" t="str">
        <f>'Resultater - Vestdanmark'!G229</f>
        <v>kg N</v>
      </c>
      <c r="H229" s="298">
        <f>'Resultater - Vestdanmark'!H229+'Resultater - Østdanmark'!H229</f>
        <v>-4040788.3212018311</v>
      </c>
      <c r="I229" s="299">
        <f>'Resultater - Vestdanmark'!I229+'Resultater - Østdanmark'!I229</f>
        <v>-3429121.3369832165</v>
      </c>
      <c r="J229" s="300">
        <f>'Resultater - Vestdanmark'!J229+'Resultater - Østdanmark'!J229</f>
        <v>-3239032.0071627805</v>
      </c>
    </row>
    <row r="230" spans="1:10" hidden="1" x14ac:dyDescent="0.25">
      <c r="A230" s="99" t="str">
        <f>'Resultater - Vestdanmark'!A230</f>
        <v>Roemark</v>
      </c>
      <c r="B230" s="99" t="str">
        <f>'Resultater - Vestdanmark'!B230</f>
        <v>Konventionel</v>
      </c>
      <c r="C230" s="99" t="str">
        <f>'Resultater - Vestdanmark'!C230</f>
        <v>JB1-10</v>
      </c>
      <c r="D230" s="99" t="str">
        <f>'Resultater - Vestdanmark'!D230</f>
        <v>Areal-roer</v>
      </c>
      <c r="E230" s="99" t="str">
        <f>'Resultater - Vestdanmark'!E230</f>
        <v>Hektar</v>
      </c>
      <c r="F230" s="99" t="str">
        <f>'Resultater - Vestdanmark'!F230</f>
        <v>CO2 - atmosfære</v>
      </c>
      <c r="G230" s="99" t="str">
        <f>'Resultater - Vestdanmark'!G230</f>
        <v>t CO2-ækvivalenter</v>
      </c>
      <c r="H230" s="298">
        <f>'Resultater - Vestdanmark'!H230+'Resultater - Østdanmark'!H230</f>
        <v>68055.686267538025</v>
      </c>
      <c r="I230" s="299">
        <f>'Resultater - Vestdanmark'!I230+'Resultater - Østdanmark'!I230</f>
        <v>57753.88051350334</v>
      </c>
      <c r="J230" s="300">
        <f>'Resultater - Vestdanmark'!J230+'Resultater - Østdanmark'!J230</f>
        <v>54552.361709564007</v>
      </c>
    </row>
    <row r="231" spans="1:10" hidden="1" x14ac:dyDescent="0.25">
      <c r="A231" s="99" t="str">
        <f>'Resultater - Vestdanmark'!A231</f>
        <v>Roemark</v>
      </c>
      <c r="B231" s="99" t="str">
        <f>'Resultater - Vestdanmark'!B231</f>
        <v>Konventionel</v>
      </c>
      <c r="C231" s="99" t="str">
        <f>'Resultater - Vestdanmark'!C231</f>
        <v>OC6</v>
      </c>
      <c r="D231" s="99" t="str">
        <f>'Resultater - Vestdanmark'!D231</f>
        <v>Areal-roer</v>
      </c>
      <c r="E231" s="99" t="str">
        <f>'Resultater - Vestdanmark'!E231</f>
        <v>Hektar</v>
      </c>
      <c r="F231" s="99" t="str">
        <f>'Resultater - Vestdanmark'!F231</f>
        <v>Roer</v>
      </c>
      <c r="G231" s="99" t="str">
        <f>'Resultater - Vestdanmark'!G231</f>
        <v>Ton</v>
      </c>
      <c r="H231" s="298">
        <f>'Resultater - Vestdanmark'!H231+'Resultater - Østdanmark'!H231</f>
        <v>13122.873542371528</v>
      </c>
      <c r="I231" s="299">
        <f>'Resultater - Vestdanmark'!I231+'Resultater - Østdanmark'!I231</f>
        <v>0</v>
      </c>
      <c r="J231" s="300">
        <f>'Resultater - Vestdanmark'!J231+'Resultater - Østdanmark'!J231</f>
        <v>0</v>
      </c>
    </row>
    <row r="232" spans="1:10" hidden="1" x14ac:dyDescent="0.25">
      <c r="A232" s="99" t="str">
        <f>'Resultater - Vestdanmark'!A232</f>
        <v>Roemark</v>
      </c>
      <c r="B232" s="99" t="str">
        <f>'Resultater - Vestdanmark'!B232</f>
        <v>Konventionel</v>
      </c>
      <c r="C232" s="99" t="str">
        <f>'Resultater - Vestdanmark'!C232</f>
        <v>OC6</v>
      </c>
      <c r="D232" s="99" t="str">
        <f>'Resultater - Vestdanmark'!D232</f>
        <v>Areal-roer</v>
      </c>
      <c r="E232" s="99" t="str">
        <f>'Resultater - Vestdanmark'!E232</f>
        <v>Hektar</v>
      </c>
      <c r="F232" s="99" t="str">
        <f>'Resultater - Vestdanmark'!F232</f>
        <v>Gødning</v>
      </c>
      <c r="G232" s="99" t="str">
        <f>'Resultater - Vestdanmark'!G232</f>
        <v>kg N</v>
      </c>
      <c r="H232" s="298">
        <f>'Resultater - Vestdanmark'!H232+'Resultater - Østdanmark'!H232</f>
        <v>-14131.676367037673</v>
      </c>
      <c r="I232" s="299">
        <f>'Resultater - Vestdanmark'!I232+'Resultater - Østdanmark'!I232</f>
        <v>0</v>
      </c>
      <c r="J232" s="300">
        <f>'Resultater - Vestdanmark'!J232+'Resultater - Østdanmark'!J232</f>
        <v>0</v>
      </c>
    </row>
    <row r="233" spans="1:10" hidden="1" x14ac:dyDescent="0.25">
      <c r="A233" s="99" t="str">
        <f>'Resultater - Vestdanmark'!A233</f>
        <v>Roemark</v>
      </c>
      <c r="B233" s="99" t="str">
        <f>'Resultater - Vestdanmark'!B233</f>
        <v>Konventionel</v>
      </c>
      <c r="C233" s="99" t="str">
        <f>'Resultater - Vestdanmark'!C233</f>
        <v>OC6</v>
      </c>
      <c r="D233" s="99" t="str">
        <f>'Resultater - Vestdanmark'!D233</f>
        <v>Areal-roer</v>
      </c>
      <c r="E233" s="99" t="str">
        <f>'Resultater - Vestdanmark'!E233</f>
        <v>Hektar</v>
      </c>
      <c r="F233" s="99" t="str">
        <f>'Resultater - Vestdanmark'!F233</f>
        <v>CO2 - atmosfære</v>
      </c>
      <c r="G233" s="99" t="str">
        <f>'Resultater - Vestdanmark'!G233</f>
        <v>t CO2-ækvivalenter</v>
      </c>
      <c r="H233" s="298">
        <f>'Resultater - Vestdanmark'!H233+'Resultater - Østdanmark'!H233</f>
        <v>2152.2804701131786</v>
      </c>
      <c r="I233" s="299">
        <f>'Resultater - Vestdanmark'!I233+'Resultater - Østdanmark'!I233</f>
        <v>0</v>
      </c>
      <c r="J233" s="300">
        <f>'Resultater - Vestdanmark'!J233+'Resultater - Østdanmark'!J233</f>
        <v>0</v>
      </c>
    </row>
    <row r="234" spans="1:10" hidden="1" x14ac:dyDescent="0.25">
      <c r="A234" s="99" t="str">
        <f>'Resultater - Vestdanmark'!A234</f>
        <v>Roemark</v>
      </c>
      <c r="B234" s="99" t="str">
        <f>'Resultater - Vestdanmark'!B234</f>
        <v>Konventionel</v>
      </c>
      <c r="C234" s="99" t="str">
        <f>'Resultater - Vestdanmark'!C234</f>
        <v>OC12</v>
      </c>
      <c r="D234" s="99" t="str">
        <f>'Resultater - Vestdanmark'!D234</f>
        <v>Areal-roer</v>
      </c>
      <c r="E234" s="99" t="str">
        <f>'Resultater - Vestdanmark'!E234</f>
        <v>Hektar</v>
      </c>
      <c r="F234" s="99" t="str">
        <f>'Resultater - Vestdanmark'!F234</f>
        <v>Roer</v>
      </c>
      <c r="G234" s="99" t="str">
        <f>'Resultater - Vestdanmark'!G234</f>
        <v>Ton</v>
      </c>
      <c r="H234" s="298">
        <f>'Resultater - Vestdanmark'!H234+'Resultater - Østdanmark'!H234</f>
        <v>5615.3101846932177</v>
      </c>
      <c r="I234" s="299">
        <f>'Resultater - Vestdanmark'!I234+'Resultater - Østdanmark'!I234</f>
        <v>0</v>
      </c>
      <c r="J234" s="300">
        <f>'Resultater - Vestdanmark'!J234+'Resultater - Østdanmark'!J234</f>
        <v>0</v>
      </c>
    </row>
    <row r="235" spans="1:10" hidden="1" x14ac:dyDescent="0.25">
      <c r="A235" s="99" t="str">
        <f>'Resultater - Vestdanmark'!A235</f>
        <v>Roemark</v>
      </c>
      <c r="B235" s="99" t="str">
        <f>'Resultater - Vestdanmark'!B235</f>
        <v>Konventionel</v>
      </c>
      <c r="C235" s="99" t="str">
        <f>'Resultater - Vestdanmark'!C235</f>
        <v>OC12</v>
      </c>
      <c r="D235" s="99" t="str">
        <f>'Resultater - Vestdanmark'!D235</f>
        <v>Areal-roer</v>
      </c>
      <c r="E235" s="99" t="str">
        <f>'Resultater - Vestdanmark'!E235</f>
        <v>Hektar</v>
      </c>
      <c r="F235" s="99" t="str">
        <f>'Resultater - Vestdanmark'!F235</f>
        <v>Gødning</v>
      </c>
      <c r="G235" s="99" t="str">
        <f>'Resultater - Vestdanmark'!G235</f>
        <v>kg N</v>
      </c>
      <c r="H235" s="298">
        <f>'Resultater - Vestdanmark'!H235+'Resultater - Østdanmark'!H235</f>
        <v>-3702.2322974288109</v>
      </c>
      <c r="I235" s="299">
        <f>'Resultater - Vestdanmark'!I235+'Resultater - Østdanmark'!I235</f>
        <v>0</v>
      </c>
      <c r="J235" s="300">
        <f>'Resultater - Vestdanmark'!J235+'Resultater - Østdanmark'!J235</f>
        <v>0</v>
      </c>
    </row>
    <row r="236" spans="1:10" hidden="1" x14ac:dyDescent="0.25">
      <c r="A236" s="99" t="str">
        <f>'Resultater - Vestdanmark'!A236</f>
        <v>Roemark</v>
      </c>
      <c r="B236" s="99" t="str">
        <f>'Resultater - Vestdanmark'!B236</f>
        <v>Konventionel</v>
      </c>
      <c r="C236" s="99" t="str">
        <f>'Resultater - Vestdanmark'!C236</f>
        <v>OC12</v>
      </c>
      <c r="D236" s="99" t="str">
        <f>'Resultater - Vestdanmark'!D236</f>
        <v>Areal-roer</v>
      </c>
      <c r="E236" s="99" t="str">
        <f>'Resultater - Vestdanmark'!E236</f>
        <v>Hektar</v>
      </c>
      <c r="F236" s="99" t="str">
        <f>'Resultater - Vestdanmark'!F236</f>
        <v>CO2 - atmosfære</v>
      </c>
      <c r="G236" s="99" t="str">
        <f>'Resultater - Vestdanmark'!G236</f>
        <v>t CO2-ækvivalenter</v>
      </c>
      <c r="H236" s="298">
        <f>'Resultater - Vestdanmark'!H236+'Resultater - Østdanmark'!H236</f>
        <v>2021.5024736231753</v>
      </c>
      <c r="I236" s="299">
        <f>'Resultater - Vestdanmark'!I236+'Resultater - Østdanmark'!I236</f>
        <v>0</v>
      </c>
      <c r="J236" s="300">
        <f>'Resultater - Vestdanmark'!J236+'Resultater - Østdanmark'!J236</f>
        <v>0</v>
      </c>
    </row>
    <row r="237" spans="1:10" hidden="1" x14ac:dyDescent="0.25">
      <c r="A237" s="99" t="str">
        <f>'Resultater - Vestdanmark'!A237</f>
        <v>Roemark</v>
      </c>
      <c r="B237" s="99" t="str">
        <f>'Resultater - Vestdanmark'!B237</f>
        <v>Økologisk</v>
      </c>
      <c r="C237" s="99" t="str">
        <f>'Resultater - Vestdanmark'!C237</f>
        <v>JB1-10</v>
      </c>
      <c r="D237" s="99" t="str">
        <f>'Resultater - Vestdanmark'!D237</f>
        <v>Areal-roer</v>
      </c>
      <c r="E237" s="99" t="str">
        <f>'Resultater - Vestdanmark'!E237</f>
        <v>Hektar</v>
      </c>
      <c r="F237" s="99" t="str">
        <f>'Resultater - Vestdanmark'!F237</f>
        <v>Roer</v>
      </c>
      <c r="G237" s="99" t="str">
        <f>'Resultater - Vestdanmark'!G237</f>
        <v>Ton</v>
      </c>
      <c r="H237" s="298">
        <f>'Resultater - Vestdanmark'!H237+'Resultater - Østdanmark'!H237</f>
        <v>177251.6737598984</v>
      </c>
      <c r="I237" s="299">
        <f>'Resultater - Vestdanmark'!I237+'Resultater - Østdanmark'!I237</f>
        <v>196824.7461431839</v>
      </c>
      <c r="J237" s="300">
        <f>'Resultater - Vestdanmark'!J237+'Resultater - Østdanmark'!J237</f>
        <v>259284.42264789666</v>
      </c>
    </row>
    <row r="238" spans="1:10" hidden="1" x14ac:dyDescent="0.25">
      <c r="A238" s="99" t="str">
        <f>'Resultater - Vestdanmark'!A238</f>
        <v>Roemark</v>
      </c>
      <c r="B238" s="99" t="str">
        <f>'Resultater - Vestdanmark'!B238</f>
        <v>Økologisk</v>
      </c>
      <c r="C238" s="99" t="str">
        <f>'Resultater - Vestdanmark'!C238</f>
        <v>JB1-10</v>
      </c>
      <c r="D238" s="99" t="str">
        <f>'Resultater - Vestdanmark'!D238</f>
        <v>Areal-roer</v>
      </c>
      <c r="E238" s="99" t="str">
        <f>'Resultater - Vestdanmark'!E238</f>
        <v>Hektar</v>
      </c>
      <c r="F238" s="99" t="str">
        <f>'Resultater - Vestdanmark'!F238</f>
        <v>Gødning</v>
      </c>
      <c r="G238" s="99" t="str">
        <f>'Resultater - Vestdanmark'!G238</f>
        <v>kg N</v>
      </c>
      <c r="H238" s="298">
        <f>'Resultater - Vestdanmark'!H238+'Resultater - Østdanmark'!H238</f>
        <v>-294496.94877999288</v>
      </c>
      <c r="I238" s="299">
        <f>'Resultater - Vestdanmark'!I238+'Resultater - Østdanmark'!I238</f>
        <v>-305053.04841717746</v>
      </c>
      <c r="J238" s="300">
        <f>'Resultater - Vestdanmark'!J238+'Resultater - Østdanmark'!J238</f>
        <v>-391628.41541149974</v>
      </c>
    </row>
    <row r="239" spans="1:10" hidden="1" x14ac:dyDescent="0.25">
      <c r="A239" s="99" t="str">
        <f>'Resultater - Vestdanmark'!A239</f>
        <v>Roemark</v>
      </c>
      <c r="B239" s="99" t="str">
        <f>'Resultater - Vestdanmark'!B239</f>
        <v>Økologisk</v>
      </c>
      <c r="C239" s="99" t="str">
        <f>'Resultater - Vestdanmark'!C239</f>
        <v>JB1-10</v>
      </c>
      <c r="D239" s="99" t="str">
        <f>'Resultater - Vestdanmark'!D239</f>
        <v>Areal-roer</v>
      </c>
      <c r="E239" s="99" t="str">
        <f>'Resultater - Vestdanmark'!E239</f>
        <v>Hektar</v>
      </c>
      <c r="F239" s="99" t="str">
        <f>'Resultater - Vestdanmark'!F239</f>
        <v>CO2 - atmosfære</v>
      </c>
      <c r="G239" s="99" t="str">
        <f>'Resultater - Vestdanmark'!G239</f>
        <v>t CO2-ækvivalenter</v>
      </c>
      <c r="H239" s="298">
        <f>'Resultater - Vestdanmark'!H239+'Resultater - Østdanmark'!H239</f>
        <v>8701.7031017897862</v>
      </c>
      <c r="I239" s="299">
        <f>'Resultater - Vestdanmark'!I239+'Resultater - Østdanmark'!I239</f>
        <v>9013.6114096219098</v>
      </c>
      <c r="J239" s="300">
        <f>'Resultater - Vestdanmark'!J239+'Resultater - Østdanmark'!J239</f>
        <v>11571.713089907516</v>
      </c>
    </row>
    <row r="240" spans="1:10" hidden="1" x14ac:dyDescent="0.25">
      <c r="A240" s="99" t="str">
        <f>'Resultater - Vestdanmark'!A240</f>
        <v>Roemark</v>
      </c>
      <c r="B240" s="99" t="str">
        <f>'Resultater - Vestdanmark'!B240</f>
        <v>Økologisk</v>
      </c>
      <c r="C240" s="99" t="str">
        <f>'Resultater - Vestdanmark'!C240</f>
        <v>OC6</v>
      </c>
      <c r="D240" s="99" t="str">
        <f>'Resultater - Vestdanmark'!D240</f>
        <v>Areal-roer</v>
      </c>
      <c r="E240" s="99" t="str">
        <f>'Resultater - Vestdanmark'!E240</f>
        <v>Hektar</v>
      </c>
      <c r="F240" s="99" t="str">
        <f>'Resultater - Vestdanmark'!F240</f>
        <v>Roer</v>
      </c>
      <c r="G240" s="99" t="str">
        <f>'Resultater - Vestdanmark'!G240</f>
        <v>Ton</v>
      </c>
      <c r="H240" s="298">
        <f>'Resultater - Vestdanmark'!H240+'Resultater - Østdanmark'!H240</f>
        <v>956.40897524289744</v>
      </c>
      <c r="I240" s="299">
        <f>'Resultater - Vestdanmark'!I240+'Resultater - Østdanmark'!I240</f>
        <v>0</v>
      </c>
      <c r="J240" s="300">
        <f>'Resultater - Vestdanmark'!J240+'Resultater - Østdanmark'!J240</f>
        <v>0</v>
      </c>
    </row>
    <row r="241" spans="1:10" hidden="1" x14ac:dyDescent="0.25">
      <c r="A241" s="99" t="str">
        <f>'Resultater - Vestdanmark'!A241</f>
        <v>Roemark</v>
      </c>
      <c r="B241" s="99" t="str">
        <f>'Resultater - Vestdanmark'!B241</f>
        <v>Økologisk</v>
      </c>
      <c r="C241" s="99" t="str">
        <f>'Resultater - Vestdanmark'!C241</f>
        <v>OC6</v>
      </c>
      <c r="D241" s="99" t="str">
        <f>'Resultater - Vestdanmark'!D241</f>
        <v>Areal-roer</v>
      </c>
      <c r="E241" s="99" t="str">
        <f>'Resultater - Vestdanmark'!E241</f>
        <v>Hektar</v>
      </c>
      <c r="F241" s="99" t="str">
        <f>'Resultater - Vestdanmark'!F241</f>
        <v>Gødning</v>
      </c>
      <c r="G241" s="99" t="str">
        <f>'Resultater - Vestdanmark'!G241</f>
        <v>kg N</v>
      </c>
      <c r="H241" s="298">
        <f>'Resultater - Vestdanmark'!H241+'Resultater - Østdanmark'!H241</f>
        <v>-1029.9315976049757</v>
      </c>
      <c r="I241" s="299">
        <f>'Resultater - Vestdanmark'!I241+'Resultater - Østdanmark'!I241</f>
        <v>0</v>
      </c>
      <c r="J241" s="300">
        <f>'Resultater - Vestdanmark'!J241+'Resultater - Østdanmark'!J241</f>
        <v>0</v>
      </c>
    </row>
    <row r="242" spans="1:10" hidden="1" x14ac:dyDescent="0.25">
      <c r="A242" s="99" t="str">
        <f>'Resultater - Vestdanmark'!A242</f>
        <v>Roemark</v>
      </c>
      <c r="B242" s="99" t="str">
        <f>'Resultater - Vestdanmark'!B242</f>
        <v>Økologisk</v>
      </c>
      <c r="C242" s="99" t="str">
        <f>'Resultater - Vestdanmark'!C242</f>
        <v>OC6</v>
      </c>
      <c r="D242" s="99" t="str">
        <f>'Resultater - Vestdanmark'!D242</f>
        <v>Areal-roer</v>
      </c>
      <c r="E242" s="99" t="str">
        <f>'Resultater - Vestdanmark'!E242</f>
        <v>Hektar</v>
      </c>
      <c r="F242" s="99" t="str">
        <f>'Resultater - Vestdanmark'!F242</f>
        <v>CO2 - atmosfære</v>
      </c>
      <c r="G242" s="99" t="str">
        <f>'Resultater - Vestdanmark'!G242</f>
        <v>t CO2-ækvivalenter</v>
      </c>
      <c r="H242" s="298">
        <f>'Resultater - Vestdanmark'!H242+'Resultater - Østdanmark'!H242</f>
        <v>275.19384007209339</v>
      </c>
      <c r="I242" s="299">
        <f>'Resultater - Vestdanmark'!I242+'Resultater - Østdanmark'!I242</f>
        <v>0</v>
      </c>
      <c r="J242" s="300">
        <f>'Resultater - Vestdanmark'!J242+'Resultater - Østdanmark'!J242</f>
        <v>0</v>
      </c>
    </row>
    <row r="243" spans="1:10" hidden="1" x14ac:dyDescent="0.25">
      <c r="A243" s="99" t="str">
        <f>'Resultater - Vestdanmark'!A243</f>
        <v>Roemark</v>
      </c>
      <c r="B243" s="99" t="str">
        <f>'Resultater - Vestdanmark'!B243</f>
        <v>Økologisk</v>
      </c>
      <c r="C243" s="99" t="str">
        <f>'Resultater - Vestdanmark'!C243</f>
        <v>OC12</v>
      </c>
      <c r="D243" s="99" t="str">
        <f>'Resultater - Vestdanmark'!D243</f>
        <v>Areal-roer</v>
      </c>
      <c r="E243" s="99" t="str">
        <f>'Resultater - Vestdanmark'!E243</f>
        <v>Hektar</v>
      </c>
      <c r="F243" s="99" t="str">
        <f>'Resultater - Vestdanmark'!F243</f>
        <v>Roer</v>
      </c>
      <c r="G243" s="99" t="str">
        <f>'Resultater - Vestdanmark'!G243</f>
        <v>Ton</v>
      </c>
      <c r="H243" s="298">
        <f>'Resultater - Vestdanmark'!H243+'Resultater - Østdanmark'!H243</f>
        <v>409.24977613118875</v>
      </c>
      <c r="I243" s="299">
        <f>'Resultater - Vestdanmark'!I243+'Resultater - Østdanmark'!I243</f>
        <v>0</v>
      </c>
      <c r="J243" s="300">
        <f>'Resultater - Vestdanmark'!J243+'Resultater - Østdanmark'!J243</f>
        <v>0</v>
      </c>
    </row>
    <row r="244" spans="1:10" hidden="1" x14ac:dyDescent="0.25">
      <c r="A244" s="99" t="str">
        <f>'Resultater - Vestdanmark'!A244</f>
        <v>Roemark</v>
      </c>
      <c r="B244" s="99" t="str">
        <f>'Resultater - Vestdanmark'!B244</f>
        <v>Økologisk</v>
      </c>
      <c r="C244" s="99" t="str">
        <f>'Resultater - Vestdanmark'!C244</f>
        <v>OC12</v>
      </c>
      <c r="D244" s="99" t="str">
        <f>'Resultater - Vestdanmark'!D244</f>
        <v>Areal-roer</v>
      </c>
      <c r="E244" s="99" t="str">
        <f>'Resultater - Vestdanmark'!E244</f>
        <v>Hektar</v>
      </c>
      <c r="F244" s="99" t="str">
        <f>'Resultater - Vestdanmark'!F244</f>
        <v>Gødning</v>
      </c>
      <c r="G244" s="99" t="str">
        <f>'Resultater - Vestdanmark'!G244</f>
        <v>kg N</v>
      </c>
      <c r="H244" s="298">
        <f>'Resultater - Vestdanmark'!H244+'Resultater - Østdanmark'!H244</f>
        <v>-269.82262583436852</v>
      </c>
      <c r="I244" s="299">
        <f>'Resultater - Vestdanmark'!I244+'Resultater - Østdanmark'!I244</f>
        <v>0</v>
      </c>
      <c r="J244" s="300">
        <f>'Resultater - Vestdanmark'!J244+'Resultater - Østdanmark'!J244</f>
        <v>0</v>
      </c>
    </row>
    <row r="245" spans="1:10" hidden="1" x14ac:dyDescent="0.25">
      <c r="A245" s="99" t="str">
        <f>'Resultater - Vestdanmark'!A245</f>
        <v>Roemark</v>
      </c>
      <c r="B245" s="99" t="str">
        <f>'Resultater - Vestdanmark'!B245</f>
        <v>Økologisk</v>
      </c>
      <c r="C245" s="99" t="str">
        <f>'Resultater - Vestdanmark'!C245</f>
        <v>OC12</v>
      </c>
      <c r="D245" s="99" t="str">
        <f>'Resultater - Vestdanmark'!D245</f>
        <v>Areal-roer</v>
      </c>
      <c r="E245" s="99" t="str">
        <f>'Resultater - Vestdanmark'!E245</f>
        <v>Hektar</v>
      </c>
      <c r="F245" s="99" t="str">
        <f>'Resultater - Vestdanmark'!F245</f>
        <v>CO2 - atmosfære</v>
      </c>
      <c r="G245" s="99" t="str">
        <f>'Resultater - Vestdanmark'!G245</f>
        <v>t CO2-ækvivalenter</v>
      </c>
      <c r="H245" s="298">
        <f>'Resultater - Vestdanmark'!H245+'Resultater - Østdanmark'!H245</f>
        <v>258.47236740588181</v>
      </c>
      <c r="I245" s="299">
        <f>'Resultater - Vestdanmark'!I245+'Resultater - Østdanmark'!I245</f>
        <v>0</v>
      </c>
      <c r="J245" s="300">
        <f>'Resultater - Vestdanmark'!J245+'Resultater - Østdanmark'!J245</f>
        <v>0</v>
      </c>
    </row>
    <row r="246" spans="1:10" hidden="1" x14ac:dyDescent="0.25">
      <c r="A246" s="99" t="str">
        <f>'Resultater - Vestdanmark'!A246</f>
        <v>Frugtmark</v>
      </c>
      <c r="B246" s="99" t="str">
        <f>'Resultater - Vestdanmark'!B246</f>
        <v>Konventionel</v>
      </c>
      <c r="C246" s="99" t="str">
        <f>'Resultater - Vestdanmark'!C246</f>
        <v>JB1-10</v>
      </c>
      <c r="D246" s="99" t="str">
        <f>'Resultater - Vestdanmark'!D246</f>
        <v>Areal-frugt</v>
      </c>
      <c r="E246" s="99" t="str">
        <f>'Resultater - Vestdanmark'!E246</f>
        <v>Hektar</v>
      </c>
      <c r="F246" s="99" t="str">
        <f>'Resultater - Vestdanmark'!F246</f>
        <v>Frugt</v>
      </c>
      <c r="G246" s="99" t="str">
        <f>'Resultater - Vestdanmark'!G246</f>
        <v>Ton</v>
      </c>
      <c r="H246" s="298">
        <f>'Resultater - Vestdanmark'!H246+'Resultater - Østdanmark'!H246</f>
        <v>37068.149941239346</v>
      </c>
      <c r="I246" s="299">
        <f>'Resultater - Vestdanmark'!I246+'Resultater - Østdanmark'!I246</f>
        <v>30357.285777044075</v>
      </c>
      <c r="J246" s="300">
        <f>'Resultater - Vestdanmark'!J246+'Resultater - Østdanmark'!J246</f>
        <v>29179.609250174624</v>
      </c>
    </row>
    <row r="247" spans="1:10" hidden="1" x14ac:dyDescent="0.25">
      <c r="A247" s="99" t="str">
        <f>'Resultater - Vestdanmark'!A247</f>
        <v>Frugtmark</v>
      </c>
      <c r="B247" s="99" t="str">
        <f>'Resultater - Vestdanmark'!B247</f>
        <v>Konventionel</v>
      </c>
      <c r="C247" s="99" t="str">
        <f>'Resultater - Vestdanmark'!C247</f>
        <v>JB1-10</v>
      </c>
      <c r="D247" s="99" t="str">
        <f>'Resultater - Vestdanmark'!D247</f>
        <v>Areal-frugt</v>
      </c>
      <c r="E247" s="99" t="str">
        <f>'Resultater - Vestdanmark'!E247</f>
        <v>Hektar</v>
      </c>
      <c r="F247" s="99" t="str">
        <f>'Resultater - Vestdanmark'!F247</f>
        <v>Gødning</v>
      </c>
      <c r="G247" s="99" t="str">
        <f>'Resultater - Vestdanmark'!G247</f>
        <v>kg N</v>
      </c>
      <c r="H247" s="298">
        <f>'Resultater - Vestdanmark'!H247+'Resultater - Østdanmark'!H247</f>
        <v>-611253.35592149675</v>
      </c>
      <c r="I247" s="299">
        <f>'Resultater - Vestdanmark'!I247+'Resultater - Østdanmark'!I247</f>
        <v>-466969.48218120635</v>
      </c>
      <c r="J247" s="300">
        <f>'Resultater - Vestdanmark'!J247+'Resultater - Østdanmark'!J247</f>
        <v>-437428.55712864833</v>
      </c>
    </row>
    <row r="248" spans="1:10" hidden="1" x14ac:dyDescent="0.25">
      <c r="A248" s="99" t="str">
        <f>'Resultater - Vestdanmark'!A248</f>
        <v>Frugtmark</v>
      </c>
      <c r="B248" s="99" t="str">
        <f>'Resultater - Vestdanmark'!B248</f>
        <v>Konventionel</v>
      </c>
      <c r="C248" s="99" t="str">
        <f>'Resultater - Vestdanmark'!C248</f>
        <v>JB1-10</v>
      </c>
      <c r="D248" s="99" t="str">
        <f>'Resultater - Vestdanmark'!D248</f>
        <v>Areal-frugt</v>
      </c>
      <c r="E248" s="99" t="str">
        <f>'Resultater - Vestdanmark'!E248</f>
        <v>Hektar</v>
      </c>
      <c r="F248" s="99" t="str">
        <f>'Resultater - Vestdanmark'!F248</f>
        <v>CO2 - atmosfære</v>
      </c>
      <c r="G248" s="99" t="str">
        <f>'Resultater - Vestdanmark'!G248</f>
        <v>t CO2-ækvivalenter</v>
      </c>
      <c r="H248" s="298">
        <f>'Resultater - Vestdanmark'!H248+'Resultater - Østdanmark'!H248</f>
        <v>8582.4091345819397</v>
      </c>
      <c r="I248" s="299">
        <f>'Resultater - Vestdanmark'!I248+'Resultater - Østdanmark'!I248</f>
        <v>6556.566292222853</v>
      </c>
      <c r="J248" s="300">
        <f>'Resultater - Vestdanmark'!J248+'Resultater - Østdanmark'!J248</f>
        <v>6141.791792321972</v>
      </c>
    </row>
    <row r="249" spans="1:10" hidden="1" x14ac:dyDescent="0.25">
      <c r="A249" s="99" t="str">
        <f>'Resultater - Vestdanmark'!A249</f>
        <v>Frugtmark</v>
      </c>
      <c r="B249" s="99" t="str">
        <f>'Resultater - Vestdanmark'!B249</f>
        <v>Konventionel</v>
      </c>
      <c r="C249" s="99" t="str">
        <f>'Resultater - Vestdanmark'!C249</f>
        <v>OC6</v>
      </c>
      <c r="D249" s="99" t="str">
        <f>'Resultater - Vestdanmark'!D249</f>
        <v>Areal-frugt</v>
      </c>
      <c r="E249" s="99" t="str">
        <f>'Resultater - Vestdanmark'!E249</f>
        <v>Hektar</v>
      </c>
      <c r="F249" s="99" t="str">
        <f>'Resultater - Vestdanmark'!F249</f>
        <v>Frugt</v>
      </c>
      <c r="G249" s="99" t="str">
        <f>'Resultater - Vestdanmark'!G249</f>
        <v>Ton</v>
      </c>
      <c r="H249" s="298">
        <f>'Resultater - Vestdanmark'!H249+'Resultater - Østdanmark'!H249</f>
        <v>1090.1789727130877</v>
      </c>
      <c r="I249" s="299">
        <f>'Resultater - Vestdanmark'!I249+'Resultater - Østdanmark'!I249</f>
        <v>0</v>
      </c>
      <c r="J249" s="300">
        <f>'Resultater - Vestdanmark'!J249+'Resultater - Østdanmark'!J249</f>
        <v>0</v>
      </c>
    </row>
    <row r="250" spans="1:10" hidden="1" x14ac:dyDescent="0.25">
      <c r="A250" s="99" t="str">
        <f>'Resultater - Vestdanmark'!A250</f>
        <v>Frugtmark</v>
      </c>
      <c r="B250" s="99" t="str">
        <f>'Resultater - Vestdanmark'!B250</f>
        <v>Konventionel</v>
      </c>
      <c r="C250" s="99" t="str">
        <f>'Resultater - Vestdanmark'!C250</f>
        <v>OC6</v>
      </c>
      <c r="D250" s="99" t="str">
        <f>'Resultater - Vestdanmark'!D250</f>
        <v>Areal-frugt</v>
      </c>
      <c r="E250" s="99" t="str">
        <f>'Resultater - Vestdanmark'!E250</f>
        <v>Hektar</v>
      </c>
      <c r="F250" s="99" t="str">
        <f>'Resultater - Vestdanmark'!F250</f>
        <v>Gødning</v>
      </c>
      <c r="G250" s="99" t="str">
        <f>'Resultater - Vestdanmark'!G250</f>
        <v>kg N</v>
      </c>
      <c r="H250" s="298">
        <f>'Resultater - Vestdanmark'!H250+'Resultater - Østdanmark'!H250</f>
        <v>-14980.865349414238</v>
      </c>
      <c r="I250" s="299">
        <f>'Resultater - Vestdanmark'!I250+'Resultater - Østdanmark'!I250</f>
        <v>0</v>
      </c>
      <c r="J250" s="300">
        <f>'Resultater - Vestdanmark'!J250+'Resultater - Østdanmark'!J250</f>
        <v>0</v>
      </c>
    </row>
    <row r="251" spans="1:10" hidden="1" x14ac:dyDescent="0.25">
      <c r="A251" s="99" t="str">
        <f>'Resultater - Vestdanmark'!A251</f>
        <v>Frugtmark</v>
      </c>
      <c r="B251" s="99" t="str">
        <f>'Resultater - Vestdanmark'!B251</f>
        <v>Konventionel</v>
      </c>
      <c r="C251" s="99" t="str">
        <f>'Resultater - Vestdanmark'!C251</f>
        <v>OC6</v>
      </c>
      <c r="D251" s="99" t="str">
        <f>'Resultater - Vestdanmark'!D251</f>
        <v>Areal-frugt</v>
      </c>
      <c r="E251" s="99" t="str">
        <f>'Resultater - Vestdanmark'!E251</f>
        <v>Hektar</v>
      </c>
      <c r="F251" s="99" t="str">
        <f>'Resultater - Vestdanmark'!F251</f>
        <v>CO2 - atmosfære</v>
      </c>
      <c r="G251" s="99" t="str">
        <f>'Resultater - Vestdanmark'!G251</f>
        <v>t CO2-ækvivalenter</v>
      </c>
      <c r="H251" s="298">
        <f>'Resultater - Vestdanmark'!H251+'Resultater - Østdanmark'!H251</f>
        <v>1140.8671979707708</v>
      </c>
      <c r="I251" s="299">
        <f>'Resultater - Vestdanmark'!I251+'Resultater - Østdanmark'!I251</f>
        <v>0</v>
      </c>
      <c r="J251" s="300">
        <f>'Resultater - Vestdanmark'!J251+'Resultater - Østdanmark'!J251</f>
        <v>0</v>
      </c>
    </row>
    <row r="252" spans="1:10" hidden="1" x14ac:dyDescent="0.25">
      <c r="A252" s="99" t="str">
        <f>'Resultater - Vestdanmark'!A252</f>
        <v>Frugtmark</v>
      </c>
      <c r="B252" s="99" t="str">
        <f>'Resultater - Vestdanmark'!B252</f>
        <v>Konventionel</v>
      </c>
      <c r="C252" s="99" t="str">
        <f>'Resultater - Vestdanmark'!C252</f>
        <v>OC12</v>
      </c>
      <c r="D252" s="99" t="str">
        <f>'Resultater - Vestdanmark'!D252</f>
        <v>Areal-frugt</v>
      </c>
      <c r="E252" s="99" t="str">
        <f>'Resultater - Vestdanmark'!E252</f>
        <v>Hektar</v>
      </c>
      <c r="F252" s="99" t="str">
        <f>'Resultater - Vestdanmark'!F252</f>
        <v>Frugt</v>
      </c>
      <c r="G252" s="99" t="str">
        <f>'Resultater - Vestdanmark'!G252</f>
        <v>Ton</v>
      </c>
      <c r="H252" s="298">
        <f>'Resultater - Vestdanmark'!H252+'Resultater - Østdanmark'!H252</f>
        <v>734.97559696711278</v>
      </c>
      <c r="I252" s="299">
        <f>'Resultater - Vestdanmark'!I252+'Resultater - Østdanmark'!I252</f>
        <v>0</v>
      </c>
      <c r="J252" s="300">
        <f>'Resultater - Vestdanmark'!J252+'Resultater - Østdanmark'!J252</f>
        <v>0</v>
      </c>
    </row>
    <row r="253" spans="1:10" hidden="1" x14ac:dyDescent="0.25">
      <c r="A253" s="99" t="str">
        <f>'Resultater - Vestdanmark'!A253</f>
        <v>Frugtmark</v>
      </c>
      <c r="B253" s="99" t="str">
        <f>'Resultater - Vestdanmark'!B253</f>
        <v>Konventionel</v>
      </c>
      <c r="C253" s="99" t="str">
        <f>'Resultater - Vestdanmark'!C253</f>
        <v>OC12</v>
      </c>
      <c r="D253" s="99" t="str">
        <f>'Resultater - Vestdanmark'!D253</f>
        <v>Areal-frugt</v>
      </c>
      <c r="E253" s="99" t="str">
        <f>'Resultater - Vestdanmark'!E253</f>
        <v>Hektar</v>
      </c>
      <c r="F253" s="99" t="str">
        <f>'Resultater - Vestdanmark'!F253</f>
        <v>Gødning</v>
      </c>
      <c r="G253" s="99" t="str">
        <f>'Resultater - Vestdanmark'!G253</f>
        <v>kg N</v>
      </c>
      <c r="H253" s="298">
        <f>'Resultater - Vestdanmark'!H253+'Resultater - Østdanmark'!H253</f>
        <v>-8656.9563835937897</v>
      </c>
      <c r="I253" s="299">
        <f>'Resultater - Vestdanmark'!I253+'Resultater - Østdanmark'!I253</f>
        <v>0</v>
      </c>
      <c r="J253" s="300">
        <f>'Resultater - Vestdanmark'!J253+'Resultater - Østdanmark'!J253</f>
        <v>0</v>
      </c>
    </row>
    <row r="254" spans="1:10" hidden="1" x14ac:dyDescent="0.25">
      <c r="A254" s="99" t="str">
        <f>'Resultater - Vestdanmark'!A254</f>
        <v>Frugtmark</v>
      </c>
      <c r="B254" s="99" t="str">
        <f>'Resultater - Vestdanmark'!B254</f>
        <v>Konventionel</v>
      </c>
      <c r="C254" s="99" t="str">
        <f>'Resultater - Vestdanmark'!C254</f>
        <v>OC12</v>
      </c>
      <c r="D254" s="99" t="str">
        <f>'Resultater - Vestdanmark'!D254</f>
        <v>Areal-frugt</v>
      </c>
      <c r="E254" s="99" t="str">
        <f>'Resultater - Vestdanmark'!E254</f>
        <v>Hektar</v>
      </c>
      <c r="F254" s="99" t="str">
        <f>'Resultater - Vestdanmark'!F254</f>
        <v>CO2 - atmosfære</v>
      </c>
      <c r="G254" s="99" t="str">
        <f>'Resultater - Vestdanmark'!G254</f>
        <v>t CO2-ækvivalenter</v>
      </c>
      <c r="H254" s="298">
        <f>'Resultater - Vestdanmark'!H254+'Resultater - Østdanmark'!H254</f>
        <v>1762.4137499845892</v>
      </c>
      <c r="I254" s="299">
        <f>'Resultater - Vestdanmark'!I254+'Resultater - Østdanmark'!I254</f>
        <v>0</v>
      </c>
      <c r="J254" s="300">
        <f>'Resultater - Vestdanmark'!J254+'Resultater - Østdanmark'!J254</f>
        <v>0</v>
      </c>
    </row>
    <row r="255" spans="1:10" hidden="1" x14ac:dyDescent="0.25">
      <c r="A255" s="99" t="str">
        <f>'Resultater - Vestdanmark'!A255</f>
        <v>Frugtmark</v>
      </c>
      <c r="B255" s="99" t="str">
        <f>'Resultater - Vestdanmark'!B255</f>
        <v>Økologisk</v>
      </c>
      <c r="C255" s="99" t="str">
        <f>'Resultater - Vestdanmark'!C255</f>
        <v>JB1-10</v>
      </c>
      <c r="D255" s="99" t="str">
        <f>'Resultater - Vestdanmark'!D255</f>
        <v>Areal-frugt</v>
      </c>
      <c r="E255" s="99" t="str">
        <f>'Resultater - Vestdanmark'!E255</f>
        <v>Hektar</v>
      </c>
      <c r="F255" s="99" t="str">
        <f>'Resultater - Vestdanmark'!F255</f>
        <v>Frugt</v>
      </c>
      <c r="G255" s="99" t="str">
        <f>'Resultater - Vestdanmark'!G255</f>
        <v>Ton</v>
      </c>
      <c r="H255" s="298">
        <f>'Resultater - Vestdanmark'!H255+'Resultater - Østdanmark'!H255</f>
        <v>2701.5661764156534</v>
      </c>
      <c r="I255" s="299">
        <f>'Resultater - Vestdanmark'!I255+'Resultater - Østdanmark'!I255</f>
        <v>2700.5701046746144</v>
      </c>
      <c r="J255" s="300">
        <f>'Resultater - Vestdanmark'!J255+'Resultater - Østdanmark'!J255</f>
        <v>3528.0800275211136</v>
      </c>
    </row>
    <row r="256" spans="1:10" hidden="1" x14ac:dyDescent="0.25">
      <c r="A256" s="99" t="str">
        <f>'Resultater - Vestdanmark'!A256</f>
        <v>Frugtmark</v>
      </c>
      <c r="B256" s="99" t="str">
        <f>'Resultater - Vestdanmark'!B256</f>
        <v>Økologisk</v>
      </c>
      <c r="C256" s="99" t="str">
        <f>'Resultater - Vestdanmark'!C256</f>
        <v>JB1-10</v>
      </c>
      <c r="D256" s="99" t="str">
        <f>'Resultater - Vestdanmark'!D256</f>
        <v>Areal-frugt</v>
      </c>
      <c r="E256" s="99" t="str">
        <f>'Resultater - Vestdanmark'!E256</f>
        <v>Hektar</v>
      </c>
      <c r="F256" s="99" t="str">
        <f>'Resultater - Vestdanmark'!F256</f>
        <v>Gødning</v>
      </c>
      <c r="G256" s="99" t="str">
        <f>'Resultater - Vestdanmark'!G256</f>
        <v>kg N</v>
      </c>
      <c r="H256" s="298">
        <f>'Resultater - Vestdanmark'!H256+'Resultater - Østdanmark'!H256</f>
        <v>-44548.794428526671</v>
      </c>
      <c r="I256" s="299">
        <f>'Resultater - Vestdanmark'!I256+'Resultater - Østdanmark'!I256</f>
        <v>-41541.389195195181</v>
      </c>
      <c r="J256" s="300">
        <f>'Resultater - Vestdanmark'!J256+'Resultater - Østdanmark'!J256</f>
        <v>-52889.089180100214</v>
      </c>
    </row>
    <row r="257" spans="1:10" hidden="1" x14ac:dyDescent="0.25">
      <c r="A257" s="99" t="str">
        <f>'Resultater - Vestdanmark'!A257</f>
        <v>Frugtmark</v>
      </c>
      <c r="B257" s="99" t="str">
        <f>'Resultater - Vestdanmark'!B257</f>
        <v>Økologisk</v>
      </c>
      <c r="C257" s="99" t="str">
        <f>'Resultater - Vestdanmark'!C257</f>
        <v>JB1-10</v>
      </c>
      <c r="D257" s="99" t="str">
        <f>'Resultater - Vestdanmark'!D257</f>
        <v>Areal-frugt</v>
      </c>
      <c r="E257" s="99" t="str">
        <f>'Resultater - Vestdanmark'!E257</f>
        <v>Hektar</v>
      </c>
      <c r="F257" s="99" t="str">
        <f>'Resultater - Vestdanmark'!F257</f>
        <v>CO2 - atmosfære</v>
      </c>
      <c r="G257" s="99" t="str">
        <f>'Resultater - Vestdanmark'!G257</f>
        <v>t CO2-ækvivalenter</v>
      </c>
      <c r="H257" s="298">
        <f>'Resultater - Vestdanmark'!H257+'Resultater - Østdanmark'!H257</f>
        <v>1097.3598281506586</v>
      </c>
      <c r="I257" s="299">
        <f>'Resultater - Vestdanmark'!I257+'Resultater - Østdanmark'!I257</f>
        <v>1023.2791323122374</v>
      </c>
      <c r="J257" s="300">
        <f>'Resultater - Vestdanmark'!J257+'Resultater - Østdanmark'!J257</f>
        <v>1302.8043195834487</v>
      </c>
    </row>
    <row r="258" spans="1:10" hidden="1" x14ac:dyDescent="0.25">
      <c r="A258" s="99" t="str">
        <f>'Resultater - Vestdanmark'!A258</f>
        <v>Frugtmark</v>
      </c>
      <c r="B258" s="99" t="str">
        <f>'Resultater - Vestdanmark'!B258</f>
        <v>Økologisk</v>
      </c>
      <c r="C258" s="99" t="str">
        <f>'Resultater - Vestdanmark'!C258</f>
        <v>OC6</v>
      </c>
      <c r="D258" s="99" t="str">
        <f>'Resultater - Vestdanmark'!D258</f>
        <v>Areal-frugt</v>
      </c>
      <c r="E258" s="99" t="str">
        <f>'Resultater - Vestdanmark'!E258</f>
        <v>Hektar</v>
      </c>
      <c r="F258" s="99" t="str">
        <f>'Resultater - Vestdanmark'!F258</f>
        <v>Frugt</v>
      </c>
      <c r="G258" s="99" t="str">
        <f>'Resultater - Vestdanmark'!G258</f>
        <v>Ton</v>
      </c>
      <c r="H258" s="298">
        <f>'Resultater - Vestdanmark'!H258+'Resultater - Østdanmark'!H258</f>
        <v>79.453402546120458</v>
      </c>
      <c r="I258" s="299">
        <f>'Resultater - Vestdanmark'!I258+'Resultater - Østdanmark'!I258</f>
        <v>0</v>
      </c>
      <c r="J258" s="300">
        <f>'Resultater - Vestdanmark'!J258+'Resultater - Østdanmark'!J258</f>
        <v>0</v>
      </c>
    </row>
    <row r="259" spans="1:10" hidden="1" x14ac:dyDescent="0.25">
      <c r="A259" s="99" t="str">
        <f>'Resultater - Vestdanmark'!A259</f>
        <v>Frugtmark</v>
      </c>
      <c r="B259" s="99" t="str">
        <f>'Resultater - Vestdanmark'!B259</f>
        <v>Økologisk</v>
      </c>
      <c r="C259" s="99" t="str">
        <f>'Resultater - Vestdanmark'!C259</f>
        <v>OC6</v>
      </c>
      <c r="D259" s="99" t="str">
        <f>'Resultater - Vestdanmark'!D259</f>
        <v>Areal-frugt</v>
      </c>
      <c r="E259" s="99" t="str">
        <f>'Resultater - Vestdanmark'!E259</f>
        <v>Hektar</v>
      </c>
      <c r="F259" s="99" t="str">
        <f>'Resultater - Vestdanmark'!F259</f>
        <v>Gødning</v>
      </c>
      <c r="G259" s="99" t="str">
        <f>'Resultater - Vestdanmark'!G259</f>
        <v>kg N</v>
      </c>
      <c r="H259" s="298">
        <f>'Resultater - Vestdanmark'!H259+'Resultater - Østdanmark'!H259</f>
        <v>-1091.8213934488481</v>
      </c>
      <c r="I259" s="299">
        <f>'Resultater - Vestdanmark'!I259+'Resultater - Østdanmark'!I259</f>
        <v>0</v>
      </c>
      <c r="J259" s="300">
        <f>'Resultater - Vestdanmark'!J259+'Resultater - Østdanmark'!J259</f>
        <v>0</v>
      </c>
    </row>
    <row r="260" spans="1:10" hidden="1" x14ac:dyDescent="0.25">
      <c r="A260" s="99" t="str">
        <f>'Resultater - Vestdanmark'!A260</f>
        <v>Frugtmark</v>
      </c>
      <c r="B260" s="99" t="str">
        <f>'Resultater - Vestdanmark'!B260</f>
        <v>Økologisk</v>
      </c>
      <c r="C260" s="99" t="str">
        <f>'Resultater - Vestdanmark'!C260</f>
        <v>OC6</v>
      </c>
      <c r="D260" s="99" t="str">
        <f>'Resultater - Vestdanmark'!D260</f>
        <v>Areal-frugt</v>
      </c>
      <c r="E260" s="99" t="str">
        <f>'Resultater - Vestdanmark'!E260</f>
        <v>Hektar</v>
      </c>
      <c r="F260" s="99" t="str">
        <f>'Resultater - Vestdanmark'!F260</f>
        <v>CO2 - atmosfære</v>
      </c>
      <c r="G260" s="99" t="str">
        <f>'Resultater - Vestdanmark'!G260</f>
        <v>t CO2-ækvivalenter</v>
      </c>
      <c r="H260" s="298">
        <f>'Resultater - Vestdanmark'!H260+'Resultater - Østdanmark'!H260</f>
        <v>145.87300752924452</v>
      </c>
      <c r="I260" s="299">
        <f>'Resultater - Vestdanmark'!I260+'Resultater - Østdanmark'!I260</f>
        <v>0</v>
      </c>
      <c r="J260" s="300">
        <f>'Resultater - Vestdanmark'!J260+'Resultater - Østdanmark'!J260</f>
        <v>0</v>
      </c>
    </row>
    <row r="261" spans="1:10" hidden="1" x14ac:dyDescent="0.25">
      <c r="A261" s="99" t="str">
        <f>'Resultater - Vestdanmark'!A261</f>
        <v>Frugtmark</v>
      </c>
      <c r="B261" s="99" t="str">
        <f>'Resultater - Vestdanmark'!B261</f>
        <v>Økologisk</v>
      </c>
      <c r="C261" s="99" t="str">
        <f>'Resultater - Vestdanmark'!C261</f>
        <v>OC12</v>
      </c>
      <c r="D261" s="99" t="str">
        <f>'Resultater - Vestdanmark'!D261</f>
        <v>Areal-frugt</v>
      </c>
      <c r="E261" s="99" t="str">
        <f>'Resultater - Vestdanmark'!E261</f>
        <v>Hektar</v>
      </c>
      <c r="F261" s="99" t="str">
        <f>'Resultater - Vestdanmark'!F261</f>
        <v>Frugt</v>
      </c>
      <c r="G261" s="99" t="str">
        <f>'Resultater - Vestdanmark'!G261</f>
        <v>Ton</v>
      </c>
      <c r="H261" s="298">
        <f>'Resultater - Vestdanmark'!H261+'Resultater - Østdanmark'!H261</f>
        <v>53.565802890212126</v>
      </c>
      <c r="I261" s="299">
        <f>'Resultater - Vestdanmark'!I261+'Resultater - Østdanmark'!I261</f>
        <v>0</v>
      </c>
      <c r="J261" s="300">
        <f>'Resultater - Vestdanmark'!J261+'Resultater - Østdanmark'!J261</f>
        <v>0</v>
      </c>
    </row>
    <row r="262" spans="1:10" hidden="1" x14ac:dyDescent="0.25">
      <c r="A262" s="99" t="str">
        <f>'Resultater - Vestdanmark'!A262</f>
        <v>Frugtmark</v>
      </c>
      <c r="B262" s="99" t="str">
        <f>'Resultater - Vestdanmark'!B262</f>
        <v>Økologisk</v>
      </c>
      <c r="C262" s="99" t="str">
        <f>'Resultater - Vestdanmark'!C262</f>
        <v>OC12</v>
      </c>
      <c r="D262" s="99" t="str">
        <f>'Resultater - Vestdanmark'!D262</f>
        <v>Areal-frugt</v>
      </c>
      <c r="E262" s="99" t="str">
        <f>'Resultater - Vestdanmark'!E262</f>
        <v>Hektar</v>
      </c>
      <c r="F262" s="99" t="str">
        <f>'Resultater - Vestdanmark'!F262</f>
        <v>Gødning</v>
      </c>
      <c r="G262" s="99" t="str">
        <f>'Resultater - Vestdanmark'!G262</f>
        <v>kg N</v>
      </c>
      <c r="H262" s="298">
        <f>'Resultater - Vestdanmark'!H262+'Resultater - Østdanmark'!H262</f>
        <v>-630.92818480815231</v>
      </c>
      <c r="I262" s="299">
        <f>'Resultater - Vestdanmark'!I262+'Resultater - Østdanmark'!I262</f>
        <v>0</v>
      </c>
      <c r="J262" s="300">
        <f>'Resultater - Vestdanmark'!J262+'Resultater - Østdanmark'!J262</f>
        <v>0</v>
      </c>
    </row>
    <row r="263" spans="1:10" hidden="1" x14ac:dyDescent="0.25">
      <c r="A263" s="99" t="str">
        <f>'Resultater - Vestdanmark'!A263</f>
        <v>Frugtmark</v>
      </c>
      <c r="B263" s="99" t="str">
        <f>'Resultater - Vestdanmark'!B263</f>
        <v>Økologisk</v>
      </c>
      <c r="C263" s="99" t="str">
        <f>'Resultater - Vestdanmark'!C263</f>
        <v>OC12</v>
      </c>
      <c r="D263" s="99" t="str">
        <f>'Resultater - Vestdanmark'!D263</f>
        <v>Areal-frugt</v>
      </c>
      <c r="E263" s="99" t="str">
        <f>'Resultater - Vestdanmark'!E263</f>
        <v>Hektar</v>
      </c>
      <c r="F263" s="99" t="str">
        <f>'Resultater - Vestdanmark'!F263</f>
        <v>CO2 - atmosfære</v>
      </c>
      <c r="G263" s="99" t="str">
        <f>'Resultater - Vestdanmark'!G263</f>
        <v>t CO2-ækvivalenter</v>
      </c>
      <c r="H263" s="298">
        <f>'Resultater - Vestdanmark'!H263+'Resultater - Østdanmark'!H263</f>
        <v>225.34489086759828</v>
      </c>
      <c r="I263" s="299">
        <f>'Resultater - Vestdanmark'!I263+'Resultater - Østdanmark'!I263</f>
        <v>0</v>
      </c>
      <c r="J263" s="300">
        <f>'Resultater - Vestdanmark'!J263+'Resultater - Østdanmark'!J263</f>
        <v>0</v>
      </c>
    </row>
    <row r="264" spans="1:10" hidden="1" x14ac:dyDescent="0.25">
      <c r="A264" s="99" t="str">
        <f>'Resultater - Vestdanmark'!A264</f>
        <v>Øvrig mark</v>
      </c>
      <c r="B264" s="99" t="str">
        <f>'Resultater - Vestdanmark'!B264</f>
        <v>Konventionel</v>
      </c>
      <c r="C264" s="99" t="str">
        <f>'Resultater - Vestdanmark'!C264</f>
        <v>JB1-10</v>
      </c>
      <c r="D264" s="99" t="str">
        <f>'Resultater - Vestdanmark'!D264</f>
        <v>Areal-øvrige</v>
      </c>
      <c r="E264" s="99" t="str">
        <f>'Resultater - Vestdanmark'!E264</f>
        <v>Hektar</v>
      </c>
      <c r="F264" s="99" t="str">
        <f>'Resultater - Vestdanmark'!F264</f>
        <v>Øvrige</v>
      </c>
      <c r="G264" s="99" t="str">
        <f>'Resultater - Vestdanmark'!G264</f>
        <v>Ton</v>
      </c>
      <c r="H264" s="298">
        <f>'Resultater - Vestdanmark'!H264+'Resultater - Østdanmark'!H264</f>
        <v>1769792.6482433821</v>
      </c>
      <c r="I264" s="299">
        <f>'Resultater - Vestdanmark'!I264+'Resultater - Østdanmark'!I264</f>
        <v>523369.07063912676</v>
      </c>
      <c r="J264" s="300">
        <f>'Resultater - Vestdanmark'!J264+'Resultater - Østdanmark'!J264</f>
        <v>502490.50485584623</v>
      </c>
    </row>
    <row r="265" spans="1:10" hidden="1" x14ac:dyDescent="0.25">
      <c r="A265" s="99" t="str">
        <f>'Resultater - Vestdanmark'!A265</f>
        <v>Øvrig mark</v>
      </c>
      <c r="B265" s="99" t="str">
        <f>'Resultater - Vestdanmark'!B265</f>
        <v>Konventionel</v>
      </c>
      <c r="C265" s="99" t="str">
        <f>'Resultater - Vestdanmark'!C265</f>
        <v>JB1-10</v>
      </c>
      <c r="D265" s="99" t="str">
        <f>'Resultater - Vestdanmark'!D265</f>
        <v>Areal-øvrige</v>
      </c>
      <c r="E265" s="99" t="str">
        <f>'Resultater - Vestdanmark'!E265</f>
        <v>Hektar</v>
      </c>
      <c r="F265" s="99" t="str">
        <f>'Resultater - Vestdanmark'!F265</f>
        <v>Gødning</v>
      </c>
      <c r="G265" s="99" t="str">
        <f>'Resultater - Vestdanmark'!G265</f>
        <v>kg N</v>
      </c>
      <c r="H265" s="298">
        <f>'Resultater - Vestdanmark'!H265+'Resultater - Østdanmark'!H265</f>
        <v>-8439338.016000744</v>
      </c>
      <c r="I265" s="299">
        <f>'Resultater - Vestdanmark'!I265+'Resultater - Østdanmark'!I265</f>
        <v>-2328087.3092231601</v>
      </c>
      <c r="J265" s="300">
        <f>'Resultater - Vestdanmark'!J265+'Resultater - Østdanmark'!J265</f>
        <v>-2178317.4453276759</v>
      </c>
    </row>
    <row r="266" spans="1:10" hidden="1" x14ac:dyDescent="0.25">
      <c r="A266" s="99" t="str">
        <f>'Resultater - Vestdanmark'!A266</f>
        <v>Øvrig mark</v>
      </c>
      <c r="B266" s="99" t="str">
        <f>'Resultater - Vestdanmark'!B266</f>
        <v>Konventionel</v>
      </c>
      <c r="C266" s="99" t="str">
        <f>'Resultater - Vestdanmark'!C266</f>
        <v>JB1-10</v>
      </c>
      <c r="D266" s="99" t="str">
        <f>'Resultater - Vestdanmark'!D266</f>
        <v>Areal-øvrige</v>
      </c>
      <c r="E266" s="99" t="str">
        <f>'Resultater - Vestdanmark'!E266</f>
        <v>Hektar</v>
      </c>
      <c r="F266" s="99" t="str">
        <f>'Resultater - Vestdanmark'!F266</f>
        <v>CO2 - atmosfære</v>
      </c>
      <c r="G266" s="99" t="str">
        <f>'Resultater - Vestdanmark'!G266</f>
        <v>t CO2-ækvivalenter</v>
      </c>
      <c r="H266" s="298">
        <f>'Resultater - Vestdanmark'!H266+'Resultater - Østdanmark'!H266</f>
        <v>135050.85263779573</v>
      </c>
      <c r="I266" s="299">
        <f>'Resultater - Vestdanmark'!I266+'Resultater - Østdanmark'!I266</f>
        <v>37255.312624012295</v>
      </c>
      <c r="J266" s="300">
        <f>'Resultater - Vestdanmark'!J266+'Resultater - Østdanmark'!J266</f>
        <v>34858.614236036505</v>
      </c>
    </row>
    <row r="267" spans="1:10" hidden="1" x14ac:dyDescent="0.25">
      <c r="A267" s="99" t="str">
        <f>'Resultater - Vestdanmark'!A267</f>
        <v>Øvrig mark</v>
      </c>
      <c r="B267" s="99" t="str">
        <f>'Resultater - Vestdanmark'!B267</f>
        <v>Konventionel</v>
      </c>
      <c r="C267" s="99" t="str">
        <f>'Resultater - Vestdanmark'!C267</f>
        <v>OC6</v>
      </c>
      <c r="D267" s="99" t="str">
        <f>'Resultater - Vestdanmark'!D267</f>
        <v>Areal-øvrige</v>
      </c>
      <c r="E267" s="99" t="str">
        <f>'Resultater - Vestdanmark'!E267</f>
        <v>Hektar</v>
      </c>
      <c r="F267" s="99" t="str">
        <f>'Resultater - Vestdanmark'!F267</f>
        <v>Øvrige</v>
      </c>
      <c r="G267" s="99" t="str">
        <f>'Resultater - Vestdanmark'!G267</f>
        <v>Ton</v>
      </c>
      <c r="H267" s="298">
        <f>'Resultater - Vestdanmark'!H267+'Resultater - Østdanmark'!H267</f>
        <v>59344.705933036988</v>
      </c>
      <c r="I267" s="299">
        <f>'Resultater - Vestdanmark'!I267+'Resultater - Østdanmark'!I267</f>
        <v>0</v>
      </c>
      <c r="J267" s="300">
        <f>'Resultater - Vestdanmark'!J267+'Resultater - Østdanmark'!J267</f>
        <v>0</v>
      </c>
    </row>
    <row r="268" spans="1:10" hidden="1" x14ac:dyDescent="0.25">
      <c r="A268" s="99" t="str">
        <f>'Resultater - Vestdanmark'!A268</f>
        <v>Øvrig mark</v>
      </c>
      <c r="B268" s="99" t="str">
        <f>'Resultater - Vestdanmark'!B268</f>
        <v>Konventionel</v>
      </c>
      <c r="C268" s="99" t="str">
        <f>'Resultater - Vestdanmark'!C268</f>
        <v>OC6</v>
      </c>
      <c r="D268" s="99" t="str">
        <f>'Resultater - Vestdanmark'!D268</f>
        <v>Areal-øvrige</v>
      </c>
      <c r="E268" s="99" t="str">
        <f>'Resultater - Vestdanmark'!E268</f>
        <v>Hektar</v>
      </c>
      <c r="F268" s="99" t="str">
        <f>'Resultater - Vestdanmark'!F268</f>
        <v>Gødning</v>
      </c>
      <c r="G268" s="99" t="str">
        <f>'Resultater - Vestdanmark'!G268</f>
        <v>kg N</v>
      </c>
      <c r="H268" s="298">
        <f>'Resultater - Vestdanmark'!H268+'Resultater - Østdanmark'!H268</f>
        <v>-207469.18786644947</v>
      </c>
      <c r="I268" s="299">
        <f>'Resultater - Vestdanmark'!I268+'Resultater - Østdanmark'!I268</f>
        <v>0</v>
      </c>
      <c r="J268" s="300">
        <f>'Resultater - Vestdanmark'!J268+'Resultater - Østdanmark'!J268</f>
        <v>0</v>
      </c>
    </row>
    <row r="269" spans="1:10" hidden="1" x14ac:dyDescent="0.25">
      <c r="A269" s="99" t="str">
        <f>'Resultater - Vestdanmark'!A269</f>
        <v>Øvrig mark</v>
      </c>
      <c r="B269" s="99" t="str">
        <f>'Resultater - Vestdanmark'!B269</f>
        <v>Konventionel</v>
      </c>
      <c r="C269" s="99" t="str">
        <f>'Resultater - Vestdanmark'!C269</f>
        <v>OC6</v>
      </c>
      <c r="D269" s="99" t="str">
        <f>'Resultater - Vestdanmark'!D269</f>
        <v>Areal-øvrige</v>
      </c>
      <c r="E269" s="99" t="str">
        <f>'Resultater - Vestdanmark'!E269</f>
        <v>Hektar</v>
      </c>
      <c r="F269" s="99" t="str">
        <f>'Resultater - Vestdanmark'!F269</f>
        <v>CO2 - atmosfære</v>
      </c>
      <c r="G269" s="99" t="str">
        <f>'Resultater - Vestdanmark'!G269</f>
        <v>t CO2-ækvivalenter</v>
      </c>
      <c r="H269" s="298">
        <f>'Resultater - Vestdanmark'!H269+'Resultater - Østdanmark'!H269</f>
        <v>26542.270744245459</v>
      </c>
      <c r="I269" s="299">
        <f>'Resultater - Vestdanmark'!I269+'Resultater - Østdanmark'!I269</f>
        <v>0</v>
      </c>
      <c r="J269" s="300">
        <f>'Resultater - Vestdanmark'!J269+'Resultater - Østdanmark'!J269</f>
        <v>0</v>
      </c>
    </row>
    <row r="270" spans="1:10" hidden="1" x14ac:dyDescent="0.25">
      <c r="A270" s="99" t="str">
        <f>'Resultater - Vestdanmark'!A270</f>
        <v>Øvrig mark</v>
      </c>
      <c r="B270" s="99" t="str">
        <f>'Resultater - Vestdanmark'!B270</f>
        <v>Konventionel</v>
      </c>
      <c r="C270" s="99" t="str">
        <f>'Resultater - Vestdanmark'!C270</f>
        <v>OC12</v>
      </c>
      <c r="D270" s="99" t="str">
        <f>'Resultater - Vestdanmark'!D270</f>
        <v>Areal-øvrige</v>
      </c>
      <c r="E270" s="99" t="str">
        <f>'Resultater - Vestdanmark'!E270</f>
        <v>Hektar</v>
      </c>
      <c r="F270" s="99" t="str">
        <f>'Resultater - Vestdanmark'!F270</f>
        <v>Øvrige</v>
      </c>
      <c r="G270" s="99" t="str">
        <f>'Resultater - Vestdanmark'!G270</f>
        <v>Ton</v>
      </c>
      <c r="H270" s="298">
        <f>'Resultater - Vestdanmark'!H270+'Resultater - Østdanmark'!H270</f>
        <v>39757.754782963726</v>
      </c>
      <c r="I270" s="299">
        <f>'Resultater - Vestdanmark'!I270+'Resultater - Østdanmark'!I270</f>
        <v>0</v>
      </c>
      <c r="J270" s="300">
        <f>'Resultater - Vestdanmark'!J270+'Resultater - Østdanmark'!J270</f>
        <v>0</v>
      </c>
    </row>
    <row r="271" spans="1:10" hidden="1" x14ac:dyDescent="0.25">
      <c r="A271" s="99" t="str">
        <f>'Resultater - Vestdanmark'!A271</f>
        <v>Øvrig mark</v>
      </c>
      <c r="B271" s="99" t="str">
        <f>'Resultater - Vestdanmark'!B271</f>
        <v>Konventionel</v>
      </c>
      <c r="C271" s="99" t="str">
        <f>'Resultater - Vestdanmark'!C271</f>
        <v>OC12</v>
      </c>
      <c r="D271" s="99" t="str">
        <f>'Resultater - Vestdanmark'!D271</f>
        <v>Areal-øvrige</v>
      </c>
      <c r="E271" s="99" t="str">
        <f>'Resultater - Vestdanmark'!E271</f>
        <v>Hektar</v>
      </c>
      <c r="F271" s="99" t="str">
        <f>'Resultater - Vestdanmark'!F271</f>
        <v>Gødning</v>
      </c>
      <c r="G271" s="99" t="str">
        <f>'Resultater - Vestdanmark'!G271</f>
        <v>kg N</v>
      </c>
      <c r="H271" s="298">
        <f>'Resultater - Vestdanmark'!H271+'Resultater - Østdanmark'!H271</f>
        <v>-102854.94948928599</v>
      </c>
      <c r="I271" s="299">
        <f>'Resultater - Vestdanmark'!I271+'Resultater - Østdanmark'!I271</f>
        <v>0</v>
      </c>
      <c r="J271" s="300">
        <f>'Resultater - Vestdanmark'!J271+'Resultater - Østdanmark'!J271</f>
        <v>0</v>
      </c>
    </row>
    <row r="272" spans="1:10" hidden="1" x14ac:dyDescent="0.25">
      <c r="A272" s="99" t="str">
        <f>'Resultater - Vestdanmark'!A272</f>
        <v>Øvrig mark</v>
      </c>
      <c r="B272" s="99" t="str">
        <f>'Resultater - Vestdanmark'!B272</f>
        <v>Konventionel</v>
      </c>
      <c r="C272" s="99" t="str">
        <f>'Resultater - Vestdanmark'!C272</f>
        <v>OC12</v>
      </c>
      <c r="D272" s="99" t="str">
        <f>'Resultater - Vestdanmark'!D272</f>
        <v>Areal-øvrige</v>
      </c>
      <c r="E272" s="99" t="str">
        <f>'Resultater - Vestdanmark'!E272</f>
        <v>Hektar</v>
      </c>
      <c r="F272" s="99" t="str">
        <f>'Resultater - Vestdanmark'!F272</f>
        <v>CO2 - atmosfære</v>
      </c>
      <c r="G272" s="99" t="str">
        <f>'Resultater - Vestdanmark'!G272</f>
        <v>t CO2-ækvivalenter</v>
      </c>
      <c r="H272" s="298">
        <f>'Resultater - Vestdanmark'!H272+'Resultater - Østdanmark'!H272</f>
        <v>39030.898430904032</v>
      </c>
      <c r="I272" s="299">
        <f>'Resultater - Vestdanmark'!I272+'Resultater - Østdanmark'!I272</f>
        <v>0</v>
      </c>
      <c r="J272" s="300">
        <f>'Resultater - Vestdanmark'!J272+'Resultater - Østdanmark'!J272</f>
        <v>0</v>
      </c>
    </row>
    <row r="273" spans="1:10" hidden="1" x14ac:dyDescent="0.25">
      <c r="A273" s="99" t="str">
        <f>'Resultater - Vestdanmark'!A273</f>
        <v>Øvrig mark</v>
      </c>
      <c r="B273" s="99" t="str">
        <f>'Resultater - Vestdanmark'!B273</f>
        <v>Økologisk</v>
      </c>
      <c r="C273" s="99" t="str">
        <f>'Resultater - Vestdanmark'!C273</f>
        <v>JB1-10</v>
      </c>
      <c r="D273" s="99" t="str">
        <f>'Resultater - Vestdanmark'!D273</f>
        <v>Areal-øvrige</v>
      </c>
      <c r="E273" s="99" t="str">
        <f>'Resultater - Vestdanmark'!E273</f>
        <v>Hektar</v>
      </c>
      <c r="F273" s="99" t="str">
        <f>'Resultater - Vestdanmark'!F273</f>
        <v>Øvrige</v>
      </c>
      <c r="G273" s="99" t="str">
        <f>'Resultater - Vestdanmark'!G273</f>
        <v>Ton</v>
      </c>
      <c r="H273" s="298">
        <f>'Resultater - Vestdanmark'!H273+'Resultater - Østdanmark'!H273</f>
        <v>128984.36974444673</v>
      </c>
      <c r="I273" s="299">
        <f>'Resultater - Vestdanmark'!I273+'Resultater - Østdanmark'!I273</f>
        <v>46558.670503677233</v>
      </c>
      <c r="J273" s="300">
        <f>'Resultater - Vestdanmark'!J273+'Resultater - Østdanmark'!J273</f>
        <v>60755.670132570493</v>
      </c>
    </row>
    <row r="274" spans="1:10" hidden="1" x14ac:dyDescent="0.25">
      <c r="A274" s="99" t="str">
        <f>'Resultater - Vestdanmark'!A274</f>
        <v>Øvrig mark</v>
      </c>
      <c r="B274" s="99" t="str">
        <f>'Resultater - Vestdanmark'!B274</f>
        <v>Økologisk</v>
      </c>
      <c r="C274" s="99" t="str">
        <f>'Resultater - Vestdanmark'!C274</f>
        <v>JB1-10</v>
      </c>
      <c r="D274" s="99" t="str">
        <f>'Resultater - Vestdanmark'!D274</f>
        <v>Areal-øvrige</v>
      </c>
      <c r="E274" s="99" t="str">
        <f>'Resultater - Vestdanmark'!E274</f>
        <v>Hektar</v>
      </c>
      <c r="F274" s="99" t="str">
        <f>'Resultater - Vestdanmark'!F274</f>
        <v>Gødning</v>
      </c>
      <c r="G274" s="99" t="str">
        <f>'Resultater - Vestdanmark'!G274</f>
        <v>kg N</v>
      </c>
      <c r="H274" s="298">
        <f>'Resultater - Vestdanmark'!H274+'Resultater - Østdanmark'!H274</f>
        <v>-615067.9268187969</v>
      </c>
      <c r="I274" s="299">
        <f>'Resultater - Vestdanmark'!I274+'Resultater - Østdanmark'!I274</f>
        <v>-207105.57045632618</v>
      </c>
      <c r="J274" s="300">
        <f>'Resultater - Vestdanmark'!J274+'Resultater - Østdanmark'!J274</f>
        <v>-263378.38202598254</v>
      </c>
    </row>
    <row r="275" spans="1:10" hidden="1" x14ac:dyDescent="0.25">
      <c r="A275" s="99" t="str">
        <f>'Resultater - Vestdanmark'!A275</f>
        <v>Øvrig mark</v>
      </c>
      <c r="B275" s="99" t="str">
        <f>'Resultater - Vestdanmark'!B275</f>
        <v>Økologisk</v>
      </c>
      <c r="C275" s="99" t="str">
        <f>'Resultater - Vestdanmark'!C275</f>
        <v>JB1-10</v>
      </c>
      <c r="D275" s="99" t="str">
        <f>'Resultater - Vestdanmark'!D275</f>
        <v>Areal-øvrige</v>
      </c>
      <c r="E275" s="99" t="str">
        <f>'Resultater - Vestdanmark'!E275</f>
        <v>Hektar</v>
      </c>
      <c r="F275" s="99" t="str">
        <f>'Resultater - Vestdanmark'!F275</f>
        <v>CO2 - atmosfære</v>
      </c>
      <c r="G275" s="99" t="str">
        <f>'Resultater - Vestdanmark'!G275</f>
        <v>t CO2-ækvivalenter</v>
      </c>
      <c r="H275" s="298">
        <f>'Resultater - Vestdanmark'!H275+'Resultater - Østdanmark'!H275</f>
        <v>17267.806523585219</v>
      </c>
      <c r="I275" s="299">
        <f>'Resultater - Vestdanmark'!I275+'Resultater - Østdanmark'!I275</f>
        <v>5814.4129528805315</v>
      </c>
      <c r="J275" s="300">
        <f>'Resultater - Vestdanmark'!J275+'Resultater - Østdanmark'!J275</f>
        <v>7394.2515046138051</v>
      </c>
    </row>
    <row r="276" spans="1:10" hidden="1" x14ac:dyDescent="0.25">
      <c r="A276" s="99" t="str">
        <f>'Resultater - Vestdanmark'!A276</f>
        <v>Øvrig mark</v>
      </c>
      <c r="B276" s="99" t="str">
        <f>'Resultater - Vestdanmark'!B276</f>
        <v>Økologisk</v>
      </c>
      <c r="C276" s="99" t="str">
        <f>'Resultater - Vestdanmark'!C276</f>
        <v>OC6</v>
      </c>
      <c r="D276" s="99" t="str">
        <f>'Resultater - Vestdanmark'!D276</f>
        <v>Areal-øvrige</v>
      </c>
      <c r="E276" s="99" t="str">
        <f>'Resultater - Vestdanmark'!E276</f>
        <v>Hektar</v>
      </c>
      <c r="F276" s="99" t="str">
        <f>'Resultater - Vestdanmark'!F276</f>
        <v>Øvrige</v>
      </c>
      <c r="G276" s="99" t="str">
        <f>'Resultater - Vestdanmark'!G276</f>
        <v>Ton</v>
      </c>
      <c r="H276" s="298">
        <f>'Resultater - Vestdanmark'!H276+'Resultater - Østdanmark'!H276</f>
        <v>4325.1052602347863</v>
      </c>
      <c r="I276" s="299">
        <f>'Resultater - Vestdanmark'!I276+'Resultater - Østdanmark'!I276</f>
        <v>0</v>
      </c>
      <c r="J276" s="300">
        <f>'Resultater - Vestdanmark'!J276+'Resultater - Østdanmark'!J276</f>
        <v>0</v>
      </c>
    </row>
    <row r="277" spans="1:10" hidden="1" x14ac:dyDescent="0.25">
      <c r="A277" s="99" t="str">
        <f>'Resultater - Vestdanmark'!A277</f>
        <v>Øvrig mark</v>
      </c>
      <c r="B277" s="99" t="str">
        <f>'Resultater - Vestdanmark'!B277</f>
        <v>Økologisk</v>
      </c>
      <c r="C277" s="99" t="str">
        <f>'Resultater - Vestdanmark'!C277</f>
        <v>OC6</v>
      </c>
      <c r="D277" s="99" t="str">
        <f>'Resultater - Vestdanmark'!D277</f>
        <v>Areal-øvrige</v>
      </c>
      <c r="E277" s="99" t="str">
        <f>'Resultater - Vestdanmark'!E277</f>
        <v>Hektar</v>
      </c>
      <c r="F277" s="99" t="str">
        <f>'Resultater - Vestdanmark'!F277</f>
        <v>Gødning</v>
      </c>
      <c r="G277" s="99" t="str">
        <f>'Resultater - Vestdanmark'!G277</f>
        <v>kg N</v>
      </c>
      <c r="H277" s="298">
        <f>'Resultater - Vestdanmark'!H277+'Resultater - Østdanmark'!H277</f>
        <v>-15120.574980864158</v>
      </c>
      <c r="I277" s="299">
        <f>'Resultater - Vestdanmark'!I277+'Resultater - Østdanmark'!I277</f>
        <v>0</v>
      </c>
      <c r="J277" s="300">
        <f>'Resultater - Vestdanmark'!J277+'Resultater - Østdanmark'!J277</f>
        <v>0</v>
      </c>
    </row>
    <row r="278" spans="1:10" hidden="1" x14ac:dyDescent="0.25">
      <c r="A278" s="99" t="str">
        <f>'Resultater - Vestdanmark'!A278</f>
        <v>Øvrig mark</v>
      </c>
      <c r="B278" s="99" t="str">
        <f>'Resultater - Vestdanmark'!B278</f>
        <v>Økologisk</v>
      </c>
      <c r="C278" s="99" t="str">
        <f>'Resultater - Vestdanmark'!C278</f>
        <v>OC6</v>
      </c>
      <c r="D278" s="99" t="str">
        <f>'Resultater - Vestdanmark'!D278</f>
        <v>Areal-øvrige</v>
      </c>
      <c r="E278" s="99" t="str">
        <f>'Resultater - Vestdanmark'!E278</f>
        <v>Hektar</v>
      </c>
      <c r="F278" s="99" t="str">
        <f>'Resultater - Vestdanmark'!F278</f>
        <v>CO2 - atmosfære</v>
      </c>
      <c r="G278" s="99" t="str">
        <f>'Resultater - Vestdanmark'!G278</f>
        <v>t CO2-ækvivalenter</v>
      </c>
      <c r="H278" s="298">
        <f>'Resultater - Vestdanmark'!H278+'Resultater - Østdanmark'!H278</f>
        <v>3393.7349298895001</v>
      </c>
      <c r="I278" s="299">
        <f>'Resultater - Vestdanmark'!I278+'Resultater - Østdanmark'!I278</f>
        <v>0</v>
      </c>
      <c r="J278" s="300">
        <f>'Resultater - Vestdanmark'!J278+'Resultater - Østdanmark'!J278</f>
        <v>0</v>
      </c>
    </row>
    <row r="279" spans="1:10" hidden="1" x14ac:dyDescent="0.25">
      <c r="A279" s="99" t="str">
        <f>'Resultater - Vestdanmark'!A279</f>
        <v>Øvrig mark</v>
      </c>
      <c r="B279" s="99" t="str">
        <f>'Resultater - Vestdanmark'!B279</f>
        <v>Økologisk</v>
      </c>
      <c r="C279" s="99" t="str">
        <f>'Resultater - Vestdanmark'!C279</f>
        <v>OC12</v>
      </c>
      <c r="D279" s="99" t="str">
        <f>'Resultater - Vestdanmark'!D279</f>
        <v>Areal-øvrige</v>
      </c>
      <c r="E279" s="99" t="str">
        <f>'Resultater - Vestdanmark'!E279</f>
        <v>Hektar</v>
      </c>
      <c r="F279" s="99" t="str">
        <f>'Resultater - Vestdanmark'!F279</f>
        <v>Øvrige</v>
      </c>
      <c r="G279" s="99" t="str">
        <f>'Resultater - Vestdanmark'!G279</f>
        <v>Ton</v>
      </c>
      <c r="H279" s="298">
        <f>'Resultater - Vestdanmark'!H279+'Resultater - Østdanmark'!H279</f>
        <v>2897.587436711749</v>
      </c>
      <c r="I279" s="299">
        <f>'Resultater - Vestdanmark'!I279+'Resultater - Østdanmark'!I279</f>
        <v>0</v>
      </c>
      <c r="J279" s="300">
        <f>'Resultater - Vestdanmark'!J279+'Resultater - Østdanmark'!J279</f>
        <v>0</v>
      </c>
    </row>
    <row r="280" spans="1:10" hidden="1" x14ac:dyDescent="0.25">
      <c r="A280" s="99" t="str">
        <f>'Resultater - Vestdanmark'!A280</f>
        <v>Øvrig mark</v>
      </c>
      <c r="B280" s="99" t="str">
        <f>'Resultater - Vestdanmark'!B280</f>
        <v>Økologisk</v>
      </c>
      <c r="C280" s="99" t="str">
        <f>'Resultater - Vestdanmark'!C280</f>
        <v>OC12</v>
      </c>
      <c r="D280" s="99" t="str">
        <f>'Resultater - Vestdanmark'!D280</f>
        <v>Areal-øvrige</v>
      </c>
      <c r="E280" s="99" t="str">
        <f>'Resultater - Vestdanmark'!E280</f>
        <v>Hektar</v>
      </c>
      <c r="F280" s="99" t="str">
        <f>'Resultater - Vestdanmark'!F280</f>
        <v>Gødning</v>
      </c>
      <c r="G280" s="99" t="str">
        <f>'Resultater - Vestdanmark'!G280</f>
        <v>kg N</v>
      </c>
      <c r="H280" s="298">
        <f>'Resultater - Vestdanmark'!H280+'Resultater - Østdanmark'!H280</f>
        <v>-7496.1780681710807</v>
      </c>
      <c r="I280" s="299">
        <f>'Resultater - Vestdanmark'!I280+'Resultater - Østdanmark'!I280</f>
        <v>0</v>
      </c>
      <c r="J280" s="300">
        <f>'Resultater - Vestdanmark'!J280+'Resultater - Østdanmark'!J280</f>
        <v>0</v>
      </c>
    </row>
    <row r="281" spans="1:10" hidden="1" x14ac:dyDescent="0.25">
      <c r="A281" s="99" t="str">
        <f>'Resultater - Vestdanmark'!A281</f>
        <v>Øvrig mark</v>
      </c>
      <c r="B281" s="99" t="str">
        <f>'Resultater - Vestdanmark'!B281</f>
        <v>Økologisk</v>
      </c>
      <c r="C281" s="99" t="str">
        <f>'Resultater - Vestdanmark'!C281</f>
        <v>OC12</v>
      </c>
      <c r="D281" s="99" t="str">
        <f>'Resultater - Vestdanmark'!D281</f>
        <v>Areal-øvrige</v>
      </c>
      <c r="E281" s="99" t="str">
        <f>'Resultater - Vestdanmark'!E281</f>
        <v>Hektar</v>
      </c>
      <c r="F281" s="99" t="str">
        <f>'Resultater - Vestdanmark'!F281</f>
        <v>CO2 - atmosfære</v>
      </c>
      <c r="G281" s="99" t="str">
        <f>'Resultater - Vestdanmark'!G281</f>
        <v>t CO2-ækvivalenter</v>
      </c>
      <c r="H281" s="298">
        <f>'Resultater - Vestdanmark'!H281+'Resultater - Østdanmark'!H281</f>
        <v>4990.5497772321014</v>
      </c>
      <c r="I281" s="299">
        <f>'Resultater - Vestdanmark'!I281+'Resultater - Østdanmark'!I281</f>
        <v>0</v>
      </c>
      <c r="J281" s="300">
        <f>'Resultater - Vestdanmark'!J281+'Resultater - Østdanmark'!J281</f>
        <v>0</v>
      </c>
    </row>
    <row r="282" spans="1:10" hidden="1" x14ac:dyDescent="0.25">
      <c r="A282" s="99" t="str">
        <f>'Resultater - Vestdanmark'!A282</f>
        <v>Majsmark</v>
      </c>
      <c r="B282" s="99" t="str">
        <f>'Resultater - Vestdanmark'!B282</f>
        <v>Konventionel</v>
      </c>
      <c r="C282" s="99" t="str">
        <f>'Resultater - Vestdanmark'!C282</f>
        <v>JB1-10</v>
      </c>
      <c r="D282" s="99" t="str">
        <f>'Resultater - Vestdanmark'!D282</f>
        <v>Areal-majs</v>
      </c>
      <c r="E282" s="99" t="str">
        <f>'Resultater - Vestdanmark'!E282</f>
        <v>Hektar</v>
      </c>
      <c r="F282" s="99" t="str">
        <f>'Resultater - Vestdanmark'!F282</f>
        <v>Majs</v>
      </c>
      <c r="G282" s="99" t="str">
        <f>'Resultater - Vestdanmark'!G282</f>
        <v>Ton</v>
      </c>
      <c r="H282" s="298">
        <f>'Resultater - Vestdanmark'!H282+'Resultater - Østdanmark'!H282</f>
        <v>6805636.3914233753</v>
      </c>
      <c r="I282" s="299">
        <f>'Resultater - Vestdanmark'!I282+'Resultater - Østdanmark'!I282</f>
        <v>5128042.0910851583</v>
      </c>
      <c r="J282" s="300">
        <f>'Resultater - Vestdanmark'!J282+'Resultater - Østdanmark'!J282</f>
        <v>5151873.5947674867</v>
      </c>
    </row>
    <row r="283" spans="1:10" hidden="1" x14ac:dyDescent="0.25">
      <c r="A283" s="99" t="str">
        <f>'Resultater - Vestdanmark'!A283</f>
        <v>Majsmark</v>
      </c>
      <c r="B283" s="99" t="str">
        <f>'Resultater - Vestdanmark'!B283</f>
        <v>Konventionel</v>
      </c>
      <c r="C283" s="99" t="str">
        <f>'Resultater - Vestdanmark'!C283</f>
        <v>JB1-10</v>
      </c>
      <c r="D283" s="99" t="str">
        <f>'Resultater - Vestdanmark'!D283</f>
        <v>Areal-majs</v>
      </c>
      <c r="E283" s="99" t="str">
        <f>'Resultater - Vestdanmark'!E283</f>
        <v>Hektar</v>
      </c>
      <c r="F283" s="99" t="str">
        <f>'Resultater - Vestdanmark'!F283</f>
        <v>Gødning</v>
      </c>
      <c r="G283" s="99" t="str">
        <f>'Resultater - Vestdanmark'!G283</f>
        <v>kg N</v>
      </c>
      <c r="H283" s="298">
        <f>'Resultater - Vestdanmark'!H283+'Resultater - Østdanmark'!H283</f>
        <v>-24464206.304824531</v>
      </c>
      <c r="I283" s="299">
        <f>'Resultater - Vestdanmark'!I283+'Resultater - Østdanmark'!I283</f>
        <v>-17195673.25499605</v>
      </c>
      <c r="J283" s="300">
        <f>'Resultater - Vestdanmark'!J283+'Resultater - Østdanmark'!J283</f>
        <v>-16835844.348824527</v>
      </c>
    </row>
    <row r="284" spans="1:10" hidden="1" x14ac:dyDescent="0.25">
      <c r="A284" s="99" t="str">
        <f>'Resultater - Vestdanmark'!A284</f>
        <v>Majsmark</v>
      </c>
      <c r="B284" s="99" t="str">
        <f>'Resultater - Vestdanmark'!B284</f>
        <v>Konventionel</v>
      </c>
      <c r="C284" s="99" t="str">
        <f>'Resultater - Vestdanmark'!C284</f>
        <v>JB1-10</v>
      </c>
      <c r="D284" s="99" t="str">
        <f>'Resultater - Vestdanmark'!D284</f>
        <v>Areal-majs</v>
      </c>
      <c r="E284" s="99" t="str">
        <f>'Resultater - Vestdanmark'!E284</f>
        <v>Hektar</v>
      </c>
      <c r="F284" s="99" t="str">
        <f>'Resultater - Vestdanmark'!F284</f>
        <v>CO2 - atmosfære</v>
      </c>
      <c r="G284" s="99" t="str">
        <f>'Resultater - Vestdanmark'!G284</f>
        <v>t CO2-ækvivalenter</v>
      </c>
      <c r="H284" s="298">
        <f>'Resultater - Vestdanmark'!H284+'Resultater - Østdanmark'!H284</f>
        <v>347650.80050176143</v>
      </c>
      <c r="I284" s="299">
        <f>'Resultater - Vestdanmark'!I284+'Resultater - Østdanmark'!I284</f>
        <v>244360.65890628059</v>
      </c>
      <c r="J284" s="300">
        <f>'Resultater - Vestdanmark'!J284+'Resultater - Østdanmark'!J284</f>
        <v>239247.27792365153</v>
      </c>
    </row>
    <row r="285" spans="1:10" hidden="1" x14ac:dyDescent="0.25">
      <c r="A285" s="99" t="str">
        <f>'Resultater - Vestdanmark'!A285</f>
        <v>Majsmark</v>
      </c>
      <c r="B285" s="99" t="str">
        <f>'Resultater - Vestdanmark'!B285</f>
        <v>Konventionel</v>
      </c>
      <c r="C285" s="99" t="str">
        <f>'Resultater - Vestdanmark'!C285</f>
        <v>OC6</v>
      </c>
      <c r="D285" s="99" t="str">
        <f>'Resultater - Vestdanmark'!D285</f>
        <v>Areal-majs</v>
      </c>
      <c r="E285" s="99" t="str">
        <f>'Resultater - Vestdanmark'!E285</f>
        <v>Hektar</v>
      </c>
      <c r="F285" s="99" t="str">
        <f>'Resultater - Vestdanmark'!F285</f>
        <v>Majs</v>
      </c>
      <c r="G285" s="99" t="str">
        <f>'Resultater - Vestdanmark'!G285</f>
        <v>Ton</v>
      </c>
      <c r="H285" s="298">
        <f>'Resultater - Vestdanmark'!H285+'Resultater - Østdanmark'!H285</f>
        <v>271759.53465639014</v>
      </c>
      <c r="I285" s="299">
        <f>'Resultater - Vestdanmark'!I285+'Resultater - Østdanmark'!I285</f>
        <v>0</v>
      </c>
      <c r="J285" s="300">
        <f>'Resultater - Vestdanmark'!J285+'Resultater - Østdanmark'!J285</f>
        <v>0</v>
      </c>
    </row>
    <row r="286" spans="1:10" hidden="1" x14ac:dyDescent="0.25">
      <c r="A286" s="99" t="str">
        <f>'Resultater - Vestdanmark'!A286</f>
        <v>Majsmark</v>
      </c>
      <c r="B286" s="99" t="str">
        <f>'Resultater - Vestdanmark'!B286</f>
        <v>Konventionel</v>
      </c>
      <c r="C286" s="99" t="str">
        <f>'Resultater - Vestdanmark'!C286</f>
        <v>OC6</v>
      </c>
      <c r="D286" s="99" t="str">
        <f>'Resultater - Vestdanmark'!D286</f>
        <v>Areal-majs</v>
      </c>
      <c r="E286" s="99" t="str">
        <f>'Resultater - Vestdanmark'!E286</f>
        <v>Hektar</v>
      </c>
      <c r="F286" s="99" t="str">
        <f>'Resultater - Vestdanmark'!F286</f>
        <v>Gødning</v>
      </c>
      <c r="G286" s="99" t="str">
        <f>'Resultater - Vestdanmark'!G286</f>
        <v>kg N</v>
      </c>
      <c r="H286" s="298">
        <f>'Resultater - Vestdanmark'!H286+'Resultater - Østdanmark'!H286</f>
        <v>-661438.24431458686</v>
      </c>
      <c r="I286" s="299">
        <f>'Resultater - Vestdanmark'!I286+'Resultater - Østdanmark'!I286</f>
        <v>0</v>
      </c>
      <c r="J286" s="300">
        <f>'Resultater - Vestdanmark'!J286+'Resultater - Østdanmark'!J286</f>
        <v>0</v>
      </c>
    </row>
    <row r="287" spans="1:10" hidden="1" x14ac:dyDescent="0.25">
      <c r="A287" s="99" t="str">
        <f>'Resultater - Vestdanmark'!A287</f>
        <v>Majsmark</v>
      </c>
      <c r="B287" s="99" t="str">
        <f>'Resultater - Vestdanmark'!B287</f>
        <v>Konventionel</v>
      </c>
      <c r="C287" s="99" t="str">
        <f>'Resultater - Vestdanmark'!C287</f>
        <v>OC6</v>
      </c>
      <c r="D287" s="99" t="str">
        <f>'Resultater - Vestdanmark'!D287</f>
        <v>Areal-majs</v>
      </c>
      <c r="E287" s="99" t="str">
        <f>'Resultater - Vestdanmark'!E287</f>
        <v>Hektar</v>
      </c>
      <c r="F287" s="99" t="str">
        <f>'Resultater - Vestdanmark'!F287</f>
        <v>CO2 - atmosfære</v>
      </c>
      <c r="G287" s="99" t="str">
        <f>'Resultater - Vestdanmark'!G287</f>
        <v>t CO2-ækvivalenter</v>
      </c>
      <c r="H287" s="298">
        <f>'Resultater - Vestdanmark'!H287+'Resultater - Østdanmark'!H287</f>
        <v>81365.524969577309</v>
      </c>
      <c r="I287" s="299">
        <f>'Resultater - Vestdanmark'!I287+'Resultater - Østdanmark'!I287</f>
        <v>0</v>
      </c>
      <c r="J287" s="300">
        <f>'Resultater - Vestdanmark'!J287+'Resultater - Østdanmark'!J287</f>
        <v>0</v>
      </c>
    </row>
    <row r="288" spans="1:10" hidden="1" x14ac:dyDescent="0.25">
      <c r="A288" s="99" t="str">
        <f>'Resultater - Vestdanmark'!A288</f>
        <v>Majsmark</v>
      </c>
      <c r="B288" s="99" t="str">
        <f>'Resultater - Vestdanmark'!B288</f>
        <v>Konventionel</v>
      </c>
      <c r="C288" s="99" t="str">
        <f>'Resultater - Vestdanmark'!C288</f>
        <v>OC12</v>
      </c>
      <c r="D288" s="99" t="str">
        <f>'Resultater - Vestdanmark'!D288</f>
        <v>Areal-majs</v>
      </c>
      <c r="E288" s="99" t="str">
        <f>'Resultater - Vestdanmark'!E288</f>
        <v>Hektar</v>
      </c>
      <c r="F288" s="99" t="str">
        <f>'Resultater - Vestdanmark'!F288</f>
        <v>Majs</v>
      </c>
      <c r="G288" s="99" t="str">
        <f>'Resultater - Vestdanmark'!G288</f>
        <v>Ton</v>
      </c>
      <c r="H288" s="298">
        <f>'Resultater - Vestdanmark'!H288+'Resultater - Østdanmark'!H288</f>
        <v>107772.91589565421</v>
      </c>
      <c r="I288" s="299">
        <f>'Resultater - Vestdanmark'!I288+'Resultater - Østdanmark'!I288</f>
        <v>0</v>
      </c>
      <c r="J288" s="300">
        <f>'Resultater - Vestdanmark'!J288+'Resultater - Østdanmark'!J288</f>
        <v>0</v>
      </c>
    </row>
    <row r="289" spans="1:10" hidden="1" x14ac:dyDescent="0.25">
      <c r="A289" s="99" t="str">
        <f>'Resultater - Vestdanmark'!A289</f>
        <v>Majsmark</v>
      </c>
      <c r="B289" s="99" t="str">
        <f>'Resultater - Vestdanmark'!B289</f>
        <v>Konventionel</v>
      </c>
      <c r="C289" s="99" t="str">
        <f>'Resultater - Vestdanmark'!C289</f>
        <v>OC12</v>
      </c>
      <c r="D289" s="99" t="str">
        <f>'Resultater - Vestdanmark'!D289</f>
        <v>Areal-majs</v>
      </c>
      <c r="E289" s="99" t="str">
        <f>'Resultater - Vestdanmark'!E289</f>
        <v>Hektar</v>
      </c>
      <c r="F289" s="99" t="str">
        <f>'Resultater - Vestdanmark'!F289</f>
        <v>Gødning</v>
      </c>
      <c r="G289" s="99" t="str">
        <f>'Resultater - Vestdanmark'!G289</f>
        <v>kg N</v>
      </c>
      <c r="H289" s="298">
        <f>'Resultater - Vestdanmark'!H289+'Resultater - Østdanmark'!H289</f>
        <v>-172951.36870631672</v>
      </c>
      <c r="I289" s="299">
        <f>'Resultater - Vestdanmark'!I289+'Resultater - Østdanmark'!I289</f>
        <v>0</v>
      </c>
      <c r="J289" s="300">
        <f>'Resultater - Vestdanmark'!J289+'Resultater - Østdanmark'!J289</f>
        <v>0</v>
      </c>
    </row>
    <row r="290" spans="1:10" hidden="1" x14ac:dyDescent="0.25">
      <c r="A290" s="99" t="str">
        <f>'Resultater - Vestdanmark'!A290</f>
        <v>Majsmark</v>
      </c>
      <c r="B290" s="99" t="str">
        <f>'Resultater - Vestdanmark'!B290</f>
        <v>Konventionel</v>
      </c>
      <c r="C290" s="99" t="str">
        <f>'Resultater - Vestdanmark'!C290</f>
        <v>OC12</v>
      </c>
      <c r="D290" s="99" t="str">
        <f>'Resultater - Vestdanmark'!D290</f>
        <v>Areal-majs</v>
      </c>
      <c r="E290" s="99" t="str">
        <f>'Resultater - Vestdanmark'!E290</f>
        <v>Hektar</v>
      </c>
      <c r="F290" s="99" t="str">
        <f>'Resultater - Vestdanmark'!F290</f>
        <v>CO2 - atmosfære</v>
      </c>
      <c r="G290" s="99" t="str">
        <f>'Resultater - Vestdanmark'!G290</f>
        <v>t CO2-ækvivalenter</v>
      </c>
      <c r="H290" s="298">
        <f>'Resultater - Vestdanmark'!H290+'Resultater - Østdanmark'!H290</f>
        <v>70826.515916993711</v>
      </c>
      <c r="I290" s="299">
        <f>'Resultater - Vestdanmark'!I290+'Resultater - Østdanmark'!I290</f>
        <v>0</v>
      </c>
      <c r="J290" s="300">
        <f>'Resultater - Vestdanmark'!J290+'Resultater - Østdanmark'!J290</f>
        <v>0</v>
      </c>
    </row>
    <row r="291" spans="1:10" hidden="1" x14ac:dyDescent="0.25">
      <c r="A291" s="99" t="str">
        <f>'Resultater - Vestdanmark'!A291</f>
        <v>Majsmark</v>
      </c>
      <c r="B291" s="99" t="str">
        <f>'Resultater - Vestdanmark'!B291</f>
        <v>Økologisk</v>
      </c>
      <c r="C291" s="99" t="str">
        <f>'Resultater - Vestdanmark'!C291</f>
        <v>JB1-10</v>
      </c>
      <c r="D291" s="99" t="str">
        <f>'Resultater - Vestdanmark'!D291</f>
        <v>Areal-majs</v>
      </c>
      <c r="E291" s="99" t="str">
        <f>'Resultater - Vestdanmark'!E291</f>
        <v>Hektar</v>
      </c>
      <c r="F291" s="99" t="str">
        <f>'Resultater - Vestdanmark'!F291</f>
        <v>Majs</v>
      </c>
      <c r="G291" s="99" t="str">
        <f>'Resultater - Vestdanmark'!G291</f>
        <v>Ton</v>
      </c>
      <c r="H291" s="298">
        <f>'Resultater - Vestdanmark'!H291+'Resultater - Østdanmark'!H291</f>
        <v>722248.54897796328</v>
      </c>
      <c r="I291" s="299">
        <f>'Resultater - Vestdanmark'!I291+'Resultater - Østdanmark'!I291</f>
        <v>664274.122897216</v>
      </c>
      <c r="J291" s="300">
        <f>'Resultater - Vestdanmark'!J291+'Resultater - Østdanmark'!J291</f>
        <v>907041.9874423967</v>
      </c>
    </row>
    <row r="292" spans="1:10" hidden="1" x14ac:dyDescent="0.25">
      <c r="A292" s="99" t="str">
        <f>'Resultater - Vestdanmark'!A292</f>
        <v>Majsmark</v>
      </c>
      <c r="B292" s="99" t="str">
        <f>'Resultater - Vestdanmark'!B292</f>
        <v>Økologisk</v>
      </c>
      <c r="C292" s="99" t="str">
        <f>'Resultater - Vestdanmark'!C292</f>
        <v>JB1-10</v>
      </c>
      <c r="D292" s="99" t="str">
        <f>'Resultater - Vestdanmark'!D292</f>
        <v>Areal-majs</v>
      </c>
      <c r="E292" s="99" t="str">
        <f>'Resultater - Vestdanmark'!E292</f>
        <v>Hektar</v>
      </c>
      <c r="F292" s="99" t="str">
        <f>'Resultater - Vestdanmark'!F292</f>
        <v>Gødning</v>
      </c>
      <c r="G292" s="99" t="str">
        <f>'Resultater - Vestdanmark'!G292</f>
        <v>kg N</v>
      </c>
      <c r="H292" s="298">
        <f>'Resultater - Vestdanmark'!H292+'Resultater - Østdanmark'!H292</f>
        <v>-2596265.2850252553</v>
      </c>
      <c r="I292" s="299">
        <f>'Resultater - Vestdanmark'!I292+'Resultater - Østdanmark'!I292</f>
        <v>-2227485.7667309907</v>
      </c>
      <c r="J292" s="300">
        <f>'Resultater - Vestdanmark'!J292+'Resultater - Østdanmark'!J292</f>
        <v>-2964128.9595960751</v>
      </c>
    </row>
    <row r="293" spans="1:10" hidden="1" x14ac:dyDescent="0.25">
      <c r="A293" s="99" t="str">
        <f>'Resultater - Vestdanmark'!A293</f>
        <v>Majsmark</v>
      </c>
      <c r="B293" s="99" t="str">
        <f>'Resultater - Vestdanmark'!B293</f>
        <v>Økologisk</v>
      </c>
      <c r="C293" s="99" t="str">
        <f>'Resultater - Vestdanmark'!C293</f>
        <v>JB1-10</v>
      </c>
      <c r="D293" s="99" t="str">
        <f>'Resultater - Vestdanmark'!D293</f>
        <v>Areal-majs</v>
      </c>
      <c r="E293" s="99" t="str">
        <f>'Resultater - Vestdanmark'!E293</f>
        <v>Hektar</v>
      </c>
      <c r="F293" s="99" t="str">
        <f>'Resultater - Vestdanmark'!F293</f>
        <v>CO2 - atmosfære</v>
      </c>
      <c r="G293" s="99" t="str">
        <f>'Resultater - Vestdanmark'!G293</f>
        <v>t CO2-ækvivalenter</v>
      </c>
      <c r="H293" s="298">
        <f>'Resultater - Vestdanmark'!H293+'Resultater - Østdanmark'!H293</f>
        <v>44451.157794126186</v>
      </c>
      <c r="I293" s="299">
        <f>'Resultater - Vestdanmark'!I293+'Resultater - Østdanmark'!I293</f>
        <v>38137.212661673853</v>
      </c>
      <c r="J293" s="300">
        <f>'Resultater - Vestdanmark'!J293+'Resultater - Østdanmark'!J293</f>
        <v>50749.422589865477</v>
      </c>
    </row>
    <row r="294" spans="1:10" hidden="1" x14ac:dyDescent="0.25">
      <c r="A294" s="99" t="str">
        <f>'Resultater - Vestdanmark'!A294</f>
        <v>Majsmark</v>
      </c>
      <c r="B294" s="99" t="str">
        <f>'Resultater - Vestdanmark'!B294</f>
        <v>Økologisk</v>
      </c>
      <c r="C294" s="99" t="str">
        <f>'Resultater - Vestdanmark'!C294</f>
        <v>OC6</v>
      </c>
      <c r="D294" s="99" t="str">
        <f>'Resultater - Vestdanmark'!D294</f>
        <v>Areal-majs</v>
      </c>
      <c r="E294" s="99" t="str">
        <f>'Resultater - Vestdanmark'!E294</f>
        <v>Hektar</v>
      </c>
      <c r="F294" s="99" t="str">
        <f>'Resultater - Vestdanmark'!F294</f>
        <v>Majs</v>
      </c>
      <c r="G294" s="99" t="str">
        <f>'Resultater - Vestdanmark'!G294</f>
        <v>Ton</v>
      </c>
      <c r="H294" s="298">
        <f>'Resultater - Vestdanmark'!H294+'Resultater - Østdanmark'!H294</f>
        <v>28840.49606644551</v>
      </c>
      <c r="I294" s="299">
        <f>'Resultater - Vestdanmark'!I294+'Resultater - Østdanmark'!I294</f>
        <v>0</v>
      </c>
      <c r="J294" s="300">
        <f>'Resultater - Vestdanmark'!J294+'Resultater - Østdanmark'!J294</f>
        <v>0</v>
      </c>
    </row>
    <row r="295" spans="1:10" hidden="1" x14ac:dyDescent="0.25">
      <c r="A295" s="99" t="str">
        <f>'Resultater - Vestdanmark'!A295</f>
        <v>Majsmark</v>
      </c>
      <c r="B295" s="99" t="str">
        <f>'Resultater - Vestdanmark'!B295</f>
        <v>Økologisk</v>
      </c>
      <c r="C295" s="99" t="str">
        <f>'Resultater - Vestdanmark'!C295</f>
        <v>OC6</v>
      </c>
      <c r="D295" s="99" t="str">
        <f>'Resultater - Vestdanmark'!D295</f>
        <v>Areal-majs</v>
      </c>
      <c r="E295" s="99" t="str">
        <f>'Resultater - Vestdanmark'!E295</f>
        <v>Hektar</v>
      </c>
      <c r="F295" s="99" t="str">
        <f>'Resultater - Vestdanmark'!F295</f>
        <v>Gødning</v>
      </c>
      <c r="G295" s="99" t="str">
        <f>'Resultater - Vestdanmark'!G295</f>
        <v>kg N</v>
      </c>
      <c r="H295" s="298">
        <f>'Resultater - Vestdanmark'!H295+'Resultater - Østdanmark'!H295</f>
        <v>-70195.171284316559</v>
      </c>
      <c r="I295" s="299">
        <f>'Resultater - Vestdanmark'!I295+'Resultater - Østdanmark'!I295</f>
        <v>0</v>
      </c>
      <c r="J295" s="300">
        <f>'Resultater - Vestdanmark'!J295+'Resultater - Østdanmark'!J295</f>
        <v>0</v>
      </c>
    </row>
    <row r="296" spans="1:10" hidden="1" x14ac:dyDescent="0.25">
      <c r="A296" s="99" t="str">
        <f>'Resultater - Vestdanmark'!A296</f>
        <v>Majsmark</v>
      </c>
      <c r="B296" s="99" t="str">
        <f>'Resultater - Vestdanmark'!B296</f>
        <v>Økologisk</v>
      </c>
      <c r="C296" s="99" t="str">
        <f>'Resultater - Vestdanmark'!C296</f>
        <v>OC6</v>
      </c>
      <c r="D296" s="99" t="str">
        <f>'Resultater - Vestdanmark'!D296</f>
        <v>Areal-majs</v>
      </c>
      <c r="E296" s="99" t="str">
        <f>'Resultater - Vestdanmark'!E296</f>
        <v>Hektar</v>
      </c>
      <c r="F296" s="99" t="str">
        <f>'Resultater - Vestdanmark'!F296</f>
        <v>CO2 - atmosfære</v>
      </c>
      <c r="G296" s="99" t="str">
        <f>'Resultater - Vestdanmark'!G296</f>
        <v>t CO2-ækvivalenter</v>
      </c>
      <c r="H296" s="298">
        <f>'Resultater - Vestdanmark'!H296+'Resultater - Østdanmark'!H296</f>
        <v>10403.519233105488</v>
      </c>
      <c r="I296" s="299">
        <f>'Resultater - Vestdanmark'!I296+'Resultater - Østdanmark'!I296</f>
        <v>0</v>
      </c>
      <c r="J296" s="300">
        <f>'Resultater - Vestdanmark'!J296+'Resultater - Østdanmark'!J296</f>
        <v>0</v>
      </c>
    </row>
    <row r="297" spans="1:10" hidden="1" x14ac:dyDescent="0.25">
      <c r="A297" s="99" t="str">
        <f>'Resultater - Vestdanmark'!A297</f>
        <v>Majsmark</v>
      </c>
      <c r="B297" s="99" t="str">
        <f>'Resultater - Vestdanmark'!B297</f>
        <v>Økologisk</v>
      </c>
      <c r="C297" s="99" t="str">
        <f>'Resultater - Vestdanmark'!C297</f>
        <v>OC12</v>
      </c>
      <c r="D297" s="99" t="str">
        <f>'Resultater - Vestdanmark'!D297</f>
        <v>Areal-majs</v>
      </c>
      <c r="E297" s="99" t="str">
        <f>'Resultater - Vestdanmark'!E297</f>
        <v>Hektar</v>
      </c>
      <c r="F297" s="99" t="str">
        <f>'Resultater - Vestdanmark'!F297</f>
        <v>Majs</v>
      </c>
      <c r="G297" s="99" t="str">
        <f>'Resultater - Vestdanmark'!G297</f>
        <v>Ton</v>
      </c>
      <c r="H297" s="298">
        <f>'Resultater - Vestdanmark'!H297+'Resultater - Østdanmark'!H297</f>
        <v>11437.406826914037</v>
      </c>
      <c r="I297" s="299">
        <f>'Resultater - Vestdanmark'!I297+'Resultater - Østdanmark'!I297</f>
        <v>0</v>
      </c>
      <c r="J297" s="300">
        <f>'Resultater - Vestdanmark'!J297+'Resultater - Østdanmark'!J297</f>
        <v>0</v>
      </c>
    </row>
    <row r="298" spans="1:10" hidden="1" x14ac:dyDescent="0.25">
      <c r="A298" s="99" t="str">
        <f>'Resultater - Vestdanmark'!A298</f>
        <v>Majsmark</v>
      </c>
      <c r="B298" s="99" t="str">
        <f>'Resultater - Vestdanmark'!B298</f>
        <v>Økologisk</v>
      </c>
      <c r="C298" s="99" t="str">
        <f>'Resultater - Vestdanmark'!C298</f>
        <v>OC12</v>
      </c>
      <c r="D298" s="99" t="str">
        <f>'Resultater - Vestdanmark'!D298</f>
        <v>Areal-majs</v>
      </c>
      <c r="E298" s="99" t="str">
        <f>'Resultater - Vestdanmark'!E298</f>
        <v>Hektar</v>
      </c>
      <c r="F298" s="99" t="str">
        <f>'Resultater - Vestdanmark'!F298</f>
        <v>Gødning</v>
      </c>
      <c r="G298" s="99" t="str">
        <f>'Resultater - Vestdanmark'!G298</f>
        <v>kg N</v>
      </c>
      <c r="H298" s="298">
        <f>'Resultater - Vestdanmark'!H298+'Resultater - Østdanmark'!H298</f>
        <v>-18354.473837201975</v>
      </c>
      <c r="I298" s="299">
        <f>'Resultater - Vestdanmark'!I298+'Resultater - Østdanmark'!I298</f>
        <v>0</v>
      </c>
      <c r="J298" s="300">
        <f>'Resultater - Vestdanmark'!J298+'Resultater - Østdanmark'!J298</f>
        <v>0</v>
      </c>
    </row>
    <row r="299" spans="1:10" hidden="1" x14ac:dyDescent="0.25">
      <c r="A299" s="99" t="str">
        <f>'Resultater - Vestdanmark'!A299</f>
        <v>Majsmark</v>
      </c>
      <c r="B299" s="99" t="str">
        <f>'Resultater - Vestdanmark'!B299</f>
        <v>Økologisk</v>
      </c>
      <c r="C299" s="99" t="str">
        <f>'Resultater - Vestdanmark'!C299</f>
        <v>OC12</v>
      </c>
      <c r="D299" s="99" t="str">
        <f>'Resultater - Vestdanmark'!D299</f>
        <v>Areal-majs</v>
      </c>
      <c r="E299" s="99" t="str">
        <f>'Resultater - Vestdanmark'!E299</f>
        <v>Hektar</v>
      </c>
      <c r="F299" s="99" t="str">
        <f>'Resultater - Vestdanmark'!F299</f>
        <v>CO2 - atmosfære</v>
      </c>
      <c r="G299" s="99" t="str">
        <f>'Resultater - Vestdanmark'!G299</f>
        <v>t CO2-ækvivalenter</v>
      </c>
      <c r="H299" s="298">
        <f>'Resultater - Vestdanmark'!H299+'Resultater - Østdanmark'!H299</f>
        <v>9055.9855765916054</v>
      </c>
      <c r="I299" s="299">
        <f>'Resultater - Vestdanmark'!I299+'Resultater - Østdanmark'!I299</f>
        <v>0</v>
      </c>
      <c r="J299" s="300">
        <f>'Resultater - Vestdanmark'!J299+'Resultater - Østdanmark'!J299</f>
        <v>0</v>
      </c>
    </row>
    <row r="300" spans="1:10" hidden="1" x14ac:dyDescent="0.25">
      <c r="A300" s="99" t="str">
        <f>'Resultater - Vestdanmark'!A300</f>
        <v>Rapsmark</v>
      </c>
      <c r="B300" s="99" t="str">
        <f>'Resultater - Vestdanmark'!B300</f>
        <v>Konventionel</v>
      </c>
      <c r="C300" s="99" t="str">
        <f>'Resultater - Vestdanmark'!C300</f>
        <v>JB1-10</v>
      </c>
      <c r="D300" s="99" t="str">
        <f>'Resultater - Vestdanmark'!D300</f>
        <v>Areal-raps</v>
      </c>
      <c r="E300" s="99" t="str">
        <f>'Resultater - Vestdanmark'!E300</f>
        <v>Hektar</v>
      </c>
      <c r="F300" s="99" t="str">
        <f>'Resultater - Vestdanmark'!F300</f>
        <v>Raps</v>
      </c>
      <c r="G300" s="99" t="str">
        <f>'Resultater - Vestdanmark'!G300</f>
        <v>Ton</v>
      </c>
      <c r="H300" s="298">
        <f>'Resultater - Vestdanmark'!H300+'Resultater - Østdanmark'!H300</f>
        <v>614076.2528869072</v>
      </c>
      <c r="I300" s="299">
        <f>'Resultater - Vestdanmark'!I300+'Resultater - Østdanmark'!I300</f>
        <v>430831.31726374477</v>
      </c>
      <c r="J300" s="300">
        <f>'Resultater - Vestdanmark'!J300+'Resultater - Østdanmark'!J300</f>
        <v>412576.39713938488</v>
      </c>
    </row>
    <row r="301" spans="1:10" x14ac:dyDescent="0.25">
      <c r="A301" s="99" t="str">
        <f>'Resultater - Vestdanmark'!A301</f>
        <v>Rapsmark</v>
      </c>
      <c r="B301" s="99" t="str">
        <f>'Resultater - Vestdanmark'!B301</f>
        <v>Konventionel</v>
      </c>
      <c r="C301" s="99" t="str">
        <f>'Resultater - Vestdanmark'!C301</f>
        <v>JB1-10</v>
      </c>
      <c r="D301" s="99" t="str">
        <f>'Resultater - Vestdanmark'!D301</f>
        <v>Areal-raps</v>
      </c>
      <c r="E301" s="99" t="str">
        <f>'Resultater - Vestdanmark'!E301</f>
        <v>Hektar</v>
      </c>
      <c r="F301" s="99" t="str">
        <f>'Resultater - Vestdanmark'!F301</f>
        <v>Halm</v>
      </c>
      <c r="G301" s="99" t="str">
        <f>'Resultater - Vestdanmark'!G301</f>
        <v>Ton</v>
      </c>
      <c r="H301" s="298">
        <f>'Resultater - Vestdanmark'!H301+'Resultater - Østdanmark'!H301</f>
        <v>327981.19704816159</v>
      </c>
      <c r="I301" s="299">
        <f>'Resultater - Vestdanmark'!I301+'Resultater - Østdanmark'!I301</f>
        <v>228344.61709863975</v>
      </c>
      <c r="J301" s="300">
        <f>'Resultater - Vestdanmark'!J301+'Resultater - Østdanmark'!J301</f>
        <v>219078.06688101334</v>
      </c>
    </row>
    <row r="302" spans="1:10" hidden="1" x14ac:dyDescent="0.25">
      <c r="A302" s="99" t="str">
        <f>'Resultater - Vestdanmark'!A302</f>
        <v>Rapsmark</v>
      </c>
      <c r="B302" s="99" t="str">
        <f>'Resultater - Vestdanmark'!B302</f>
        <v>Konventionel</v>
      </c>
      <c r="C302" s="99" t="str">
        <f>'Resultater - Vestdanmark'!C302</f>
        <v>JB1-10</v>
      </c>
      <c r="D302" s="99" t="str">
        <f>'Resultater - Vestdanmark'!D302</f>
        <v>Areal-raps</v>
      </c>
      <c r="E302" s="99" t="str">
        <f>'Resultater - Vestdanmark'!E302</f>
        <v>Hektar</v>
      </c>
      <c r="F302" s="99" t="str">
        <f>'Resultater - Vestdanmark'!F302</f>
        <v>Gødning</v>
      </c>
      <c r="G302" s="99" t="str">
        <f>'Resultater - Vestdanmark'!G302</f>
        <v>kg N</v>
      </c>
      <c r="H302" s="298">
        <f>'Resultater - Vestdanmark'!H302+'Resultater - Østdanmark'!H302</f>
        <v>-24423487.330729261</v>
      </c>
      <c r="I302" s="299">
        <f>'Resultater - Vestdanmark'!I302+'Resultater - Østdanmark'!I302</f>
        <v>-15984455.673582796</v>
      </c>
      <c r="J302" s="300">
        <f>'Resultater - Vestdanmark'!J302+'Resultater - Østdanmark'!J302</f>
        <v>-14917535.020535609</v>
      </c>
    </row>
    <row r="303" spans="1:10" hidden="1" x14ac:dyDescent="0.25">
      <c r="A303" s="99" t="str">
        <f>'Resultater - Vestdanmark'!A303</f>
        <v>Rapsmark</v>
      </c>
      <c r="B303" s="99" t="str">
        <f>'Resultater - Vestdanmark'!B303</f>
        <v>Konventionel</v>
      </c>
      <c r="C303" s="99" t="str">
        <f>'Resultater - Vestdanmark'!C303</f>
        <v>JB1-10</v>
      </c>
      <c r="D303" s="99" t="str">
        <f>'Resultater - Vestdanmark'!D303</f>
        <v>Areal-raps</v>
      </c>
      <c r="E303" s="99" t="str">
        <f>'Resultater - Vestdanmark'!E303</f>
        <v>Hektar</v>
      </c>
      <c r="F303" s="99" t="str">
        <f>'Resultater - Vestdanmark'!F303</f>
        <v>CO2 - atmosfære</v>
      </c>
      <c r="G303" s="99" t="str">
        <f>'Resultater - Vestdanmark'!G303</f>
        <v>t CO2-ækvivalenter</v>
      </c>
      <c r="H303" s="298">
        <f>'Resultater - Vestdanmark'!H303+'Resultater - Østdanmark'!H303</f>
        <v>317323.11758989503</v>
      </c>
      <c r="I303" s="299">
        <f>'Resultater - Vestdanmark'!I303+'Resultater - Østdanmark'!I303</f>
        <v>207678.66761340696</v>
      </c>
      <c r="J303" s="300">
        <f>'Resultater - Vestdanmark'!J303+'Resultater - Østdanmark'!J303</f>
        <v>193816.65915976526</v>
      </c>
    </row>
    <row r="304" spans="1:10" hidden="1" x14ac:dyDescent="0.25">
      <c r="A304" s="99" t="str">
        <f>'Resultater - Vestdanmark'!A304</f>
        <v>Rapsmark</v>
      </c>
      <c r="B304" s="99" t="str">
        <f>'Resultater - Vestdanmark'!B304</f>
        <v>Konventionel</v>
      </c>
      <c r="C304" s="99" t="str">
        <f>'Resultater - Vestdanmark'!C304</f>
        <v>OC6</v>
      </c>
      <c r="D304" s="99" t="str">
        <f>'Resultater - Vestdanmark'!D304</f>
        <v>Areal-raps</v>
      </c>
      <c r="E304" s="99" t="str">
        <f>'Resultater - Vestdanmark'!E304</f>
        <v>Hektar</v>
      </c>
      <c r="F304" s="99" t="str">
        <f>'Resultater - Vestdanmark'!F304</f>
        <v>Raps</v>
      </c>
      <c r="G304" s="99" t="str">
        <f>'Resultater - Vestdanmark'!G304</f>
        <v>Ton</v>
      </c>
      <c r="H304" s="298">
        <f>'Resultater - Vestdanmark'!H304+'Resultater - Østdanmark'!H304</f>
        <v>13323.118692618173</v>
      </c>
      <c r="I304" s="299">
        <f>'Resultater - Vestdanmark'!I304+'Resultater - Østdanmark'!I304</f>
        <v>0</v>
      </c>
      <c r="J304" s="300">
        <f>'Resultater - Vestdanmark'!J304+'Resultater - Østdanmark'!J304</f>
        <v>0</v>
      </c>
    </row>
    <row r="305" spans="1:10" x14ac:dyDescent="0.25">
      <c r="A305" s="99" t="str">
        <f>'Resultater - Vestdanmark'!A305</f>
        <v>Rapsmark</v>
      </c>
      <c r="B305" s="99" t="str">
        <f>'Resultater - Vestdanmark'!B305</f>
        <v>Konventionel</v>
      </c>
      <c r="C305" s="99" t="str">
        <f>'Resultater - Vestdanmark'!C305</f>
        <v>OC6</v>
      </c>
      <c r="D305" s="99" t="str">
        <f>'Resultater - Vestdanmark'!D305</f>
        <v>Areal-raps</v>
      </c>
      <c r="E305" s="99" t="str">
        <f>'Resultater - Vestdanmark'!E305</f>
        <v>Hektar</v>
      </c>
      <c r="F305" s="99" t="str">
        <f>'Resultater - Vestdanmark'!F305</f>
        <v>Halm</v>
      </c>
      <c r="G305" s="99" t="str">
        <f>'Resultater - Vestdanmark'!G305</f>
        <v>Ton</v>
      </c>
      <c r="H305" s="298">
        <f>'Resultater - Vestdanmark'!H305+'Resultater - Østdanmark'!H305</f>
        <v>7115.9443093208292</v>
      </c>
      <c r="I305" s="299">
        <f>'Resultater - Vestdanmark'!I305+'Resultater - Østdanmark'!I305</f>
        <v>0</v>
      </c>
      <c r="J305" s="300">
        <f>'Resultater - Vestdanmark'!J305+'Resultater - Østdanmark'!J305</f>
        <v>0</v>
      </c>
    </row>
    <row r="306" spans="1:10" hidden="1" x14ac:dyDescent="0.25">
      <c r="A306" s="99" t="str">
        <f>'Resultater - Vestdanmark'!A306</f>
        <v>Rapsmark</v>
      </c>
      <c r="B306" s="99" t="str">
        <f>'Resultater - Vestdanmark'!B306</f>
        <v>Konventionel</v>
      </c>
      <c r="C306" s="99" t="str">
        <f>'Resultater - Vestdanmark'!C306</f>
        <v>OC6</v>
      </c>
      <c r="D306" s="99" t="str">
        <f>'Resultater - Vestdanmark'!D306</f>
        <v>Areal-raps</v>
      </c>
      <c r="E306" s="99" t="str">
        <f>'Resultater - Vestdanmark'!E306</f>
        <v>Hektar</v>
      </c>
      <c r="F306" s="99" t="str">
        <f>'Resultater - Vestdanmark'!F306</f>
        <v>Gødning</v>
      </c>
      <c r="G306" s="99" t="str">
        <f>'Resultater - Vestdanmark'!G306</f>
        <v>kg N</v>
      </c>
      <c r="H306" s="298">
        <f>'Resultater - Vestdanmark'!H306+'Resultater - Østdanmark'!H306</f>
        <v>-365881.10046015814</v>
      </c>
      <c r="I306" s="299">
        <f>'Resultater - Vestdanmark'!I306+'Resultater - Østdanmark'!I306</f>
        <v>0</v>
      </c>
      <c r="J306" s="300">
        <f>'Resultater - Vestdanmark'!J306+'Resultater - Østdanmark'!J306</f>
        <v>0</v>
      </c>
    </row>
    <row r="307" spans="1:10" hidden="1" x14ac:dyDescent="0.25">
      <c r="A307" s="99" t="str">
        <f>'Resultater - Vestdanmark'!A307</f>
        <v>Rapsmark</v>
      </c>
      <c r="B307" s="99" t="str">
        <f>'Resultater - Vestdanmark'!B307</f>
        <v>Konventionel</v>
      </c>
      <c r="C307" s="99" t="str">
        <f>'Resultater - Vestdanmark'!C307</f>
        <v>OC6</v>
      </c>
      <c r="D307" s="99" t="str">
        <f>'Resultater - Vestdanmark'!D307</f>
        <v>Areal-raps</v>
      </c>
      <c r="E307" s="99" t="str">
        <f>'Resultater - Vestdanmark'!E307</f>
        <v>Hektar</v>
      </c>
      <c r="F307" s="99" t="str">
        <f>'Resultater - Vestdanmark'!F307</f>
        <v>CO2 - atmosfære</v>
      </c>
      <c r="G307" s="99" t="str">
        <f>'Resultater - Vestdanmark'!G307</f>
        <v>t CO2-ækvivalenter</v>
      </c>
      <c r="H307" s="298">
        <f>'Resultater - Vestdanmark'!H307+'Resultater - Østdanmark'!H307</f>
        <v>40352.129195848909</v>
      </c>
      <c r="I307" s="299">
        <f>'Resultater - Vestdanmark'!I307+'Resultater - Østdanmark'!I307</f>
        <v>0</v>
      </c>
      <c r="J307" s="300">
        <f>'Resultater - Vestdanmark'!J307+'Resultater - Østdanmark'!J307</f>
        <v>0</v>
      </c>
    </row>
    <row r="308" spans="1:10" hidden="1" x14ac:dyDescent="0.25">
      <c r="A308" s="99" t="str">
        <f>'Resultater - Vestdanmark'!A308</f>
        <v>Rapsmark</v>
      </c>
      <c r="B308" s="99" t="str">
        <f>'Resultater - Vestdanmark'!B308</f>
        <v>Konventionel</v>
      </c>
      <c r="C308" s="99" t="str">
        <f>'Resultater - Vestdanmark'!C308</f>
        <v>OC12</v>
      </c>
      <c r="D308" s="99" t="str">
        <f>'Resultater - Vestdanmark'!D308</f>
        <v>Areal-raps</v>
      </c>
      <c r="E308" s="99" t="str">
        <f>'Resultater - Vestdanmark'!E308</f>
        <v>Hektar</v>
      </c>
      <c r="F308" s="99" t="str">
        <f>'Resultater - Vestdanmark'!F308</f>
        <v>Raps</v>
      </c>
      <c r="G308" s="99" t="str">
        <f>'Resultater - Vestdanmark'!G308</f>
        <v>Ton</v>
      </c>
      <c r="H308" s="298">
        <f>'Resultater - Vestdanmark'!H308+'Resultater - Østdanmark'!H308</f>
        <v>6434.7975318427207</v>
      </c>
      <c r="I308" s="299">
        <f>'Resultater - Vestdanmark'!I308+'Resultater - Østdanmark'!I308</f>
        <v>0</v>
      </c>
      <c r="J308" s="300">
        <f>'Resultater - Vestdanmark'!J308+'Resultater - Østdanmark'!J308</f>
        <v>0</v>
      </c>
    </row>
    <row r="309" spans="1:10" x14ac:dyDescent="0.25">
      <c r="A309" s="99" t="str">
        <f>'Resultater - Vestdanmark'!A309</f>
        <v>Rapsmark</v>
      </c>
      <c r="B309" s="99" t="str">
        <f>'Resultater - Vestdanmark'!B309</f>
        <v>Konventionel</v>
      </c>
      <c r="C309" s="99" t="str">
        <f>'Resultater - Vestdanmark'!C309</f>
        <v>OC12</v>
      </c>
      <c r="D309" s="99" t="str">
        <f>'Resultater - Vestdanmark'!D309</f>
        <v>Areal-raps</v>
      </c>
      <c r="E309" s="99" t="str">
        <f>'Resultater - Vestdanmark'!E309</f>
        <v>Hektar</v>
      </c>
      <c r="F309" s="99" t="str">
        <f>'Resultater - Vestdanmark'!F309</f>
        <v>Halm</v>
      </c>
      <c r="G309" s="99" t="str">
        <f>'Resultater - Vestdanmark'!G309</f>
        <v>Ton</v>
      </c>
      <c r="H309" s="298">
        <f>'Resultater - Vestdanmark'!H309+'Resultater - Østdanmark'!H309</f>
        <v>3436.8575357448558</v>
      </c>
      <c r="I309" s="299">
        <f>'Resultater - Vestdanmark'!I309+'Resultater - Østdanmark'!I309</f>
        <v>0</v>
      </c>
      <c r="J309" s="300">
        <f>'Resultater - Vestdanmark'!J309+'Resultater - Østdanmark'!J309</f>
        <v>0</v>
      </c>
    </row>
    <row r="310" spans="1:10" hidden="1" x14ac:dyDescent="0.25">
      <c r="A310" s="99" t="str">
        <f>'Resultater - Vestdanmark'!A310</f>
        <v>Rapsmark</v>
      </c>
      <c r="B310" s="99" t="str">
        <f>'Resultater - Vestdanmark'!B310</f>
        <v>Konventionel</v>
      </c>
      <c r="C310" s="99" t="str">
        <f>'Resultater - Vestdanmark'!C310</f>
        <v>OC12</v>
      </c>
      <c r="D310" s="99" t="str">
        <f>'Resultater - Vestdanmark'!D310</f>
        <v>Areal-raps</v>
      </c>
      <c r="E310" s="99" t="str">
        <f>'Resultater - Vestdanmark'!E310</f>
        <v>Hektar</v>
      </c>
      <c r="F310" s="99" t="str">
        <f>'Resultater - Vestdanmark'!F310</f>
        <v>Gødning</v>
      </c>
      <c r="G310" s="99" t="str">
        <f>'Resultater - Vestdanmark'!G310</f>
        <v>kg N</v>
      </c>
      <c r="H310" s="298">
        <f>'Resultater - Vestdanmark'!H310+'Resultater - Østdanmark'!H310</f>
        <v>-120130.14872758326</v>
      </c>
      <c r="I310" s="299">
        <f>'Resultater - Vestdanmark'!I310+'Resultater - Østdanmark'!I310</f>
        <v>0</v>
      </c>
      <c r="J310" s="300">
        <f>'Resultater - Vestdanmark'!J310+'Resultater - Østdanmark'!J310</f>
        <v>0</v>
      </c>
    </row>
    <row r="311" spans="1:10" hidden="1" x14ac:dyDescent="0.25">
      <c r="A311" s="99" t="str">
        <f>'Resultater - Vestdanmark'!A311</f>
        <v>Rapsmark</v>
      </c>
      <c r="B311" s="99" t="str">
        <f>'Resultater - Vestdanmark'!B311</f>
        <v>Konventionel</v>
      </c>
      <c r="C311" s="99" t="str">
        <f>'Resultater - Vestdanmark'!C311</f>
        <v>OC12</v>
      </c>
      <c r="D311" s="99" t="str">
        <f>'Resultater - Vestdanmark'!D311</f>
        <v>Areal-raps</v>
      </c>
      <c r="E311" s="99" t="str">
        <f>'Resultater - Vestdanmark'!E311</f>
        <v>Hektar</v>
      </c>
      <c r="F311" s="99" t="str">
        <f>'Resultater - Vestdanmark'!F311</f>
        <v>CO2 - atmosfære</v>
      </c>
      <c r="G311" s="99" t="str">
        <f>'Resultater - Vestdanmark'!G311</f>
        <v>t CO2-ækvivalenter</v>
      </c>
      <c r="H311" s="298">
        <f>'Resultater - Vestdanmark'!H311+'Resultater - Østdanmark'!H311</f>
        <v>42778.549000109218</v>
      </c>
      <c r="I311" s="299">
        <f>'Resultater - Vestdanmark'!I311+'Resultater - Østdanmark'!I311</f>
        <v>0</v>
      </c>
      <c r="J311" s="300">
        <f>'Resultater - Vestdanmark'!J311+'Resultater - Østdanmark'!J311</f>
        <v>0</v>
      </c>
    </row>
    <row r="312" spans="1:10" hidden="1" x14ac:dyDescent="0.25">
      <c r="A312" s="99" t="str">
        <f>'Resultater - Vestdanmark'!A312</f>
        <v>Rapsmark</v>
      </c>
      <c r="B312" s="99" t="str">
        <f>'Resultater - Vestdanmark'!B312</f>
        <v>Økologisk</v>
      </c>
      <c r="C312" s="99" t="str">
        <f>'Resultater - Vestdanmark'!C312</f>
        <v>JB1-10</v>
      </c>
      <c r="D312" s="99" t="str">
        <f>'Resultater - Vestdanmark'!D312</f>
        <v>Areal-raps</v>
      </c>
      <c r="E312" s="99" t="str">
        <f>'Resultater - Vestdanmark'!E312</f>
        <v>Hektar</v>
      </c>
      <c r="F312" s="99" t="str">
        <f>'Resultater - Vestdanmark'!F312</f>
        <v>Raps</v>
      </c>
      <c r="G312" s="99" t="str">
        <f>'Resultater - Vestdanmark'!G312</f>
        <v>Ton</v>
      </c>
      <c r="H312" s="298">
        <f>'Resultater - Vestdanmark'!H312+'Resultater - Østdanmark'!H312</f>
        <v>43184.19576890875</v>
      </c>
      <c r="I312" s="299">
        <f>'Resultater - Vestdanmark'!I312+'Resultater - Østdanmark'!I312</f>
        <v>36981.763360500641</v>
      </c>
      <c r="J312" s="300">
        <f>'Resultater - Vestdanmark'!J312+'Resultater - Østdanmark'!J312</f>
        <v>48133.912999594912</v>
      </c>
    </row>
    <row r="313" spans="1:10" x14ac:dyDescent="0.25">
      <c r="A313" s="99" t="str">
        <f>'Resultater - Vestdanmark'!A313</f>
        <v>Rapsmark</v>
      </c>
      <c r="B313" s="99" t="str">
        <f>'Resultater - Vestdanmark'!B313</f>
        <v>Økologisk</v>
      </c>
      <c r="C313" s="99" t="str">
        <f>'Resultater - Vestdanmark'!C313</f>
        <v>JB1-10</v>
      </c>
      <c r="D313" s="99" t="str">
        <f>'Resultater - Vestdanmark'!D313</f>
        <v>Areal-raps</v>
      </c>
      <c r="E313" s="99" t="str">
        <f>'Resultater - Vestdanmark'!E313</f>
        <v>Hektar</v>
      </c>
      <c r="F313" s="99" t="str">
        <f>'Resultater - Vestdanmark'!F313</f>
        <v>Halm</v>
      </c>
      <c r="G313" s="99" t="str">
        <f>'Resultater - Vestdanmark'!G313</f>
        <v>Ton</v>
      </c>
      <c r="H313" s="298">
        <f>'Resultater - Vestdanmark'!H313+'Resultater - Østdanmark'!H313</f>
        <v>23064.894881153006</v>
      </c>
      <c r="I313" s="299">
        <f>'Resultater - Vestdanmark'!I313+'Resultater - Østdanmark'!I313</f>
        <v>19600.679560201159</v>
      </c>
      <c r="J313" s="300">
        <f>'Resultater - Vestdanmark'!J313+'Resultater - Østdanmark'!J313</f>
        <v>25559.107802784889</v>
      </c>
    </row>
    <row r="314" spans="1:10" hidden="1" x14ac:dyDescent="0.25">
      <c r="A314" s="99" t="str">
        <f>'Resultater - Vestdanmark'!A314</f>
        <v>Rapsmark</v>
      </c>
      <c r="B314" s="99" t="str">
        <f>'Resultater - Vestdanmark'!B314</f>
        <v>Økologisk</v>
      </c>
      <c r="C314" s="99" t="str">
        <f>'Resultater - Vestdanmark'!C314</f>
        <v>JB1-10</v>
      </c>
      <c r="D314" s="99" t="str">
        <f>'Resultater - Vestdanmark'!D314</f>
        <v>Areal-raps</v>
      </c>
      <c r="E314" s="99" t="str">
        <f>'Resultater - Vestdanmark'!E314</f>
        <v>Hektar</v>
      </c>
      <c r="F314" s="99" t="str">
        <f>'Resultater - Vestdanmark'!F314</f>
        <v>Gødning</v>
      </c>
      <c r="G314" s="99" t="str">
        <f>'Resultater - Vestdanmark'!G314</f>
        <v>kg N</v>
      </c>
      <c r="H314" s="298">
        <f>'Resultater - Vestdanmark'!H314+'Resultater - Østdanmark'!H314</f>
        <v>-1717553.2408088709</v>
      </c>
      <c r="I314" s="299">
        <f>'Resultater - Vestdanmark'!I314+'Resultater - Østdanmark'!I314</f>
        <v>-1372076.108397136</v>
      </c>
      <c r="J314" s="300">
        <f>'Resultater - Vestdanmark'!J314+'Resultater - Østdanmark'!J314</f>
        <v>-1740379.0857291545</v>
      </c>
    </row>
    <row r="315" spans="1:10" hidden="1" x14ac:dyDescent="0.25">
      <c r="A315" s="99" t="str">
        <f>'Resultater - Vestdanmark'!A315</f>
        <v>Rapsmark</v>
      </c>
      <c r="B315" s="99" t="str">
        <f>'Resultater - Vestdanmark'!B315</f>
        <v>Økologisk</v>
      </c>
      <c r="C315" s="99" t="str">
        <f>'Resultater - Vestdanmark'!C315</f>
        <v>JB1-10</v>
      </c>
      <c r="D315" s="99" t="str">
        <f>'Resultater - Vestdanmark'!D315</f>
        <v>Areal-raps</v>
      </c>
      <c r="E315" s="99" t="str">
        <f>'Resultater - Vestdanmark'!E315</f>
        <v>Hektar</v>
      </c>
      <c r="F315" s="99" t="str">
        <f>'Resultater - Vestdanmark'!F315</f>
        <v>CO2 - atmosfære</v>
      </c>
      <c r="G315" s="99" t="str">
        <f>'Resultater - Vestdanmark'!G315</f>
        <v>t CO2-ækvivalenter</v>
      </c>
      <c r="H315" s="298">
        <f>'Resultater - Vestdanmark'!H315+'Resultater - Østdanmark'!H315</f>
        <v>40573.414332296394</v>
      </c>
      <c r="I315" s="299">
        <f>'Resultater - Vestdanmark'!I315+'Resultater - Østdanmark'!I315</f>
        <v>32412.277604404553</v>
      </c>
      <c r="J315" s="300">
        <f>'Resultater - Vestdanmark'!J315+'Resultater - Østdanmark'!J315</f>
        <v>41112.624670253237</v>
      </c>
    </row>
    <row r="316" spans="1:10" hidden="1" x14ac:dyDescent="0.25">
      <c r="A316" s="99" t="str">
        <f>'Resultater - Vestdanmark'!A316</f>
        <v>Rapsmark</v>
      </c>
      <c r="B316" s="99" t="str">
        <f>'Resultater - Vestdanmark'!B316</f>
        <v>Økologisk</v>
      </c>
      <c r="C316" s="99" t="str">
        <f>'Resultater - Vestdanmark'!C316</f>
        <v>OC6</v>
      </c>
      <c r="D316" s="99" t="str">
        <f>'Resultater - Vestdanmark'!D316</f>
        <v>Areal-raps</v>
      </c>
      <c r="E316" s="99" t="str">
        <f>'Resultater - Vestdanmark'!E316</f>
        <v>Hektar</v>
      </c>
      <c r="F316" s="99" t="str">
        <f>'Resultater - Vestdanmark'!F316</f>
        <v>Raps</v>
      </c>
      <c r="G316" s="99" t="str">
        <f>'Resultater - Vestdanmark'!G316</f>
        <v>Ton</v>
      </c>
      <c r="H316" s="298">
        <f>'Resultater - Vestdanmark'!H316+'Resultater - Østdanmark'!H316</f>
        <v>936.9327720614383</v>
      </c>
      <c r="I316" s="299">
        <f>'Resultater - Vestdanmark'!I316+'Resultater - Østdanmark'!I316</f>
        <v>0</v>
      </c>
      <c r="J316" s="300">
        <f>'Resultater - Vestdanmark'!J316+'Resultater - Østdanmark'!J316</f>
        <v>0</v>
      </c>
    </row>
    <row r="317" spans="1:10" x14ac:dyDescent="0.25">
      <c r="A317" s="99" t="str">
        <f>'Resultater - Vestdanmark'!A317</f>
        <v>Rapsmark</v>
      </c>
      <c r="B317" s="99" t="str">
        <f>'Resultater - Vestdanmark'!B317</f>
        <v>Økologisk</v>
      </c>
      <c r="C317" s="99" t="str">
        <f>'Resultater - Vestdanmark'!C317</f>
        <v>OC6</v>
      </c>
      <c r="D317" s="99" t="str">
        <f>'Resultater - Vestdanmark'!D317</f>
        <v>Areal-raps</v>
      </c>
      <c r="E317" s="99" t="str">
        <f>'Resultater - Vestdanmark'!E317</f>
        <v>Hektar</v>
      </c>
      <c r="F317" s="99" t="str">
        <f>'Resultater - Vestdanmark'!F317</f>
        <v>Halm</v>
      </c>
      <c r="G317" s="99" t="str">
        <f>'Resultater - Vestdanmark'!G317</f>
        <v>Ton</v>
      </c>
      <c r="H317" s="298">
        <f>'Resultater - Vestdanmark'!H317+'Resultater - Østdanmark'!H317</f>
        <v>500.42047822187442</v>
      </c>
      <c r="I317" s="299">
        <f>'Resultater - Vestdanmark'!I317+'Resultater - Østdanmark'!I317</f>
        <v>0</v>
      </c>
      <c r="J317" s="300">
        <f>'Resultater - Vestdanmark'!J317+'Resultater - Østdanmark'!J317</f>
        <v>0</v>
      </c>
    </row>
    <row r="318" spans="1:10" hidden="1" x14ac:dyDescent="0.25">
      <c r="A318" s="99" t="str">
        <f>'Resultater - Vestdanmark'!A318</f>
        <v>Rapsmark</v>
      </c>
      <c r="B318" s="99" t="str">
        <f>'Resultater - Vestdanmark'!B318</f>
        <v>Økologisk</v>
      </c>
      <c r="C318" s="99" t="str">
        <f>'Resultater - Vestdanmark'!C318</f>
        <v>OC6</v>
      </c>
      <c r="D318" s="99" t="str">
        <f>'Resultater - Vestdanmark'!D318</f>
        <v>Areal-raps</v>
      </c>
      <c r="E318" s="99" t="str">
        <f>'Resultater - Vestdanmark'!E318</f>
        <v>Hektar</v>
      </c>
      <c r="F318" s="99" t="str">
        <f>'Resultater - Vestdanmark'!F318</f>
        <v>Gødning</v>
      </c>
      <c r="G318" s="99" t="str">
        <f>'Resultater - Vestdanmark'!G318</f>
        <v>kg N</v>
      </c>
      <c r="H318" s="298">
        <f>'Resultater - Vestdanmark'!H318+'Resultater - Østdanmark'!H318</f>
        <v>-25730.161353959949</v>
      </c>
      <c r="I318" s="299">
        <f>'Resultater - Vestdanmark'!I318+'Resultater - Østdanmark'!I318</f>
        <v>0</v>
      </c>
      <c r="J318" s="300">
        <f>'Resultater - Vestdanmark'!J318+'Resultater - Østdanmark'!J318</f>
        <v>0</v>
      </c>
    </row>
    <row r="319" spans="1:10" hidden="1" x14ac:dyDescent="0.25">
      <c r="A319" s="99" t="str">
        <f>'Resultater - Vestdanmark'!A319</f>
        <v>Rapsmark</v>
      </c>
      <c r="B319" s="99" t="str">
        <f>'Resultater - Vestdanmark'!B319</f>
        <v>Økologisk</v>
      </c>
      <c r="C319" s="99" t="str">
        <f>'Resultater - Vestdanmark'!C319</f>
        <v>OC6</v>
      </c>
      <c r="D319" s="99" t="str">
        <f>'Resultater - Vestdanmark'!D319</f>
        <v>Areal-raps</v>
      </c>
      <c r="E319" s="99" t="str">
        <f>'Resultater - Vestdanmark'!E319</f>
        <v>Hektar</v>
      </c>
      <c r="F319" s="99" t="str">
        <f>'Resultater - Vestdanmark'!F319</f>
        <v>CO2 - atmosfære</v>
      </c>
      <c r="G319" s="99" t="str">
        <f>'Resultater - Vestdanmark'!G319</f>
        <v>t CO2-ækvivalenter</v>
      </c>
      <c r="H319" s="298">
        <f>'Resultater - Vestdanmark'!H319+'Resultater - Østdanmark'!H319</f>
        <v>5159.4843435562807</v>
      </c>
      <c r="I319" s="299">
        <f>'Resultater - Vestdanmark'!I319+'Resultater - Østdanmark'!I319</f>
        <v>0</v>
      </c>
      <c r="J319" s="300">
        <f>'Resultater - Vestdanmark'!J319+'Resultater - Østdanmark'!J319</f>
        <v>0</v>
      </c>
    </row>
    <row r="320" spans="1:10" hidden="1" x14ac:dyDescent="0.25">
      <c r="A320" s="99" t="str">
        <f>'Resultater - Vestdanmark'!A320</f>
        <v>Rapsmark</v>
      </c>
      <c r="B320" s="99" t="str">
        <f>'Resultater - Vestdanmark'!B320</f>
        <v>Økologisk</v>
      </c>
      <c r="C320" s="99" t="str">
        <f>'Resultater - Vestdanmark'!C320</f>
        <v>OC12</v>
      </c>
      <c r="D320" s="99" t="str">
        <f>'Resultater - Vestdanmark'!D320</f>
        <v>Areal-raps</v>
      </c>
      <c r="E320" s="99" t="str">
        <f>'Resultater - Vestdanmark'!E320</f>
        <v>Hektar</v>
      </c>
      <c r="F320" s="99" t="str">
        <f>'Resultater - Vestdanmark'!F320</f>
        <v>Raps</v>
      </c>
      <c r="G320" s="99" t="str">
        <f>'Resultater - Vestdanmark'!G320</f>
        <v>Ton</v>
      </c>
      <c r="H320" s="298">
        <f>'Resultater - Vestdanmark'!H320+'Resultater - Østdanmark'!H320</f>
        <v>452.51962609204435</v>
      </c>
      <c r="I320" s="299">
        <f>'Resultater - Vestdanmark'!I320+'Resultater - Østdanmark'!I320</f>
        <v>0</v>
      </c>
      <c r="J320" s="300">
        <f>'Resultater - Vestdanmark'!J320+'Resultater - Østdanmark'!J320</f>
        <v>0</v>
      </c>
    </row>
    <row r="321" spans="1:10" x14ac:dyDescent="0.25">
      <c r="A321" s="99" t="str">
        <f>'Resultater - Vestdanmark'!A321</f>
        <v>Rapsmark</v>
      </c>
      <c r="B321" s="99" t="str">
        <f>'Resultater - Vestdanmark'!B321</f>
        <v>Økologisk</v>
      </c>
      <c r="C321" s="99" t="str">
        <f>'Resultater - Vestdanmark'!C321</f>
        <v>OC12</v>
      </c>
      <c r="D321" s="99" t="str">
        <f>'Resultater - Vestdanmark'!D321</f>
        <v>Areal-raps</v>
      </c>
      <c r="E321" s="99" t="str">
        <f>'Resultater - Vestdanmark'!E321</f>
        <v>Hektar</v>
      </c>
      <c r="F321" s="99" t="str">
        <f>'Resultater - Vestdanmark'!F321</f>
        <v>Halm</v>
      </c>
      <c r="G321" s="99" t="str">
        <f>'Resultater - Vestdanmark'!G321</f>
        <v>Ton</v>
      </c>
      <c r="H321" s="298">
        <f>'Resultater - Vestdanmark'!H321+'Resultater - Østdanmark'!H321</f>
        <v>241.69299489389135</v>
      </c>
      <c r="I321" s="299">
        <f>'Resultater - Vestdanmark'!I321+'Resultater - Østdanmark'!I321</f>
        <v>0</v>
      </c>
      <c r="J321" s="300">
        <f>'Resultater - Vestdanmark'!J321+'Resultater - Østdanmark'!J321</f>
        <v>0</v>
      </c>
    </row>
    <row r="322" spans="1:10" hidden="1" x14ac:dyDescent="0.25">
      <c r="A322" s="99" t="str">
        <f>'Resultater - Vestdanmark'!A322</f>
        <v>Rapsmark</v>
      </c>
      <c r="B322" s="99" t="str">
        <f>'Resultater - Vestdanmark'!B322</f>
        <v>Økologisk</v>
      </c>
      <c r="C322" s="99" t="str">
        <f>'Resultater - Vestdanmark'!C322</f>
        <v>OC12</v>
      </c>
      <c r="D322" s="99" t="str">
        <f>'Resultater - Vestdanmark'!D322</f>
        <v>Areal-raps</v>
      </c>
      <c r="E322" s="99" t="str">
        <f>'Resultater - Vestdanmark'!E322</f>
        <v>Hektar</v>
      </c>
      <c r="F322" s="99" t="str">
        <f>'Resultater - Vestdanmark'!F322</f>
        <v>Gødning</v>
      </c>
      <c r="G322" s="99" t="str">
        <f>'Resultater - Vestdanmark'!G322</f>
        <v>kg N</v>
      </c>
      <c r="H322" s="298">
        <f>'Resultater - Vestdanmark'!H322+'Resultater - Østdanmark'!H322</f>
        <v>-8448.0125000949847</v>
      </c>
      <c r="I322" s="299">
        <f>'Resultater - Vestdanmark'!I322+'Resultater - Østdanmark'!I322</f>
        <v>0</v>
      </c>
      <c r="J322" s="300">
        <f>'Resultater - Vestdanmark'!J322+'Resultater - Østdanmark'!J322</f>
        <v>0</v>
      </c>
    </row>
    <row r="323" spans="1:10" hidden="1" x14ac:dyDescent="0.25">
      <c r="A323" s="99" t="str">
        <f>'Resultater - Vestdanmark'!A323</f>
        <v>Rapsmark</v>
      </c>
      <c r="B323" s="99" t="str">
        <f>'Resultater - Vestdanmark'!B323</f>
        <v>Økologisk</v>
      </c>
      <c r="C323" s="99" t="str">
        <f>'Resultater - Vestdanmark'!C323</f>
        <v>OC12</v>
      </c>
      <c r="D323" s="99" t="str">
        <f>'Resultater - Vestdanmark'!D323</f>
        <v>Areal-raps</v>
      </c>
      <c r="E323" s="99" t="str">
        <f>'Resultater - Vestdanmark'!E323</f>
        <v>Hektar</v>
      </c>
      <c r="F323" s="99" t="str">
        <f>'Resultater - Vestdanmark'!F323</f>
        <v>CO2 - atmosfære</v>
      </c>
      <c r="G323" s="99" t="str">
        <f>'Resultater - Vestdanmark'!G323</f>
        <v>t CO2-ækvivalenter</v>
      </c>
      <c r="H323" s="298">
        <f>'Resultater - Vestdanmark'!H323+'Resultater - Østdanmark'!H323</f>
        <v>5469.7300540171764</v>
      </c>
      <c r="I323" s="299">
        <f>'Resultater - Vestdanmark'!I323+'Resultater - Østdanmark'!I323</f>
        <v>0</v>
      </c>
      <c r="J323" s="300">
        <f>'Resultater - Vestdanmark'!J323+'Resultater - Østdanmark'!J323</f>
        <v>0</v>
      </c>
    </row>
    <row r="324" spans="1:10" hidden="1" x14ac:dyDescent="0.25">
      <c r="A324" s="99" t="str">
        <f>'Resultater - Vestdanmark'!A324</f>
        <v>Frøgræsmark</v>
      </c>
      <c r="B324" s="99" t="str">
        <f>'Resultater - Vestdanmark'!B324</f>
        <v>Konventionel</v>
      </c>
      <c r="C324" s="99" t="str">
        <f>'Resultater - Vestdanmark'!C324</f>
        <v>JB1-10</v>
      </c>
      <c r="D324" s="99" t="str">
        <f>'Resultater - Vestdanmark'!D324</f>
        <v>Areal-frøgræs</v>
      </c>
      <c r="E324" s="99" t="str">
        <f>'Resultater - Vestdanmark'!E324</f>
        <v>Hektar</v>
      </c>
      <c r="F324" s="99" t="str">
        <f>'Resultater - Vestdanmark'!F324</f>
        <v>Frø</v>
      </c>
      <c r="G324" s="99" t="str">
        <f>'Resultater - Vestdanmark'!G324</f>
        <v>Ton</v>
      </c>
      <c r="H324" s="298">
        <f>'Resultater - Vestdanmark'!H324+'Resultater - Østdanmark'!H324</f>
        <v>1244876.7164053498</v>
      </c>
      <c r="I324" s="299">
        <f>'Resultater - Vestdanmark'!I324+'Resultater - Østdanmark'!I324</f>
        <v>1029456.1200372321</v>
      </c>
      <c r="J324" s="300">
        <f>'Resultater - Vestdanmark'!J324+'Resultater - Østdanmark'!J324</f>
        <v>990320.74330145831</v>
      </c>
    </row>
    <row r="325" spans="1:10" x14ac:dyDescent="0.25">
      <c r="A325" s="99" t="str">
        <f>'Resultater - Vestdanmark'!A325</f>
        <v>Frøgræsmark</v>
      </c>
      <c r="B325" s="99" t="str">
        <f>'Resultater - Vestdanmark'!B325</f>
        <v>Konventionel</v>
      </c>
      <c r="C325" s="99" t="str">
        <f>'Resultater - Vestdanmark'!C325</f>
        <v>JB1-10</v>
      </c>
      <c r="D325" s="99" t="str">
        <f>'Resultater - Vestdanmark'!D325</f>
        <v>Areal-frøgræs</v>
      </c>
      <c r="E325" s="99" t="str">
        <f>'Resultater - Vestdanmark'!E325</f>
        <v>Hektar</v>
      </c>
      <c r="F325" s="99" t="str">
        <f>'Resultater - Vestdanmark'!F325</f>
        <v>Halm</v>
      </c>
      <c r="G325" s="99" t="str">
        <f>'Resultater - Vestdanmark'!G325</f>
        <v>Ton</v>
      </c>
      <c r="H325" s="298">
        <f>'Resultater - Vestdanmark'!H325+'Resultater - Østdanmark'!H325</f>
        <v>206810.63376166133</v>
      </c>
      <c r="I325" s="299">
        <f>'Resultater - Vestdanmark'!I325+'Resultater - Østdanmark'!I325</f>
        <v>169711.48394354503</v>
      </c>
      <c r="J325" s="300">
        <f>'Resultater - Vestdanmark'!J325+'Resultater - Østdanmark'!J325</f>
        <v>163564.96109310954</v>
      </c>
    </row>
    <row r="326" spans="1:10" hidden="1" x14ac:dyDescent="0.25">
      <c r="A326" s="99" t="str">
        <f>'Resultater - Vestdanmark'!A326</f>
        <v>Frøgræsmark</v>
      </c>
      <c r="B326" s="99" t="str">
        <f>'Resultater - Vestdanmark'!B326</f>
        <v>Konventionel</v>
      </c>
      <c r="C326" s="99" t="str">
        <f>'Resultater - Vestdanmark'!C326</f>
        <v>JB1-10</v>
      </c>
      <c r="D326" s="99" t="str">
        <f>'Resultater - Vestdanmark'!D326</f>
        <v>Areal-frøgræs</v>
      </c>
      <c r="E326" s="99" t="str">
        <f>'Resultater - Vestdanmark'!E326</f>
        <v>Hektar</v>
      </c>
      <c r="F326" s="99" t="str">
        <f>'Resultater - Vestdanmark'!F326</f>
        <v>Gødning</v>
      </c>
      <c r="G326" s="99" t="str">
        <f>'Resultater - Vestdanmark'!G326</f>
        <v>kg N</v>
      </c>
      <c r="H326" s="298">
        <f>'Resultater - Vestdanmark'!H326+'Resultater - Østdanmark'!H326</f>
        <v>-13068327.181838907</v>
      </c>
      <c r="I326" s="299">
        <f>'Resultater - Vestdanmark'!I326+'Resultater - Østdanmark'!I326</f>
        <v>-10081071.832540691</v>
      </c>
      <c r="J326" s="300">
        <f>'Resultater - Vestdanmark'!J326+'Resultater - Østdanmark'!J326</f>
        <v>-9450980.0323445406</v>
      </c>
    </row>
    <row r="327" spans="1:10" hidden="1" x14ac:dyDescent="0.25">
      <c r="A327" s="99" t="str">
        <f>'Resultater - Vestdanmark'!A327</f>
        <v>Frøgræsmark</v>
      </c>
      <c r="B327" s="99" t="str">
        <f>'Resultater - Vestdanmark'!B327</f>
        <v>Konventionel</v>
      </c>
      <c r="C327" s="99" t="str">
        <f>'Resultater - Vestdanmark'!C327</f>
        <v>JB1-10</v>
      </c>
      <c r="D327" s="99" t="str">
        <f>'Resultater - Vestdanmark'!D327</f>
        <v>Areal-frøgræs</v>
      </c>
      <c r="E327" s="99" t="str">
        <f>'Resultater - Vestdanmark'!E327</f>
        <v>Hektar</v>
      </c>
      <c r="F327" s="99" t="str">
        <f>'Resultater - Vestdanmark'!F327</f>
        <v>CO2 - atmosfære</v>
      </c>
      <c r="G327" s="99" t="str">
        <f>'Resultater - Vestdanmark'!G327</f>
        <v>t CO2-ækvivalenter</v>
      </c>
      <c r="H327" s="298">
        <f>'Resultater - Vestdanmark'!H327+'Resultater - Østdanmark'!H327</f>
        <v>198089.21270536177</v>
      </c>
      <c r="I327" s="299">
        <f>'Resultater - Vestdanmark'!I327+'Resultater - Østdanmark'!I327</f>
        <v>152808.50829242734</v>
      </c>
      <c r="J327" s="300">
        <f>'Resultater - Vestdanmark'!J327+'Resultater - Østdanmark'!J327</f>
        <v>143257.60044506227</v>
      </c>
    </row>
    <row r="328" spans="1:10" hidden="1" x14ac:dyDescent="0.25">
      <c r="A328" s="99" t="str">
        <f>'Resultater - Vestdanmark'!A328</f>
        <v>Frøgræsmark</v>
      </c>
      <c r="B328" s="99" t="str">
        <f>'Resultater - Vestdanmark'!B328</f>
        <v>Konventionel</v>
      </c>
      <c r="C328" s="99" t="str">
        <f>'Resultater - Vestdanmark'!C328</f>
        <v>OC6</v>
      </c>
      <c r="D328" s="99" t="str">
        <f>'Resultater - Vestdanmark'!D328</f>
        <v>Areal-frøgræs</v>
      </c>
      <c r="E328" s="99" t="str">
        <f>'Resultater - Vestdanmark'!E328</f>
        <v>Hektar</v>
      </c>
      <c r="F328" s="99" t="str">
        <f>'Resultater - Vestdanmark'!F328</f>
        <v>Frø</v>
      </c>
      <c r="G328" s="99" t="str">
        <f>'Resultater - Vestdanmark'!G328</f>
        <v>Ton</v>
      </c>
      <c r="H328" s="298">
        <f>'Resultater - Vestdanmark'!H328+'Resultater - Østdanmark'!H328</f>
        <v>83193.972065214504</v>
      </c>
      <c r="I328" s="299">
        <f>'Resultater - Vestdanmark'!I328+'Resultater - Østdanmark'!I328</f>
        <v>0</v>
      </c>
      <c r="J328" s="300">
        <f>'Resultater - Vestdanmark'!J328+'Resultater - Østdanmark'!J328</f>
        <v>0</v>
      </c>
    </row>
    <row r="329" spans="1:10" x14ac:dyDescent="0.25">
      <c r="A329" s="99" t="str">
        <f>'Resultater - Vestdanmark'!A329</f>
        <v>Frøgræsmark</v>
      </c>
      <c r="B329" s="99" t="str">
        <f>'Resultater - Vestdanmark'!B329</f>
        <v>Konventionel</v>
      </c>
      <c r="C329" s="99" t="str">
        <f>'Resultater - Vestdanmark'!C329</f>
        <v>OC6</v>
      </c>
      <c r="D329" s="99" t="str">
        <f>'Resultater - Vestdanmark'!D329</f>
        <v>Areal-frøgræs</v>
      </c>
      <c r="E329" s="99" t="str">
        <f>'Resultater - Vestdanmark'!E329</f>
        <v>Hektar</v>
      </c>
      <c r="F329" s="99" t="str">
        <f>'Resultater - Vestdanmark'!F329</f>
        <v>Halm</v>
      </c>
      <c r="G329" s="99" t="str">
        <f>'Resultater - Vestdanmark'!G329</f>
        <v>Ton</v>
      </c>
      <c r="H329" s="298">
        <f>'Resultater - Vestdanmark'!H329+'Resultater - Østdanmark'!H329</f>
        <v>13820.965450810663</v>
      </c>
      <c r="I329" s="299">
        <f>'Resultater - Vestdanmark'!I329+'Resultater - Østdanmark'!I329</f>
        <v>0</v>
      </c>
      <c r="J329" s="300">
        <f>'Resultater - Vestdanmark'!J329+'Resultater - Østdanmark'!J329</f>
        <v>0</v>
      </c>
    </row>
    <row r="330" spans="1:10" hidden="1" x14ac:dyDescent="0.25">
      <c r="A330" s="99" t="str">
        <f>'Resultater - Vestdanmark'!A330</f>
        <v>Frøgræsmark</v>
      </c>
      <c r="B330" s="99" t="str">
        <f>'Resultater - Vestdanmark'!B330</f>
        <v>Konventionel</v>
      </c>
      <c r="C330" s="99" t="str">
        <f>'Resultater - Vestdanmark'!C330</f>
        <v>OC6</v>
      </c>
      <c r="D330" s="99" t="str">
        <f>'Resultater - Vestdanmark'!D330</f>
        <v>Areal-frøgræs</v>
      </c>
      <c r="E330" s="99" t="str">
        <f>'Resultater - Vestdanmark'!E330</f>
        <v>Hektar</v>
      </c>
      <c r="F330" s="99" t="str">
        <f>'Resultater - Vestdanmark'!F330</f>
        <v>Gødning</v>
      </c>
      <c r="G330" s="99" t="str">
        <f>'Resultater - Vestdanmark'!G330</f>
        <v>kg N</v>
      </c>
      <c r="H330" s="298">
        <f>'Resultater - Vestdanmark'!H330+'Resultater - Østdanmark'!H330</f>
        <v>-655008.26237096614</v>
      </c>
      <c r="I330" s="299">
        <f>'Resultater - Vestdanmark'!I330+'Resultater - Østdanmark'!I330</f>
        <v>0</v>
      </c>
      <c r="J330" s="300">
        <f>'Resultater - Vestdanmark'!J330+'Resultater - Østdanmark'!J330</f>
        <v>0</v>
      </c>
    </row>
    <row r="331" spans="1:10" hidden="1" x14ac:dyDescent="0.25">
      <c r="A331" s="99" t="str">
        <f>'Resultater - Vestdanmark'!A331</f>
        <v>Frøgræsmark</v>
      </c>
      <c r="B331" s="99" t="str">
        <f>'Resultater - Vestdanmark'!B331</f>
        <v>Konventionel</v>
      </c>
      <c r="C331" s="99" t="str">
        <f>'Resultater - Vestdanmark'!C331</f>
        <v>OC6</v>
      </c>
      <c r="D331" s="99" t="str">
        <f>'Resultater - Vestdanmark'!D331</f>
        <v>Areal-frøgræs</v>
      </c>
      <c r="E331" s="99" t="str">
        <f>'Resultater - Vestdanmark'!E331</f>
        <v>Hektar</v>
      </c>
      <c r="F331" s="99" t="str">
        <f>'Resultater - Vestdanmark'!F331</f>
        <v>CO2 - atmosfære</v>
      </c>
      <c r="G331" s="99" t="str">
        <f>'Resultater - Vestdanmark'!G331</f>
        <v>t CO2-ækvivalenter</v>
      </c>
      <c r="H331" s="298">
        <f>'Resultater - Vestdanmark'!H331+'Resultater - Østdanmark'!H331</f>
        <v>77590.310666771984</v>
      </c>
      <c r="I331" s="299">
        <f>'Resultater - Vestdanmark'!I331+'Resultater - Østdanmark'!I331</f>
        <v>0</v>
      </c>
      <c r="J331" s="300">
        <f>'Resultater - Vestdanmark'!J331+'Resultater - Østdanmark'!J331</f>
        <v>0</v>
      </c>
    </row>
    <row r="332" spans="1:10" hidden="1" x14ac:dyDescent="0.25">
      <c r="A332" s="99" t="str">
        <f>'Resultater - Vestdanmark'!A332</f>
        <v>Frøgræsmark</v>
      </c>
      <c r="B332" s="99" t="str">
        <f>'Resultater - Vestdanmark'!B332</f>
        <v>Konventionel</v>
      </c>
      <c r="C332" s="99" t="str">
        <f>'Resultater - Vestdanmark'!C332</f>
        <v>OC12</v>
      </c>
      <c r="D332" s="99" t="str">
        <f>'Resultater - Vestdanmark'!D332</f>
        <v>Areal-frøgræs</v>
      </c>
      <c r="E332" s="99" t="str">
        <f>'Resultater - Vestdanmark'!E332</f>
        <v>Hektar</v>
      </c>
      <c r="F332" s="99" t="str">
        <f>'Resultater - Vestdanmark'!F332</f>
        <v>Frø</v>
      </c>
      <c r="G332" s="99" t="str">
        <f>'Resultater - Vestdanmark'!G332</f>
        <v>Ton</v>
      </c>
      <c r="H332" s="298">
        <f>'Resultater - Vestdanmark'!H332+'Resultater - Østdanmark'!H332</f>
        <v>72418.22612376757</v>
      </c>
      <c r="I332" s="299">
        <f>'Resultater - Vestdanmark'!I332+'Resultater - Østdanmark'!I332</f>
        <v>0</v>
      </c>
      <c r="J332" s="300">
        <f>'Resultater - Vestdanmark'!J332+'Resultater - Østdanmark'!J332</f>
        <v>0</v>
      </c>
    </row>
    <row r="333" spans="1:10" x14ac:dyDescent="0.25">
      <c r="A333" s="99" t="str">
        <f>'Resultater - Vestdanmark'!A333</f>
        <v>Frøgræsmark</v>
      </c>
      <c r="B333" s="99" t="str">
        <f>'Resultater - Vestdanmark'!B333</f>
        <v>Konventionel</v>
      </c>
      <c r="C333" s="99" t="str">
        <f>'Resultater - Vestdanmark'!C333</f>
        <v>OC12</v>
      </c>
      <c r="D333" s="99" t="str">
        <f>'Resultater - Vestdanmark'!D333</f>
        <v>Areal-frøgræs</v>
      </c>
      <c r="E333" s="99" t="str">
        <f>'Resultater - Vestdanmark'!E333</f>
        <v>Hektar</v>
      </c>
      <c r="F333" s="99" t="str">
        <f>'Resultater - Vestdanmark'!F333</f>
        <v>Halm</v>
      </c>
      <c r="G333" s="99" t="str">
        <f>'Resultater - Vestdanmark'!G333</f>
        <v>Ton</v>
      </c>
      <c r="H333" s="298">
        <f>'Resultater - Vestdanmark'!H333+'Resultater - Østdanmark'!H333</f>
        <v>12030.797140939529</v>
      </c>
      <c r="I333" s="299">
        <f>'Resultater - Vestdanmark'!I333+'Resultater - Østdanmark'!I333</f>
        <v>0</v>
      </c>
      <c r="J333" s="300">
        <f>'Resultater - Vestdanmark'!J333+'Resultater - Østdanmark'!J333</f>
        <v>0</v>
      </c>
    </row>
    <row r="334" spans="1:10" hidden="1" x14ac:dyDescent="0.25">
      <c r="A334" s="99" t="str">
        <f>'Resultater - Vestdanmark'!A334</f>
        <v>Frøgræsmark</v>
      </c>
      <c r="B334" s="99" t="str">
        <f>'Resultater - Vestdanmark'!B334</f>
        <v>Konventionel</v>
      </c>
      <c r="C334" s="99" t="str">
        <f>'Resultater - Vestdanmark'!C334</f>
        <v>OC12</v>
      </c>
      <c r="D334" s="99" t="str">
        <f>'Resultater - Vestdanmark'!D334</f>
        <v>Areal-frøgræs</v>
      </c>
      <c r="E334" s="99" t="str">
        <f>'Resultater - Vestdanmark'!E334</f>
        <v>Hektar</v>
      </c>
      <c r="F334" s="99" t="str">
        <f>'Resultater - Vestdanmark'!F334</f>
        <v>Gødning</v>
      </c>
      <c r="G334" s="99" t="str">
        <f>'Resultater - Vestdanmark'!G334</f>
        <v>kg N</v>
      </c>
      <c r="H334" s="298">
        <f>'Resultater - Vestdanmark'!H334+'Resultater - Østdanmark'!H334</f>
        <v>-434413.67575579346</v>
      </c>
      <c r="I334" s="299">
        <f>'Resultater - Vestdanmark'!I334+'Resultater - Østdanmark'!I334</f>
        <v>0</v>
      </c>
      <c r="J334" s="300">
        <f>'Resultater - Vestdanmark'!J334+'Resultater - Østdanmark'!J334</f>
        <v>0</v>
      </c>
    </row>
    <row r="335" spans="1:10" hidden="1" x14ac:dyDescent="0.25">
      <c r="A335" s="99" t="str">
        <f>'Resultater - Vestdanmark'!A335</f>
        <v>Frøgræsmark</v>
      </c>
      <c r="B335" s="99" t="str">
        <f>'Resultater - Vestdanmark'!B335</f>
        <v>Konventionel</v>
      </c>
      <c r="C335" s="99" t="str">
        <f>'Resultater - Vestdanmark'!C335</f>
        <v>OC12</v>
      </c>
      <c r="D335" s="99" t="str">
        <f>'Resultater - Vestdanmark'!D335</f>
        <v>Areal-frøgræs</v>
      </c>
      <c r="E335" s="99" t="str">
        <f>'Resultater - Vestdanmark'!E335</f>
        <v>Hektar</v>
      </c>
      <c r="F335" s="99" t="str">
        <f>'Resultater - Vestdanmark'!F335</f>
        <v>CO2 - atmosfære</v>
      </c>
      <c r="G335" s="99" t="str">
        <f>'Resultater - Vestdanmark'!G335</f>
        <v>t CO2-ækvivalenter</v>
      </c>
      <c r="H335" s="298">
        <f>'Resultater - Vestdanmark'!H335+'Resultater - Østdanmark'!H335</f>
        <v>148249.80065505981</v>
      </c>
      <c r="I335" s="299">
        <f>'Resultater - Vestdanmark'!I335+'Resultater - Østdanmark'!I335</f>
        <v>0</v>
      </c>
      <c r="J335" s="300">
        <f>'Resultater - Vestdanmark'!J335+'Resultater - Østdanmark'!J335</f>
        <v>0</v>
      </c>
    </row>
    <row r="336" spans="1:10" hidden="1" x14ac:dyDescent="0.25">
      <c r="A336" s="99" t="str">
        <f>'Resultater - Vestdanmark'!A336</f>
        <v>Frøgræsmark</v>
      </c>
      <c r="B336" s="99" t="str">
        <f>'Resultater - Vestdanmark'!B336</f>
        <v>Økologisk</v>
      </c>
      <c r="C336" s="99" t="str">
        <f>'Resultater - Vestdanmark'!C336</f>
        <v>JB1-10</v>
      </c>
      <c r="D336" s="99" t="str">
        <f>'Resultater - Vestdanmark'!D336</f>
        <v>Areal-frøgræs</v>
      </c>
      <c r="E336" s="99" t="str">
        <f>'Resultater - Vestdanmark'!E336</f>
        <v>Hektar</v>
      </c>
      <c r="F336" s="99" t="str">
        <f>'Resultater - Vestdanmark'!F336</f>
        <v>Frø</v>
      </c>
      <c r="G336" s="99" t="str">
        <f>'Resultater - Vestdanmark'!G336</f>
        <v>Ton</v>
      </c>
      <c r="H336" s="298">
        <f>'Resultater - Vestdanmark'!H336+'Resultater - Østdanmark'!H336</f>
        <v>90727.938572043873</v>
      </c>
      <c r="I336" s="299">
        <f>'Resultater - Vestdanmark'!I336+'Resultater - Østdanmark'!I336</f>
        <v>91579.940389439318</v>
      </c>
      <c r="J336" s="300">
        <f>'Resultater - Vestdanmark'!J336+'Resultater - Østdanmark'!J336</f>
        <v>119738.78078099449</v>
      </c>
    </row>
    <row r="337" spans="1:10" x14ac:dyDescent="0.25">
      <c r="A337" s="99" t="str">
        <f>'Resultater - Vestdanmark'!A337</f>
        <v>Frøgræsmark</v>
      </c>
      <c r="B337" s="99" t="str">
        <f>'Resultater - Vestdanmark'!B337</f>
        <v>Økologisk</v>
      </c>
      <c r="C337" s="99" t="str">
        <f>'Resultater - Vestdanmark'!C337</f>
        <v>JB1-10</v>
      </c>
      <c r="D337" s="99" t="str">
        <f>'Resultater - Vestdanmark'!D337</f>
        <v>Areal-frøgræs</v>
      </c>
      <c r="E337" s="99" t="str">
        <f>'Resultater - Vestdanmark'!E337</f>
        <v>Hektar</v>
      </c>
      <c r="F337" s="99" t="str">
        <f>'Resultater - Vestdanmark'!F337</f>
        <v>Halm</v>
      </c>
      <c r="G337" s="99" t="str">
        <f>'Resultater - Vestdanmark'!G337</f>
        <v>Ton</v>
      </c>
      <c r="H337" s="298">
        <f>'Resultater - Vestdanmark'!H337+'Resultater - Østdanmark'!H337</f>
        <v>15072.578857570828</v>
      </c>
      <c r="I337" s="299">
        <f>'Resultater - Vestdanmark'!I337+'Resultater - Østdanmark'!I337</f>
        <v>15097.45513231883</v>
      </c>
      <c r="J337" s="300">
        <f>'Resultater - Vestdanmark'!J337+'Resultater - Østdanmark'!J337</f>
        <v>19776.490750348694</v>
      </c>
    </row>
    <row r="338" spans="1:10" hidden="1" x14ac:dyDescent="0.25">
      <c r="A338" s="99" t="str">
        <f>'Resultater - Vestdanmark'!A338</f>
        <v>Frøgræsmark</v>
      </c>
      <c r="B338" s="99" t="str">
        <f>'Resultater - Vestdanmark'!B338</f>
        <v>Økologisk</v>
      </c>
      <c r="C338" s="99" t="str">
        <f>'Resultater - Vestdanmark'!C338</f>
        <v>JB1-10</v>
      </c>
      <c r="D338" s="99" t="str">
        <f>'Resultater - Vestdanmark'!D338</f>
        <v>Areal-frøgræs</v>
      </c>
      <c r="E338" s="99" t="str">
        <f>'Resultater - Vestdanmark'!E338</f>
        <v>Hektar</v>
      </c>
      <c r="F338" s="99" t="str">
        <f>'Resultater - Vestdanmark'!F338</f>
        <v>Gødning</v>
      </c>
      <c r="G338" s="99" t="str">
        <f>'Resultater - Vestdanmark'!G338</f>
        <v>kg N</v>
      </c>
      <c r="H338" s="298">
        <f>'Resultater - Vestdanmark'!H338+'Resultater - Østdanmark'!H338</f>
        <v>-952433.57849676628</v>
      </c>
      <c r="I338" s="299">
        <f>'Resultater - Vestdanmark'!I338+'Resultater - Østdanmark'!I338</f>
        <v>-896807.48845549836</v>
      </c>
      <c r="J338" s="300">
        <f>'Resultater - Vestdanmark'!J338+'Resultater - Østdanmark'!J338</f>
        <v>-1142709.4039107487</v>
      </c>
    </row>
    <row r="339" spans="1:10" hidden="1" x14ac:dyDescent="0.25">
      <c r="A339" s="99" t="str">
        <f>'Resultater - Vestdanmark'!A339</f>
        <v>Frøgræsmark</v>
      </c>
      <c r="B339" s="99" t="str">
        <f>'Resultater - Vestdanmark'!B339</f>
        <v>Økologisk</v>
      </c>
      <c r="C339" s="99" t="str">
        <f>'Resultater - Vestdanmark'!C339</f>
        <v>JB1-10</v>
      </c>
      <c r="D339" s="99" t="str">
        <f>'Resultater - Vestdanmark'!D339</f>
        <v>Areal-frøgræs</v>
      </c>
      <c r="E339" s="99" t="str">
        <f>'Resultater - Vestdanmark'!E339</f>
        <v>Hektar</v>
      </c>
      <c r="F339" s="99" t="str">
        <f>'Resultater - Vestdanmark'!F339</f>
        <v>CO2 - atmosfære</v>
      </c>
      <c r="G339" s="99" t="str">
        <f>'Resultater - Vestdanmark'!G339</f>
        <v>t CO2-ækvivalenter</v>
      </c>
      <c r="H339" s="298">
        <f>'Resultater - Vestdanmark'!H339+'Resultater - Østdanmark'!H339</f>
        <v>25327.986699790868</v>
      </c>
      <c r="I339" s="299">
        <f>'Resultater - Vestdanmark'!I339+'Resultater - Østdanmark'!I339</f>
        <v>23848.726727719873</v>
      </c>
      <c r="J339" s="300">
        <f>'Resultater - Vestdanmark'!J339+'Resultater - Østdanmark'!J339</f>
        <v>30387.975851982905</v>
      </c>
    </row>
    <row r="340" spans="1:10" hidden="1" x14ac:dyDescent="0.25">
      <c r="A340" s="99" t="str">
        <f>'Resultater - Vestdanmark'!A340</f>
        <v>Frøgræsmark</v>
      </c>
      <c r="B340" s="99" t="str">
        <f>'Resultater - Vestdanmark'!B340</f>
        <v>Økologisk</v>
      </c>
      <c r="C340" s="99" t="str">
        <f>'Resultater - Vestdanmark'!C340</f>
        <v>OC6</v>
      </c>
      <c r="D340" s="99" t="str">
        <f>'Resultater - Vestdanmark'!D340</f>
        <v>Areal-frøgræs</v>
      </c>
      <c r="E340" s="99" t="str">
        <f>'Resultater - Vestdanmark'!E340</f>
        <v>Hektar</v>
      </c>
      <c r="F340" s="99" t="str">
        <f>'Resultater - Vestdanmark'!F340</f>
        <v>Frø</v>
      </c>
      <c r="G340" s="99" t="str">
        <f>'Resultater - Vestdanmark'!G340</f>
        <v>Ton</v>
      </c>
      <c r="H340" s="298">
        <f>'Resultater - Vestdanmark'!H340+'Resultater - Østdanmark'!H340</f>
        <v>6063.2651310986303</v>
      </c>
      <c r="I340" s="299">
        <f>'Resultater - Vestdanmark'!I340+'Resultater - Østdanmark'!I340</f>
        <v>0</v>
      </c>
      <c r="J340" s="300">
        <f>'Resultater - Vestdanmark'!J340+'Resultater - Østdanmark'!J340</f>
        <v>0</v>
      </c>
    </row>
    <row r="341" spans="1:10" x14ac:dyDescent="0.25">
      <c r="A341" s="99" t="str">
        <f>'Resultater - Vestdanmark'!A341</f>
        <v>Frøgræsmark</v>
      </c>
      <c r="B341" s="99" t="str">
        <f>'Resultater - Vestdanmark'!B341</f>
        <v>Økologisk</v>
      </c>
      <c r="C341" s="99" t="str">
        <f>'Resultater - Vestdanmark'!C341</f>
        <v>OC6</v>
      </c>
      <c r="D341" s="99" t="str">
        <f>'Resultater - Vestdanmark'!D341</f>
        <v>Areal-frøgræs</v>
      </c>
      <c r="E341" s="99" t="str">
        <f>'Resultater - Vestdanmark'!E341</f>
        <v>Hektar</v>
      </c>
      <c r="F341" s="99" t="str">
        <f>'Resultater - Vestdanmark'!F341</f>
        <v>Halm</v>
      </c>
      <c r="G341" s="99" t="str">
        <f>'Resultater - Vestdanmark'!G341</f>
        <v>Ton</v>
      </c>
      <c r="H341" s="298">
        <f>'Resultater - Vestdanmark'!H341+'Resultater - Østdanmark'!H341</f>
        <v>1007.2866557006012</v>
      </c>
      <c r="I341" s="299">
        <f>'Resultater - Vestdanmark'!I341+'Resultater - Østdanmark'!I341</f>
        <v>0</v>
      </c>
      <c r="J341" s="300">
        <f>'Resultater - Vestdanmark'!J341+'Resultater - Østdanmark'!J341</f>
        <v>0</v>
      </c>
    </row>
    <row r="342" spans="1:10" hidden="1" x14ac:dyDescent="0.25">
      <c r="A342" s="99" t="str">
        <f>'Resultater - Vestdanmark'!A342</f>
        <v>Frøgræsmark</v>
      </c>
      <c r="B342" s="99" t="str">
        <f>'Resultater - Vestdanmark'!B342</f>
        <v>Økologisk</v>
      </c>
      <c r="C342" s="99" t="str">
        <f>'Resultater - Vestdanmark'!C342</f>
        <v>OC6</v>
      </c>
      <c r="D342" s="99" t="str">
        <f>'Resultater - Vestdanmark'!D342</f>
        <v>Areal-frøgræs</v>
      </c>
      <c r="E342" s="99" t="str">
        <f>'Resultater - Vestdanmark'!E342</f>
        <v>Hektar</v>
      </c>
      <c r="F342" s="99" t="str">
        <f>'Resultater - Vestdanmark'!F342</f>
        <v>Gødning</v>
      </c>
      <c r="G342" s="99" t="str">
        <f>'Resultater - Vestdanmark'!G342</f>
        <v>kg N</v>
      </c>
      <c r="H342" s="298">
        <f>'Resultater - Vestdanmark'!H342+'Resultater - Østdanmark'!H342</f>
        <v>-47737.698528232206</v>
      </c>
      <c r="I342" s="299">
        <f>'Resultater - Vestdanmark'!I342+'Resultater - Østdanmark'!I342</f>
        <v>0</v>
      </c>
      <c r="J342" s="300">
        <f>'Resultater - Vestdanmark'!J342+'Resultater - Østdanmark'!J342</f>
        <v>0</v>
      </c>
    </row>
    <row r="343" spans="1:10" hidden="1" x14ac:dyDescent="0.25">
      <c r="A343" s="99" t="str">
        <f>'Resultater - Vestdanmark'!A343</f>
        <v>Frøgræsmark</v>
      </c>
      <c r="B343" s="99" t="str">
        <f>'Resultater - Vestdanmark'!B343</f>
        <v>Økologisk</v>
      </c>
      <c r="C343" s="99" t="str">
        <f>'Resultater - Vestdanmark'!C343</f>
        <v>OC6</v>
      </c>
      <c r="D343" s="99" t="str">
        <f>'Resultater - Vestdanmark'!D343</f>
        <v>Areal-frøgræs</v>
      </c>
      <c r="E343" s="99" t="str">
        <f>'Resultater - Vestdanmark'!E343</f>
        <v>Hektar</v>
      </c>
      <c r="F343" s="99" t="str">
        <f>'Resultater - Vestdanmark'!F343</f>
        <v>CO2 - atmosfære</v>
      </c>
      <c r="G343" s="99" t="str">
        <f>'Resultater - Vestdanmark'!G343</f>
        <v>t CO2-ækvivalenter</v>
      </c>
      <c r="H343" s="298">
        <f>'Resultater - Vestdanmark'!H343+'Resultater - Østdanmark'!H343</f>
        <v>9920.8146156029889</v>
      </c>
      <c r="I343" s="299">
        <f>'Resultater - Vestdanmark'!I343+'Resultater - Østdanmark'!I343</f>
        <v>0</v>
      </c>
      <c r="J343" s="300">
        <f>'Resultater - Vestdanmark'!J343+'Resultater - Østdanmark'!J343</f>
        <v>0</v>
      </c>
    </row>
    <row r="344" spans="1:10" hidden="1" x14ac:dyDescent="0.25">
      <c r="A344" s="99" t="str">
        <f>'Resultater - Vestdanmark'!A344</f>
        <v>Frøgræsmark</v>
      </c>
      <c r="B344" s="99" t="str">
        <f>'Resultater - Vestdanmark'!B344</f>
        <v>Økologisk</v>
      </c>
      <c r="C344" s="99" t="str">
        <f>'Resultater - Vestdanmark'!C344</f>
        <v>OC12</v>
      </c>
      <c r="D344" s="99" t="str">
        <f>'Resultater - Vestdanmark'!D344</f>
        <v>Areal-frøgræs</v>
      </c>
      <c r="E344" s="99" t="str">
        <f>'Resultater - Vestdanmark'!E344</f>
        <v>Hektar</v>
      </c>
      <c r="F344" s="99" t="str">
        <f>'Resultater - Vestdanmark'!F344</f>
        <v>Frø</v>
      </c>
      <c r="G344" s="99" t="str">
        <f>'Resultater - Vestdanmark'!G344</f>
        <v>Ton</v>
      </c>
      <c r="H344" s="298">
        <f>'Resultater - Vestdanmark'!H344+'Resultater - Østdanmark'!H344</f>
        <v>5277.9173107404822</v>
      </c>
      <c r="I344" s="299">
        <f>'Resultater - Vestdanmark'!I344+'Resultater - Østdanmark'!I344</f>
        <v>0</v>
      </c>
      <c r="J344" s="300">
        <f>'Resultater - Vestdanmark'!J344+'Resultater - Østdanmark'!J344</f>
        <v>0</v>
      </c>
    </row>
    <row r="345" spans="1:10" x14ac:dyDescent="0.25">
      <c r="A345" s="99" t="str">
        <f>'Resultater - Vestdanmark'!A345</f>
        <v>Frøgræsmark</v>
      </c>
      <c r="B345" s="99" t="str">
        <f>'Resultater - Vestdanmark'!B345</f>
        <v>Økologisk</v>
      </c>
      <c r="C345" s="99" t="str">
        <f>'Resultater - Vestdanmark'!C345</f>
        <v>OC12</v>
      </c>
      <c r="D345" s="99" t="str">
        <f>'Resultater - Vestdanmark'!D345</f>
        <v>Areal-frøgræs</v>
      </c>
      <c r="E345" s="99" t="str">
        <f>'Resultater - Vestdanmark'!E345</f>
        <v>Hektar</v>
      </c>
      <c r="F345" s="99" t="str">
        <f>'Resultater - Vestdanmark'!F345</f>
        <v>Halm</v>
      </c>
      <c r="G345" s="99" t="str">
        <f>'Resultater - Vestdanmark'!G345</f>
        <v>Ton</v>
      </c>
      <c r="H345" s="298">
        <f>'Resultater - Vestdanmark'!H345+'Resultater - Østdanmark'!H345</f>
        <v>876.81728607450714</v>
      </c>
      <c r="I345" s="299">
        <f>'Resultater - Vestdanmark'!I345+'Resultater - Østdanmark'!I345</f>
        <v>0</v>
      </c>
      <c r="J345" s="300">
        <f>'Resultater - Vestdanmark'!J345+'Resultater - Østdanmark'!J345</f>
        <v>0</v>
      </c>
    </row>
    <row r="346" spans="1:10" hidden="1" x14ac:dyDescent="0.25">
      <c r="A346" s="99" t="str">
        <f>'Resultater - Vestdanmark'!A346</f>
        <v>Frøgræsmark</v>
      </c>
      <c r="B346" s="99" t="str">
        <f>'Resultater - Vestdanmark'!B346</f>
        <v>Økologisk</v>
      </c>
      <c r="C346" s="99" t="str">
        <f>'Resultater - Vestdanmark'!C346</f>
        <v>OC12</v>
      </c>
      <c r="D346" s="99" t="str">
        <f>'Resultater - Vestdanmark'!D346</f>
        <v>Areal-frøgræs</v>
      </c>
      <c r="E346" s="99" t="str">
        <f>'Resultater - Vestdanmark'!E346</f>
        <v>Hektar</v>
      </c>
      <c r="F346" s="99" t="str">
        <f>'Resultater - Vestdanmark'!F346</f>
        <v>Gødning</v>
      </c>
      <c r="G346" s="99" t="str">
        <f>'Resultater - Vestdanmark'!G346</f>
        <v>kg N</v>
      </c>
      <c r="H346" s="298">
        <f>'Resultater - Vestdanmark'!H346+'Resultater - Østdanmark'!H346</f>
        <v>-31660.530532401586</v>
      </c>
      <c r="I346" s="299">
        <f>'Resultater - Vestdanmark'!I346+'Resultater - Østdanmark'!I346</f>
        <v>0</v>
      </c>
      <c r="J346" s="300">
        <f>'Resultater - Vestdanmark'!J346+'Resultater - Østdanmark'!J346</f>
        <v>0</v>
      </c>
    </row>
    <row r="347" spans="1:10" hidden="1" x14ac:dyDescent="0.25">
      <c r="A347" s="99" t="str">
        <f>'Resultater - Vestdanmark'!A347</f>
        <v>Frøgræsmark</v>
      </c>
      <c r="B347" s="99" t="str">
        <f>'Resultater - Vestdanmark'!B347</f>
        <v>Økologisk</v>
      </c>
      <c r="C347" s="99" t="str">
        <f>'Resultater - Vestdanmark'!C347</f>
        <v>OC12</v>
      </c>
      <c r="D347" s="99" t="str">
        <f>'Resultater - Vestdanmark'!D347</f>
        <v>Areal-frøgræs</v>
      </c>
      <c r="E347" s="99" t="str">
        <f>'Resultater - Vestdanmark'!E347</f>
        <v>Hektar</v>
      </c>
      <c r="F347" s="99" t="str">
        <f>'Resultater - Vestdanmark'!F347</f>
        <v>CO2 - atmosfære</v>
      </c>
      <c r="G347" s="99" t="str">
        <f>'Resultater - Vestdanmark'!G347</f>
        <v>t CO2-ækvivalenter</v>
      </c>
      <c r="H347" s="298">
        <f>'Resultater - Vestdanmark'!H347+'Resultater - Østdanmark'!H347</f>
        <v>18955.444004025605</v>
      </c>
      <c r="I347" s="299">
        <f>'Resultater - Vestdanmark'!I347+'Resultater - Østdanmark'!I347</f>
        <v>0</v>
      </c>
      <c r="J347" s="300">
        <f>'Resultater - Vestdanmark'!J347+'Resultater - Østdanmark'!J347</f>
        <v>0</v>
      </c>
    </row>
    <row r="348" spans="1:10" hidden="1" x14ac:dyDescent="0.25">
      <c r="A348" s="99" t="str">
        <f>'Resultater - Vestdanmark'!A348</f>
        <v>Juletræsmark</v>
      </c>
      <c r="B348" s="99" t="str">
        <f>'Resultater - Vestdanmark'!B348</f>
        <v>Konventionel</v>
      </c>
      <c r="C348" s="99" t="str">
        <f>'Resultater - Vestdanmark'!C348</f>
        <v>JB1-10</v>
      </c>
      <c r="D348" s="99" t="str">
        <f>'Resultater - Vestdanmark'!D348</f>
        <v>Areal-juletræer</v>
      </c>
      <c r="E348" s="99" t="str">
        <f>'Resultater - Vestdanmark'!E348</f>
        <v>Hektar</v>
      </c>
      <c r="F348" s="99" t="str">
        <f>'Resultater - Vestdanmark'!F348</f>
        <v>Juletræer</v>
      </c>
      <c r="G348" s="99" t="str">
        <f>'Resultater - Vestdanmark'!G348</f>
        <v>Ton</v>
      </c>
      <c r="H348" s="298">
        <f>'Resultater - Vestdanmark'!H348+'Resultater - Østdanmark'!H348</f>
        <v>803523.26097451104</v>
      </c>
      <c r="I348" s="299">
        <f>'Resultater - Vestdanmark'!I348+'Resultater - Østdanmark'!I348</f>
        <v>623621.28572039912</v>
      </c>
      <c r="J348" s="300">
        <f>'Resultater - Vestdanmark'!J348+'Resultater - Østdanmark'!J348</f>
        <v>596657.05150029913</v>
      </c>
    </row>
    <row r="349" spans="1:10" hidden="1" x14ac:dyDescent="0.25">
      <c r="A349" s="99" t="str">
        <f>'Resultater - Vestdanmark'!A349</f>
        <v>Juletræsmark</v>
      </c>
      <c r="B349" s="99" t="str">
        <f>'Resultater - Vestdanmark'!B349</f>
        <v>Konventionel</v>
      </c>
      <c r="C349" s="99" t="str">
        <f>'Resultater - Vestdanmark'!C349</f>
        <v>JB1-10</v>
      </c>
      <c r="D349" s="99" t="str">
        <f>'Resultater - Vestdanmark'!D349</f>
        <v>Areal-juletræer</v>
      </c>
      <c r="E349" s="99" t="str">
        <f>'Resultater - Vestdanmark'!E349</f>
        <v>Hektar</v>
      </c>
      <c r="F349" s="99" t="str">
        <f>'Resultater - Vestdanmark'!F349</f>
        <v>Gødning</v>
      </c>
      <c r="G349" s="99" t="str">
        <f>'Resultater - Vestdanmark'!G349</f>
        <v>kg N</v>
      </c>
      <c r="H349" s="298">
        <f>'Resultater - Vestdanmark'!H349+'Resultater - Østdanmark'!H349</f>
        <v>-1767751.1741439244</v>
      </c>
      <c r="I349" s="299">
        <f>'Resultater - Vestdanmark'!I349+'Resultater - Østdanmark'!I349</f>
        <v>-1279819.8027844012</v>
      </c>
      <c r="J349" s="300">
        <f>'Resultater - Vestdanmark'!J349+'Resultater - Østdanmark'!J349</f>
        <v>-1193314.1030005983</v>
      </c>
    </row>
    <row r="350" spans="1:10" hidden="1" x14ac:dyDescent="0.25">
      <c r="A350" s="99" t="str">
        <f>'Resultater - Vestdanmark'!A350</f>
        <v>Juletræsmark</v>
      </c>
      <c r="B350" s="99" t="str">
        <f>'Resultater - Vestdanmark'!B350</f>
        <v>Konventionel</v>
      </c>
      <c r="C350" s="99" t="str">
        <f>'Resultater - Vestdanmark'!C350</f>
        <v>JB1-10</v>
      </c>
      <c r="D350" s="99" t="str">
        <f>'Resultater - Vestdanmark'!D350</f>
        <v>Areal-juletræer</v>
      </c>
      <c r="E350" s="99" t="str">
        <f>'Resultater - Vestdanmark'!E350</f>
        <v>Hektar</v>
      </c>
      <c r="F350" s="99" t="str">
        <f>'Resultater - Vestdanmark'!F350</f>
        <v>CO2 - atmosfære</v>
      </c>
      <c r="G350" s="99" t="str">
        <f>'Resultater - Vestdanmark'!G350</f>
        <v>t CO2-ækvivalenter</v>
      </c>
      <c r="H350" s="298">
        <f>'Resultater - Vestdanmark'!H350+'Resultater - Østdanmark'!H350</f>
        <v>31589.622964822924</v>
      </c>
      <c r="I350" s="299">
        <f>'Resultater - Vestdanmark'!I350+'Resultater - Østdanmark'!I350</f>
        <v>22870.314342996819</v>
      </c>
      <c r="J350" s="300">
        <f>'Resultater - Vestdanmark'!J350+'Resultater - Østdanmark'!J350</f>
        <v>21324.461917356733</v>
      </c>
    </row>
    <row r="351" spans="1:10" hidden="1" x14ac:dyDescent="0.25">
      <c r="A351" s="99" t="str">
        <f>'Resultater - Vestdanmark'!A351</f>
        <v>Juletræsmark</v>
      </c>
      <c r="B351" s="99" t="str">
        <f>'Resultater - Vestdanmark'!B351</f>
        <v>Konventionel</v>
      </c>
      <c r="C351" s="99" t="str">
        <f>'Resultater - Vestdanmark'!C351</f>
        <v>OC6</v>
      </c>
      <c r="D351" s="99" t="str">
        <f>'Resultater - Vestdanmark'!D351</f>
        <v>Areal-juletræer</v>
      </c>
      <c r="E351" s="99" t="str">
        <f>'Resultater - Vestdanmark'!E351</f>
        <v>Hektar</v>
      </c>
      <c r="F351" s="99" t="str">
        <f>'Resultater - Vestdanmark'!F351</f>
        <v>Juletræer</v>
      </c>
      <c r="G351" s="99" t="str">
        <f>'Resultater - Vestdanmark'!G351</f>
        <v>Ton</v>
      </c>
      <c r="H351" s="298">
        <f>'Resultater - Vestdanmark'!H351+'Resultater - Østdanmark'!H351</f>
        <v>27634.888548227009</v>
      </c>
      <c r="I351" s="299">
        <f>'Resultater - Vestdanmark'!I351+'Resultater - Østdanmark'!I351</f>
        <v>0</v>
      </c>
      <c r="J351" s="300">
        <f>'Resultater - Vestdanmark'!J351+'Resultater - Østdanmark'!J351</f>
        <v>0</v>
      </c>
    </row>
    <row r="352" spans="1:10" hidden="1" x14ac:dyDescent="0.25">
      <c r="A352" s="99" t="str">
        <f>'Resultater - Vestdanmark'!A352</f>
        <v>Juletræsmark</v>
      </c>
      <c r="B352" s="99" t="str">
        <f>'Resultater - Vestdanmark'!B352</f>
        <v>Konventionel</v>
      </c>
      <c r="C352" s="99" t="str">
        <f>'Resultater - Vestdanmark'!C352</f>
        <v>OC6</v>
      </c>
      <c r="D352" s="99" t="str">
        <f>'Resultater - Vestdanmark'!D352</f>
        <v>Areal-juletræer</v>
      </c>
      <c r="E352" s="99" t="str">
        <f>'Resultater - Vestdanmark'!E352</f>
        <v>Hektar</v>
      </c>
      <c r="F352" s="99" t="str">
        <f>'Resultater - Vestdanmark'!F352</f>
        <v>Gødning</v>
      </c>
      <c r="G352" s="99" t="str">
        <f>'Resultater - Vestdanmark'!G352</f>
        <v>kg N</v>
      </c>
      <c r="H352" s="298">
        <f>'Resultater - Vestdanmark'!H352+'Resultater - Østdanmark'!H352</f>
        <v>-46058.147580378347</v>
      </c>
      <c r="I352" s="299">
        <f>'Resultater - Vestdanmark'!I352+'Resultater - Østdanmark'!I352</f>
        <v>0</v>
      </c>
      <c r="J352" s="300">
        <f>'Resultater - Vestdanmark'!J352+'Resultater - Østdanmark'!J352</f>
        <v>0</v>
      </c>
    </row>
    <row r="353" spans="1:10" hidden="1" x14ac:dyDescent="0.25">
      <c r="A353" s="99" t="str">
        <f>'Resultater - Vestdanmark'!A353</f>
        <v>Juletræsmark</v>
      </c>
      <c r="B353" s="99" t="str">
        <f>'Resultater - Vestdanmark'!B353</f>
        <v>Konventionel</v>
      </c>
      <c r="C353" s="99" t="str">
        <f>'Resultater - Vestdanmark'!C353</f>
        <v>OC6</v>
      </c>
      <c r="D353" s="99" t="str">
        <f>'Resultater - Vestdanmark'!D353</f>
        <v>Areal-juletræer</v>
      </c>
      <c r="E353" s="99" t="str">
        <f>'Resultater - Vestdanmark'!E353</f>
        <v>Hektar</v>
      </c>
      <c r="F353" s="99" t="str">
        <f>'Resultater - Vestdanmark'!F353</f>
        <v>CO2 - atmosfære</v>
      </c>
      <c r="G353" s="99" t="str">
        <f>'Resultater - Vestdanmark'!G353</f>
        <v>t CO2-ækvivalenter</v>
      </c>
      <c r="H353" s="298">
        <f>'Resultater - Vestdanmark'!H353+'Resultater - Østdanmark'!H353</f>
        <v>4910.5789263453398</v>
      </c>
      <c r="I353" s="299">
        <f>'Resultater - Vestdanmark'!I353+'Resultater - Østdanmark'!I353</f>
        <v>0</v>
      </c>
      <c r="J353" s="300">
        <f>'Resultater - Vestdanmark'!J353+'Resultater - Østdanmark'!J353</f>
        <v>0</v>
      </c>
    </row>
    <row r="354" spans="1:10" hidden="1" x14ac:dyDescent="0.25">
      <c r="A354" s="99" t="str">
        <f>'Resultater - Vestdanmark'!A354</f>
        <v>Juletræsmark</v>
      </c>
      <c r="B354" s="99" t="str">
        <f>'Resultater - Vestdanmark'!B354</f>
        <v>Konventionel</v>
      </c>
      <c r="C354" s="99" t="str">
        <f>'Resultater - Vestdanmark'!C354</f>
        <v>OC12</v>
      </c>
      <c r="D354" s="99" t="str">
        <f>'Resultater - Vestdanmark'!D354</f>
        <v>Areal-juletræer</v>
      </c>
      <c r="E354" s="99" t="str">
        <f>'Resultater - Vestdanmark'!E354</f>
        <v>Hektar</v>
      </c>
      <c r="F354" s="99" t="str">
        <f>'Resultater - Vestdanmark'!F354</f>
        <v>Juletræer</v>
      </c>
      <c r="G354" s="99" t="str">
        <f>'Resultater - Vestdanmark'!G354</f>
        <v>Ton</v>
      </c>
      <c r="H354" s="298">
        <f>'Resultater - Vestdanmark'!H354+'Resultater - Østdanmark'!H354</f>
        <v>18493.012942248984</v>
      </c>
      <c r="I354" s="299">
        <f>'Resultater - Vestdanmark'!I354+'Resultater - Østdanmark'!I354</f>
        <v>0</v>
      </c>
      <c r="J354" s="300">
        <f>'Resultater - Vestdanmark'!J354+'Resultater - Østdanmark'!J354</f>
        <v>0</v>
      </c>
    </row>
    <row r="355" spans="1:10" hidden="1" x14ac:dyDescent="0.25">
      <c r="A355" s="99" t="str">
        <f>'Resultater - Vestdanmark'!A355</f>
        <v>Juletræsmark</v>
      </c>
      <c r="B355" s="99" t="str">
        <f>'Resultater - Vestdanmark'!B355</f>
        <v>Konventionel</v>
      </c>
      <c r="C355" s="99" t="str">
        <f>'Resultater - Vestdanmark'!C355</f>
        <v>OC12</v>
      </c>
      <c r="D355" s="99" t="str">
        <f>'Resultater - Vestdanmark'!D355</f>
        <v>Areal-juletræer</v>
      </c>
      <c r="E355" s="99" t="str">
        <f>'Resultater - Vestdanmark'!E355</f>
        <v>Hektar</v>
      </c>
      <c r="F355" s="99" t="str">
        <f>'Resultater - Vestdanmark'!F355</f>
        <v>Gødning</v>
      </c>
      <c r="G355" s="99" t="str">
        <f>'Resultater - Vestdanmark'!G355</f>
        <v>kg N</v>
      </c>
      <c r="H355" s="298">
        <f>'Resultater - Vestdanmark'!H355+'Resultater - Østdanmark'!H355</f>
        <v>-23776.730925748692</v>
      </c>
      <c r="I355" s="299">
        <f>'Resultater - Vestdanmark'!I355+'Resultater - Østdanmark'!I355</f>
        <v>0</v>
      </c>
      <c r="J355" s="300">
        <f>'Resultater - Vestdanmark'!J355+'Resultater - Østdanmark'!J355</f>
        <v>0</v>
      </c>
    </row>
    <row r="356" spans="1:10" hidden="1" x14ac:dyDescent="0.25">
      <c r="A356" s="99" t="str">
        <f>'Resultater - Vestdanmark'!A356</f>
        <v>Juletræsmark</v>
      </c>
      <c r="B356" s="99" t="str">
        <f>'Resultater - Vestdanmark'!B356</f>
        <v>Konventionel</v>
      </c>
      <c r="C356" s="99" t="str">
        <f>'Resultater - Vestdanmark'!C356</f>
        <v>OC12</v>
      </c>
      <c r="D356" s="99" t="str">
        <f>'Resultater - Vestdanmark'!D356</f>
        <v>Areal-juletræer</v>
      </c>
      <c r="E356" s="99" t="str">
        <f>'Resultater - Vestdanmark'!E356</f>
        <v>Hektar</v>
      </c>
      <c r="F356" s="99" t="str">
        <f>'Resultater - Vestdanmark'!F356</f>
        <v>CO2 - atmosfære</v>
      </c>
      <c r="G356" s="99" t="str">
        <f>'Resultater - Vestdanmark'!G356</f>
        <v>t CO2-ækvivalenter</v>
      </c>
      <c r="H356" s="298">
        <f>'Resultater - Vestdanmark'!H356+'Resultater - Østdanmark'!H356</f>
        <v>7529.7457544847666</v>
      </c>
      <c r="I356" s="299">
        <f>'Resultater - Vestdanmark'!I356+'Resultater - Østdanmark'!I356</f>
        <v>0</v>
      </c>
      <c r="J356" s="300">
        <f>'Resultater - Vestdanmark'!J356+'Resultater - Østdanmark'!J356</f>
        <v>0</v>
      </c>
    </row>
    <row r="357" spans="1:10" hidden="1" x14ac:dyDescent="0.25">
      <c r="A357" s="99" t="str">
        <f>'Resultater - Vestdanmark'!A357</f>
        <v>Juletræsmark</v>
      </c>
      <c r="B357" s="99" t="str">
        <f>'Resultater - Vestdanmark'!B357</f>
        <v>Økologisk</v>
      </c>
      <c r="C357" s="99" t="str">
        <f>'Resultater - Vestdanmark'!C357</f>
        <v>JB1-10</v>
      </c>
      <c r="D357" s="99" t="str">
        <f>'Resultater - Vestdanmark'!D357</f>
        <v>Areal-juletræer</v>
      </c>
      <c r="E357" s="99" t="str">
        <f>'Resultater - Vestdanmark'!E357</f>
        <v>Hektar</v>
      </c>
      <c r="F357" s="99" t="str">
        <f>'Resultater - Vestdanmark'!F357</f>
        <v>Juletræer</v>
      </c>
      <c r="G357" s="99" t="str">
        <f>'Resultater - Vestdanmark'!G357</f>
        <v>Ton</v>
      </c>
      <c r="H357" s="298">
        <f>'Resultater - Vestdanmark'!H357+'Resultater - Østdanmark'!H357</f>
        <v>58561.6295189554</v>
      </c>
      <c r="I357" s="299">
        <f>'Resultater - Vestdanmark'!I357+'Resultater - Østdanmark'!I357</f>
        <v>55477.061197901392</v>
      </c>
      <c r="J357" s="300">
        <f>'Resultater - Vestdanmark'!J357+'Resultater - Østdanmark'!J357</f>
        <v>72141.261681399803</v>
      </c>
    </row>
    <row r="358" spans="1:10" hidden="1" x14ac:dyDescent="0.25">
      <c r="A358" s="99" t="str">
        <f>'Resultater - Vestdanmark'!A358</f>
        <v>Juletræsmark</v>
      </c>
      <c r="B358" s="99" t="str">
        <f>'Resultater - Vestdanmark'!B358</f>
        <v>Økologisk</v>
      </c>
      <c r="C358" s="99" t="str">
        <f>'Resultater - Vestdanmark'!C358</f>
        <v>JB1-10</v>
      </c>
      <c r="D358" s="99" t="str">
        <f>'Resultater - Vestdanmark'!D358</f>
        <v>Areal-juletræer</v>
      </c>
      <c r="E358" s="99" t="str">
        <f>'Resultater - Vestdanmark'!E358</f>
        <v>Hektar</v>
      </c>
      <c r="F358" s="99" t="str">
        <f>'Resultater - Vestdanmark'!F358</f>
        <v>Gødning</v>
      </c>
      <c r="G358" s="99" t="str">
        <f>'Resultater - Vestdanmark'!G358</f>
        <v>kg N</v>
      </c>
      <c r="H358" s="298">
        <f>'Resultater - Vestdanmark'!H358+'Resultater - Østdanmark'!H358</f>
        <v>-128835.58494170189</v>
      </c>
      <c r="I358" s="299">
        <f>'Resultater - Vestdanmark'!I358+'Resultater - Østdanmark'!I358</f>
        <v>-113852.17783151407</v>
      </c>
      <c r="J358" s="300">
        <f>'Resultater - Vestdanmark'!J358+'Resultater - Østdanmark'!J358</f>
        <v>-144282.52336279958</v>
      </c>
    </row>
    <row r="359" spans="1:10" hidden="1" x14ac:dyDescent="0.25">
      <c r="A359" s="99" t="str">
        <f>'Resultater - Vestdanmark'!A359</f>
        <v>Juletræsmark</v>
      </c>
      <c r="B359" s="99" t="str">
        <f>'Resultater - Vestdanmark'!B359</f>
        <v>Økologisk</v>
      </c>
      <c r="C359" s="99" t="str">
        <f>'Resultater - Vestdanmark'!C359</f>
        <v>JB1-10</v>
      </c>
      <c r="D359" s="99" t="str">
        <f>'Resultater - Vestdanmark'!D359</f>
        <v>Areal-juletræer</v>
      </c>
      <c r="E359" s="99" t="str">
        <f>'Resultater - Vestdanmark'!E359</f>
        <v>Hektar</v>
      </c>
      <c r="F359" s="99" t="str">
        <f>'Resultater - Vestdanmark'!F359</f>
        <v>CO2 - atmosfære</v>
      </c>
      <c r="G359" s="99" t="str">
        <f>'Resultater - Vestdanmark'!G359</f>
        <v>t CO2-ækvivalenter</v>
      </c>
      <c r="H359" s="298">
        <f>'Resultater - Vestdanmark'!H359+'Resultater - Østdanmark'!H359</f>
        <v>4039.0970279361727</v>
      </c>
      <c r="I359" s="299">
        <f>'Resultater - Vestdanmark'!I359+'Resultater - Østdanmark'!I359</f>
        <v>3569.3554176931457</v>
      </c>
      <c r="J359" s="300">
        <f>'Resultater - Vestdanmark'!J359+'Resultater - Østdanmark'!J359</f>
        <v>4523.3707097423376</v>
      </c>
    </row>
    <row r="360" spans="1:10" hidden="1" x14ac:dyDescent="0.25">
      <c r="A360" s="99" t="str">
        <f>'Resultater - Vestdanmark'!A360</f>
        <v>Juletræsmark</v>
      </c>
      <c r="B360" s="99" t="str">
        <f>'Resultater - Vestdanmark'!B360</f>
        <v>Økologisk</v>
      </c>
      <c r="C360" s="99" t="str">
        <f>'Resultater - Vestdanmark'!C360</f>
        <v>OC6</v>
      </c>
      <c r="D360" s="99" t="str">
        <f>'Resultater - Vestdanmark'!D360</f>
        <v>Areal-juletræer</v>
      </c>
      <c r="E360" s="99" t="str">
        <f>'Resultater - Vestdanmark'!E360</f>
        <v>Hektar</v>
      </c>
      <c r="F360" s="99" t="str">
        <f>'Resultater - Vestdanmark'!F360</f>
        <v>Juletræer</v>
      </c>
      <c r="G360" s="99" t="str">
        <f>'Resultater - Vestdanmark'!G360</f>
        <v>Ton</v>
      </c>
      <c r="H360" s="298">
        <f>'Resultater - Vestdanmark'!H360+'Resultater - Østdanmark'!H360</f>
        <v>2014.0600571988041</v>
      </c>
      <c r="I360" s="299">
        <f>'Resultater - Vestdanmark'!I360+'Resultater - Østdanmark'!I360</f>
        <v>0</v>
      </c>
      <c r="J360" s="300">
        <f>'Resultater - Vestdanmark'!J360+'Resultater - Østdanmark'!J360</f>
        <v>0</v>
      </c>
    </row>
    <row r="361" spans="1:10" hidden="1" x14ac:dyDescent="0.25">
      <c r="A361" s="99" t="str">
        <f>'Resultater - Vestdanmark'!A361</f>
        <v>Juletræsmark</v>
      </c>
      <c r="B361" s="99" t="str">
        <f>'Resultater - Vestdanmark'!B361</f>
        <v>Økologisk</v>
      </c>
      <c r="C361" s="99" t="str">
        <f>'Resultater - Vestdanmark'!C361</f>
        <v>OC6</v>
      </c>
      <c r="D361" s="99" t="str">
        <f>'Resultater - Vestdanmark'!D361</f>
        <v>Areal-juletræer</v>
      </c>
      <c r="E361" s="99" t="str">
        <f>'Resultater - Vestdanmark'!E361</f>
        <v>Hektar</v>
      </c>
      <c r="F361" s="99" t="str">
        <f>'Resultater - Vestdanmark'!F361</f>
        <v>Gødning</v>
      </c>
      <c r="G361" s="99" t="str">
        <f>'Resultater - Vestdanmark'!G361</f>
        <v>kg N</v>
      </c>
      <c r="H361" s="298">
        <f>'Resultater - Vestdanmark'!H361+'Resultater - Østdanmark'!H361</f>
        <v>-3356.766761998007</v>
      </c>
      <c r="I361" s="299">
        <f>'Resultater - Vestdanmark'!I361+'Resultater - Østdanmark'!I361</f>
        <v>0</v>
      </c>
      <c r="J361" s="300">
        <f>'Resultater - Vestdanmark'!J361+'Resultater - Østdanmark'!J361</f>
        <v>0</v>
      </c>
    </row>
    <row r="362" spans="1:10" hidden="1" x14ac:dyDescent="0.25">
      <c r="A362" s="99" t="str">
        <f>'Resultater - Vestdanmark'!A362</f>
        <v>Juletræsmark</v>
      </c>
      <c r="B362" s="99" t="str">
        <f>'Resultater - Vestdanmark'!B362</f>
        <v>Økologisk</v>
      </c>
      <c r="C362" s="99" t="str">
        <f>'Resultater - Vestdanmark'!C362</f>
        <v>OC6</v>
      </c>
      <c r="D362" s="99" t="str">
        <f>'Resultater - Vestdanmark'!D362</f>
        <v>Areal-juletræer</v>
      </c>
      <c r="E362" s="99" t="str">
        <f>'Resultater - Vestdanmark'!E362</f>
        <v>Hektar</v>
      </c>
      <c r="F362" s="99" t="str">
        <f>'Resultater - Vestdanmark'!F362</f>
        <v>CO2 - atmosfære</v>
      </c>
      <c r="G362" s="99" t="str">
        <f>'Resultater - Vestdanmark'!G362</f>
        <v>t CO2-ækvivalenter</v>
      </c>
      <c r="H362" s="298">
        <f>'Resultater - Vestdanmark'!H362+'Resultater - Østdanmark'!H362</f>
        <v>627.87405753257133</v>
      </c>
      <c r="I362" s="299">
        <f>'Resultater - Vestdanmark'!I362+'Resultater - Østdanmark'!I362</f>
        <v>0</v>
      </c>
      <c r="J362" s="300">
        <f>'Resultater - Vestdanmark'!J362+'Resultater - Østdanmark'!J362</f>
        <v>0</v>
      </c>
    </row>
    <row r="363" spans="1:10" hidden="1" x14ac:dyDescent="0.25">
      <c r="A363" s="99" t="str">
        <f>'Resultater - Vestdanmark'!A363</f>
        <v>Juletræsmark</v>
      </c>
      <c r="B363" s="99" t="str">
        <f>'Resultater - Vestdanmark'!B363</f>
        <v>Økologisk</v>
      </c>
      <c r="C363" s="99" t="str">
        <f>'Resultater - Vestdanmark'!C363</f>
        <v>OC12</v>
      </c>
      <c r="D363" s="99" t="str">
        <f>'Resultater - Vestdanmark'!D363</f>
        <v>Areal-juletræer</v>
      </c>
      <c r="E363" s="99" t="str">
        <f>'Resultater - Vestdanmark'!E363</f>
        <v>Hektar</v>
      </c>
      <c r="F363" s="99" t="str">
        <f>'Resultater - Vestdanmark'!F363</f>
        <v>Juletræer</v>
      </c>
      <c r="G363" s="99" t="str">
        <f>'Resultater - Vestdanmark'!G363</f>
        <v>Ton</v>
      </c>
      <c r="H363" s="298">
        <f>'Resultater - Vestdanmark'!H363+'Resultater - Østdanmark'!H363</f>
        <v>1347.7904439254141</v>
      </c>
      <c r="I363" s="299">
        <f>'Resultater - Vestdanmark'!I363+'Resultater - Østdanmark'!I363</f>
        <v>0</v>
      </c>
      <c r="J363" s="300">
        <f>'Resultater - Vestdanmark'!J363+'Resultater - Østdanmark'!J363</f>
        <v>0</v>
      </c>
    </row>
    <row r="364" spans="1:10" hidden="1" x14ac:dyDescent="0.25">
      <c r="A364" s="99" t="str">
        <f>'Resultater - Vestdanmark'!A364</f>
        <v>Juletræsmark</v>
      </c>
      <c r="B364" s="99" t="str">
        <f>'Resultater - Vestdanmark'!B364</f>
        <v>Økologisk</v>
      </c>
      <c r="C364" s="99" t="str">
        <f>'Resultater - Vestdanmark'!C364</f>
        <v>OC12</v>
      </c>
      <c r="D364" s="99" t="str">
        <f>'Resultater - Vestdanmark'!D364</f>
        <v>Areal-juletræer</v>
      </c>
      <c r="E364" s="99" t="str">
        <f>'Resultater - Vestdanmark'!E364</f>
        <v>Hektar</v>
      </c>
      <c r="F364" s="99" t="str">
        <f>'Resultater - Vestdanmark'!F364</f>
        <v>Gødning</v>
      </c>
      <c r="G364" s="99" t="str">
        <f>'Resultater - Vestdanmark'!G364</f>
        <v>kg N</v>
      </c>
      <c r="H364" s="298">
        <f>'Resultater - Vestdanmark'!H364+'Resultater - Østdanmark'!H364</f>
        <v>-1732.8734279041039</v>
      </c>
      <c r="I364" s="299">
        <f>'Resultater - Vestdanmark'!I364+'Resultater - Østdanmark'!I364</f>
        <v>0</v>
      </c>
      <c r="J364" s="300">
        <f>'Resultater - Vestdanmark'!J364+'Resultater - Østdanmark'!J364</f>
        <v>0</v>
      </c>
    </row>
    <row r="365" spans="1:10" hidden="1" x14ac:dyDescent="0.25">
      <c r="A365" s="99" t="str">
        <f>'Resultater - Vestdanmark'!A365</f>
        <v>Juletræsmark</v>
      </c>
      <c r="B365" s="99" t="str">
        <f>'Resultater - Vestdanmark'!B365</f>
        <v>Økologisk</v>
      </c>
      <c r="C365" s="99" t="str">
        <f>'Resultater - Vestdanmark'!C365</f>
        <v>OC12</v>
      </c>
      <c r="D365" s="99" t="str">
        <f>'Resultater - Vestdanmark'!D365</f>
        <v>Areal-juletræer</v>
      </c>
      <c r="E365" s="99" t="str">
        <f>'Resultater - Vestdanmark'!E365</f>
        <v>Hektar</v>
      </c>
      <c r="F365" s="99" t="str">
        <f>'Resultater - Vestdanmark'!F365</f>
        <v>CO2 - atmosfære</v>
      </c>
      <c r="G365" s="99" t="str">
        <f>'Resultater - Vestdanmark'!G365</f>
        <v>t CO2-ækvivalenter</v>
      </c>
      <c r="H365" s="298">
        <f>'Resultater - Vestdanmark'!H365+'Resultater - Østdanmark'!H365</f>
        <v>962.76469434034368</v>
      </c>
      <c r="I365" s="299">
        <f>'Resultater - Vestdanmark'!I365+'Resultater - Østdanmark'!I365</f>
        <v>0</v>
      </c>
      <c r="J365" s="300">
        <f>'Resultater - Vestdanmark'!J365+'Resultater - Østdanmark'!J365</f>
        <v>0</v>
      </c>
    </row>
    <row r="366" spans="1:10" hidden="1" x14ac:dyDescent="0.25">
      <c r="A366" s="99" t="str">
        <f>'Resultater - Vestdanmark'!A366</f>
        <v>Pil- og poppeldyrkning</v>
      </c>
      <c r="B366" s="99" t="str">
        <f>'Resultater - Vestdanmark'!B366</f>
        <v>Konventionel</v>
      </c>
      <c r="C366" s="99" t="str">
        <f>'Resultater - Vestdanmark'!C366</f>
        <v>JB1-10</v>
      </c>
      <c r="D366" s="99" t="str">
        <f>'Resultater - Vestdanmark'!D366</f>
        <v>Areal-pil-poppel</v>
      </c>
      <c r="E366" s="99" t="str">
        <f>'Resultater - Vestdanmark'!E366</f>
        <v>Hektar</v>
      </c>
      <c r="F366" s="99" t="str">
        <f>'Resultater - Vestdanmark'!F366</f>
        <v>Pil &amp; poppel</v>
      </c>
      <c r="G366" s="99" t="str">
        <f>'Resultater - Vestdanmark'!G366</f>
        <v>Ton</v>
      </c>
      <c r="H366" s="298">
        <f>'Resultater - Vestdanmark'!H366+'Resultater - Østdanmark'!H366</f>
        <v>151119.96541178104</v>
      </c>
      <c r="I366" s="299">
        <f>'Resultater - Vestdanmark'!I366+'Resultater - Østdanmark'!I366</f>
        <v>118403.48343448782</v>
      </c>
      <c r="J366" s="300">
        <f>'Resultater - Vestdanmark'!J366+'Resultater - Østdanmark'!J366</f>
        <v>113378.89657110018</v>
      </c>
    </row>
    <row r="367" spans="1:10" hidden="1" x14ac:dyDescent="0.25">
      <c r="A367" s="99" t="str">
        <f>'Resultater - Vestdanmark'!A367</f>
        <v>Pil- og poppeldyrkning</v>
      </c>
      <c r="B367" s="99" t="str">
        <f>'Resultater - Vestdanmark'!B367</f>
        <v>Konventionel</v>
      </c>
      <c r="C367" s="99" t="str">
        <f>'Resultater - Vestdanmark'!C367</f>
        <v>JB1-10</v>
      </c>
      <c r="D367" s="99" t="str">
        <f>'Resultater - Vestdanmark'!D367</f>
        <v>Areal-pil-poppel</v>
      </c>
      <c r="E367" s="99" t="str">
        <f>'Resultater - Vestdanmark'!E367</f>
        <v>Hektar</v>
      </c>
      <c r="F367" s="99" t="str">
        <f>'Resultater - Vestdanmark'!F367</f>
        <v>Gødning</v>
      </c>
      <c r="G367" s="99" t="str">
        <f>'Resultater - Vestdanmark'!G367</f>
        <v>kg N</v>
      </c>
      <c r="H367" s="298">
        <f>'Resultater - Vestdanmark'!H367+'Resultater - Østdanmark'!H367</f>
        <v>-743510.2298259628</v>
      </c>
      <c r="I367" s="299">
        <f>'Resultater - Vestdanmark'!I367+'Resultater - Østdanmark'!I367</f>
        <v>-543418.97247917915</v>
      </c>
      <c r="J367" s="300">
        <f>'Resultater - Vestdanmark'!J367+'Resultater - Østdanmark'!J367</f>
        <v>-507112.88284528442</v>
      </c>
    </row>
    <row r="368" spans="1:10" hidden="1" x14ac:dyDescent="0.25">
      <c r="A368" s="99" t="str">
        <f>'Resultater - Vestdanmark'!A368</f>
        <v>Pil- og poppeldyrkning</v>
      </c>
      <c r="B368" s="99" t="str">
        <f>'Resultater - Vestdanmark'!B368</f>
        <v>Konventionel</v>
      </c>
      <c r="C368" s="99" t="str">
        <f>'Resultater - Vestdanmark'!C368</f>
        <v>JB1-10</v>
      </c>
      <c r="D368" s="99" t="str">
        <f>'Resultater - Vestdanmark'!D368</f>
        <v>Areal-pil-poppel</v>
      </c>
      <c r="E368" s="99" t="str">
        <f>'Resultater - Vestdanmark'!E368</f>
        <v>Hektar</v>
      </c>
      <c r="F368" s="99" t="str">
        <f>'Resultater - Vestdanmark'!F368</f>
        <v>CO2 - atmosfære</v>
      </c>
      <c r="G368" s="99" t="str">
        <f>'Resultater - Vestdanmark'!G368</f>
        <v>t CO2-ækvivalenter</v>
      </c>
      <c r="H368" s="298">
        <f>'Resultater - Vestdanmark'!H368+'Resultater - Østdanmark'!H368</f>
        <v>12179.28225780596</v>
      </c>
      <c r="I368" s="299">
        <f>'Resultater - Vestdanmark'!I368+'Resultater - Østdanmark'!I368</f>
        <v>8901.6301115588249</v>
      </c>
      <c r="J368" s="300">
        <f>'Resultater - Vestdanmark'!J368+'Resultater - Østdanmark'!J368</f>
        <v>8306.9078124024163</v>
      </c>
    </row>
    <row r="369" spans="1:10" hidden="1" x14ac:dyDescent="0.25">
      <c r="A369" s="99" t="str">
        <f>'Resultater - Vestdanmark'!A369</f>
        <v>Pil- og poppeldyrkning</v>
      </c>
      <c r="B369" s="99" t="str">
        <f>'Resultater - Vestdanmark'!B369</f>
        <v>Konventionel</v>
      </c>
      <c r="C369" s="99" t="str">
        <f>'Resultater - Vestdanmark'!C369</f>
        <v>OC6</v>
      </c>
      <c r="D369" s="99" t="str">
        <f>'Resultater - Vestdanmark'!D369</f>
        <v>Areal-pil-poppel</v>
      </c>
      <c r="E369" s="99" t="str">
        <f>'Resultater - Vestdanmark'!E369</f>
        <v>Hektar</v>
      </c>
      <c r="F369" s="99" t="str">
        <f>'Resultater - Vestdanmark'!F369</f>
        <v>Pil &amp; poppel</v>
      </c>
      <c r="G369" s="99" t="str">
        <f>'Resultater - Vestdanmark'!G369</f>
        <v>Ton</v>
      </c>
      <c r="H369" s="298">
        <f>'Resultater - Vestdanmark'!H369+'Resultater - Østdanmark'!H369</f>
        <v>22625.724932981873</v>
      </c>
      <c r="I369" s="299">
        <f>'Resultater - Vestdanmark'!I369+'Resultater - Østdanmark'!I369</f>
        <v>0</v>
      </c>
      <c r="J369" s="300">
        <f>'Resultater - Vestdanmark'!J369+'Resultater - Østdanmark'!J369</f>
        <v>0</v>
      </c>
    </row>
    <row r="370" spans="1:10" hidden="1" x14ac:dyDescent="0.25">
      <c r="A370" s="99" t="str">
        <f>'Resultater - Vestdanmark'!A370</f>
        <v>Pil- og poppeldyrkning</v>
      </c>
      <c r="B370" s="99" t="str">
        <f>'Resultater - Vestdanmark'!B370</f>
        <v>Konventionel</v>
      </c>
      <c r="C370" s="99" t="str">
        <f>'Resultater - Vestdanmark'!C370</f>
        <v>OC6</v>
      </c>
      <c r="D370" s="99" t="str">
        <f>'Resultater - Vestdanmark'!D370</f>
        <v>Areal-pil-poppel</v>
      </c>
      <c r="E370" s="99" t="str">
        <f>'Resultater - Vestdanmark'!E370</f>
        <v>Hektar</v>
      </c>
      <c r="F370" s="99" t="str">
        <f>'Resultater - Vestdanmark'!F370</f>
        <v>Gødning</v>
      </c>
      <c r="G370" s="99" t="str">
        <f>'Resultater - Vestdanmark'!G370</f>
        <v>kg N</v>
      </c>
      <c r="H370" s="298">
        <f>'Resultater - Vestdanmark'!H370+'Resultater - Østdanmark'!H370</f>
        <v>-92765.472225225691</v>
      </c>
      <c r="I370" s="299">
        <f>'Resultater - Vestdanmark'!I370+'Resultater - Østdanmark'!I370</f>
        <v>0</v>
      </c>
      <c r="J370" s="300">
        <f>'Resultater - Vestdanmark'!J370+'Resultater - Østdanmark'!J370</f>
        <v>0</v>
      </c>
    </row>
    <row r="371" spans="1:10" hidden="1" x14ac:dyDescent="0.25">
      <c r="A371" s="99" t="str">
        <f>'Resultater - Vestdanmark'!A371</f>
        <v>Pil- og poppeldyrkning</v>
      </c>
      <c r="B371" s="99" t="str">
        <f>'Resultater - Vestdanmark'!B371</f>
        <v>Konventionel</v>
      </c>
      <c r="C371" s="99" t="str">
        <f>'Resultater - Vestdanmark'!C371</f>
        <v>OC6</v>
      </c>
      <c r="D371" s="99" t="str">
        <f>'Resultater - Vestdanmark'!D371</f>
        <v>Areal-pil-poppel</v>
      </c>
      <c r="E371" s="99" t="str">
        <f>'Resultater - Vestdanmark'!E371</f>
        <v>Hektar</v>
      </c>
      <c r="F371" s="99" t="str">
        <f>'Resultater - Vestdanmark'!F371</f>
        <v>CO2 - atmosfære</v>
      </c>
      <c r="G371" s="99" t="str">
        <f>'Resultater - Vestdanmark'!G371</f>
        <v>t CO2-ækvivalenter</v>
      </c>
      <c r="H371" s="298">
        <f>'Resultater - Vestdanmark'!H371+'Resultater - Østdanmark'!H371</f>
        <v>8241.9759393401473</v>
      </c>
      <c r="I371" s="299">
        <f>'Resultater - Vestdanmark'!I371+'Resultater - Østdanmark'!I371</f>
        <v>0</v>
      </c>
      <c r="J371" s="300">
        <f>'Resultater - Vestdanmark'!J371+'Resultater - Østdanmark'!J371</f>
        <v>0</v>
      </c>
    </row>
    <row r="372" spans="1:10" hidden="1" x14ac:dyDescent="0.25">
      <c r="A372" s="99" t="str">
        <f>'Resultater - Vestdanmark'!A372</f>
        <v>Pil- og poppeldyrkning</v>
      </c>
      <c r="B372" s="99" t="str">
        <f>'Resultater - Vestdanmark'!B372</f>
        <v>Konventionel</v>
      </c>
      <c r="C372" s="99" t="str">
        <f>'Resultater - Vestdanmark'!C372</f>
        <v>OC12</v>
      </c>
      <c r="D372" s="99" t="str">
        <f>'Resultater - Vestdanmark'!D372</f>
        <v>Areal-pil-poppel</v>
      </c>
      <c r="E372" s="99" t="str">
        <f>'Resultater - Vestdanmark'!E372</f>
        <v>Hektar</v>
      </c>
      <c r="F372" s="99" t="str">
        <f>'Resultater - Vestdanmark'!F372</f>
        <v>Pil &amp; poppel</v>
      </c>
      <c r="G372" s="99" t="str">
        <f>'Resultater - Vestdanmark'!G372</f>
        <v>Ton</v>
      </c>
      <c r="H372" s="298">
        <f>'Resultater - Vestdanmark'!H372+'Resultater - Østdanmark'!H372</f>
        <v>21786.130098302907</v>
      </c>
      <c r="I372" s="299">
        <f>'Resultater - Vestdanmark'!I372+'Resultater - Østdanmark'!I372</f>
        <v>0</v>
      </c>
      <c r="J372" s="300">
        <f>'Resultater - Vestdanmark'!J372+'Resultater - Østdanmark'!J372</f>
        <v>0</v>
      </c>
    </row>
    <row r="373" spans="1:10" hidden="1" x14ac:dyDescent="0.25">
      <c r="A373" s="99" t="str">
        <f>'Resultater - Vestdanmark'!A373</f>
        <v>Pil- og poppeldyrkning</v>
      </c>
      <c r="B373" s="99" t="str">
        <f>'Resultater - Vestdanmark'!B373</f>
        <v>Konventionel</v>
      </c>
      <c r="C373" s="99" t="str">
        <f>'Resultater - Vestdanmark'!C373</f>
        <v>OC12</v>
      </c>
      <c r="D373" s="99" t="str">
        <f>'Resultater - Vestdanmark'!D373</f>
        <v>Areal-pil-poppel</v>
      </c>
      <c r="E373" s="99" t="str">
        <f>'Resultater - Vestdanmark'!E373</f>
        <v>Hektar</v>
      </c>
      <c r="F373" s="99" t="str">
        <f>'Resultater - Vestdanmark'!F373</f>
        <v>Gødning</v>
      </c>
      <c r="G373" s="99" t="str">
        <f>'Resultater - Vestdanmark'!G373</f>
        <v>kg N</v>
      </c>
      <c r="H373" s="298">
        <f>'Resultater - Vestdanmark'!H373+'Resultater - Østdanmark'!H373</f>
        <v>-76562.685774035956</v>
      </c>
      <c r="I373" s="299">
        <f>'Resultater - Vestdanmark'!I373+'Resultater - Østdanmark'!I373</f>
        <v>0</v>
      </c>
      <c r="J373" s="300">
        <f>'Resultater - Vestdanmark'!J373+'Resultater - Østdanmark'!J373</f>
        <v>0</v>
      </c>
    </row>
    <row r="374" spans="1:10" hidden="1" x14ac:dyDescent="0.25">
      <c r="A374" s="99" t="str">
        <f>'Resultater - Vestdanmark'!A374</f>
        <v>Pil- og poppeldyrkning</v>
      </c>
      <c r="B374" s="99" t="str">
        <f>'Resultater - Vestdanmark'!B374</f>
        <v>Konventionel</v>
      </c>
      <c r="C374" s="99" t="str">
        <f>'Resultater - Vestdanmark'!C374</f>
        <v>OC12</v>
      </c>
      <c r="D374" s="99" t="str">
        <f>'Resultater - Vestdanmark'!D374</f>
        <v>Areal-pil-poppel</v>
      </c>
      <c r="E374" s="99" t="str">
        <f>'Resultater - Vestdanmark'!E374</f>
        <v>Hektar</v>
      </c>
      <c r="F374" s="99" t="str">
        <f>'Resultater - Vestdanmark'!F374</f>
        <v>CO2 - atmosfære</v>
      </c>
      <c r="G374" s="99" t="str">
        <f>'Resultater - Vestdanmark'!G374</f>
        <v>t CO2-ækvivalenter</v>
      </c>
      <c r="H374" s="298">
        <f>'Resultater - Vestdanmark'!H374+'Resultater - Østdanmark'!H374</f>
        <v>18184.718915711666</v>
      </c>
      <c r="I374" s="299">
        <f>'Resultater - Vestdanmark'!I374+'Resultater - Østdanmark'!I374</f>
        <v>0</v>
      </c>
      <c r="J374" s="300">
        <f>'Resultater - Vestdanmark'!J374+'Resultater - Østdanmark'!J374</f>
        <v>0</v>
      </c>
    </row>
    <row r="375" spans="1:10" hidden="1" x14ac:dyDescent="0.25">
      <c r="A375" s="99" t="str">
        <f>'Resultater - Vestdanmark'!A375</f>
        <v>Pil- og poppeldyrkning</v>
      </c>
      <c r="B375" s="99" t="str">
        <f>'Resultater - Vestdanmark'!B375</f>
        <v>Økologisk</v>
      </c>
      <c r="C375" s="99" t="str">
        <f>'Resultater - Vestdanmark'!C375</f>
        <v>JB1-10</v>
      </c>
      <c r="D375" s="99" t="str">
        <f>'Resultater - Vestdanmark'!D375</f>
        <v>Areal-pil-poppel</v>
      </c>
      <c r="E375" s="99" t="str">
        <f>'Resultater - Vestdanmark'!E375</f>
        <v>Hektar</v>
      </c>
      <c r="F375" s="99" t="str">
        <f>'Resultater - Vestdanmark'!F375</f>
        <v>Pil &amp; poppel</v>
      </c>
      <c r="G375" s="99" t="str">
        <f>'Resultater - Vestdanmark'!G375</f>
        <v>Ton</v>
      </c>
      <c r="H375" s="298">
        <f>'Resultater - Vestdanmark'!H375+'Resultater - Østdanmark'!H375</f>
        <v>11013.783741156445</v>
      </c>
      <c r="I375" s="299">
        <f>'Resultater - Vestdanmark'!I375+'Resultater - Østdanmark'!I375</f>
        <v>10533.119133276114</v>
      </c>
      <c r="J375" s="300">
        <f>'Resultater - Vestdanmark'!J375+'Resultater - Østdanmark'!J375</f>
        <v>13708.539312687568</v>
      </c>
    </row>
    <row r="376" spans="1:10" hidden="1" x14ac:dyDescent="0.25">
      <c r="A376" s="99" t="str">
        <f>'Resultater - Vestdanmark'!A376</f>
        <v>Pil- og poppeldyrkning</v>
      </c>
      <c r="B376" s="99" t="str">
        <f>'Resultater - Vestdanmark'!B376</f>
        <v>Økologisk</v>
      </c>
      <c r="C376" s="99" t="str">
        <f>'Resultater - Vestdanmark'!C376</f>
        <v>JB1-10</v>
      </c>
      <c r="D376" s="99" t="str">
        <f>'Resultater - Vestdanmark'!D376</f>
        <v>Areal-pil-poppel</v>
      </c>
      <c r="E376" s="99" t="str">
        <f>'Resultater - Vestdanmark'!E376</f>
        <v>Hektar</v>
      </c>
      <c r="F376" s="99" t="str">
        <f>'Resultater - Vestdanmark'!F376</f>
        <v>Gødning</v>
      </c>
      <c r="G376" s="99" t="str">
        <f>'Resultater - Vestdanmark'!G376</f>
        <v>kg N</v>
      </c>
      <c r="H376" s="298">
        <f>'Resultater - Vestdanmark'!H376+'Resultater - Østdanmark'!H376</f>
        <v>-54187.816006489709</v>
      </c>
      <c r="I376" s="299">
        <f>'Resultater - Vestdanmark'!I376+'Resultater - Østdanmark'!I376</f>
        <v>-48342.300499737386</v>
      </c>
      <c r="J376" s="300">
        <f>'Resultater - Vestdanmark'!J376+'Resultater - Østdanmark'!J376</f>
        <v>-61314.55765311166</v>
      </c>
    </row>
    <row r="377" spans="1:10" hidden="1" x14ac:dyDescent="0.25">
      <c r="A377" s="99" t="str">
        <f>'Resultater - Vestdanmark'!A377</f>
        <v>Pil- og poppeldyrkning</v>
      </c>
      <c r="B377" s="99" t="str">
        <f>'Resultater - Vestdanmark'!B377</f>
        <v>Økologisk</v>
      </c>
      <c r="C377" s="99" t="str">
        <f>'Resultater - Vestdanmark'!C377</f>
        <v>JB1-10</v>
      </c>
      <c r="D377" s="99" t="str">
        <f>'Resultater - Vestdanmark'!D377</f>
        <v>Areal-pil-poppel</v>
      </c>
      <c r="E377" s="99" t="str">
        <f>'Resultater - Vestdanmark'!E377</f>
        <v>Hektar</v>
      </c>
      <c r="F377" s="99" t="str">
        <f>'Resultater - Vestdanmark'!F377</f>
        <v>CO2 - atmosfære</v>
      </c>
      <c r="G377" s="99" t="str">
        <f>'Resultater - Vestdanmark'!G377</f>
        <v>t CO2-ækvivalenter</v>
      </c>
      <c r="H377" s="298">
        <f>'Resultater - Vestdanmark'!H377+'Resultater - Østdanmark'!H377</f>
        <v>1557.2614723727386</v>
      </c>
      <c r="I377" s="299">
        <f>'Resultater - Vestdanmark'!I377+'Resultater - Østdanmark'!I377</f>
        <v>1389.2717515149614</v>
      </c>
      <c r="J377" s="300">
        <f>'Resultater - Vestdanmark'!J377+'Resultater - Østdanmark'!J377</f>
        <v>1762.071354145967</v>
      </c>
    </row>
    <row r="378" spans="1:10" hidden="1" x14ac:dyDescent="0.25">
      <c r="A378" s="99" t="str">
        <f>'Resultater - Vestdanmark'!A378</f>
        <v>Pil- og poppeldyrkning</v>
      </c>
      <c r="B378" s="99" t="str">
        <f>'Resultater - Vestdanmark'!B378</f>
        <v>Økologisk</v>
      </c>
      <c r="C378" s="99" t="str">
        <f>'Resultater - Vestdanmark'!C378</f>
        <v>OC6</v>
      </c>
      <c r="D378" s="99" t="str">
        <f>'Resultater - Vestdanmark'!D378</f>
        <v>Areal-pil-poppel</v>
      </c>
      <c r="E378" s="99" t="str">
        <f>'Resultater - Vestdanmark'!E378</f>
        <v>Hektar</v>
      </c>
      <c r="F378" s="99" t="str">
        <f>'Resultater - Vestdanmark'!F378</f>
        <v>Pil &amp; poppel</v>
      </c>
      <c r="G378" s="99" t="str">
        <f>'Resultater - Vestdanmark'!G378</f>
        <v>Ton</v>
      </c>
      <c r="H378" s="298">
        <f>'Resultater - Vestdanmark'!H378+'Resultater - Østdanmark'!H378</f>
        <v>1648.986887468722</v>
      </c>
      <c r="I378" s="299">
        <f>'Resultater - Vestdanmark'!I378+'Resultater - Østdanmark'!I378</f>
        <v>0</v>
      </c>
      <c r="J378" s="300">
        <f>'Resultater - Vestdanmark'!J378+'Resultater - Østdanmark'!J378</f>
        <v>0</v>
      </c>
    </row>
    <row r="379" spans="1:10" hidden="1" x14ac:dyDescent="0.25">
      <c r="A379" s="99" t="str">
        <f>'Resultater - Vestdanmark'!A379</f>
        <v>Pil- og poppeldyrkning</v>
      </c>
      <c r="B379" s="99" t="str">
        <f>'Resultater - Vestdanmark'!B379</f>
        <v>Økologisk</v>
      </c>
      <c r="C379" s="99" t="str">
        <f>'Resultater - Vestdanmark'!C379</f>
        <v>OC6</v>
      </c>
      <c r="D379" s="99" t="str">
        <f>'Resultater - Vestdanmark'!D379</f>
        <v>Areal-pil-poppel</v>
      </c>
      <c r="E379" s="99" t="str">
        <f>'Resultater - Vestdanmark'!E379</f>
        <v>Hektar</v>
      </c>
      <c r="F379" s="99" t="str">
        <f>'Resultater - Vestdanmark'!F379</f>
        <v>Gødning</v>
      </c>
      <c r="G379" s="99" t="str">
        <f>'Resultater - Vestdanmark'!G379</f>
        <v>kg N</v>
      </c>
      <c r="H379" s="298">
        <f>'Resultater - Vestdanmark'!H379+'Resultater - Østdanmark'!H379</f>
        <v>-6760.8462386217598</v>
      </c>
      <c r="I379" s="299">
        <f>'Resultater - Vestdanmark'!I379+'Resultater - Østdanmark'!I379</f>
        <v>0</v>
      </c>
      <c r="J379" s="300">
        <f>'Resultater - Vestdanmark'!J379+'Resultater - Østdanmark'!J379</f>
        <v>0</v>
      </c>
    </row>
    <row r="380" spans="1:10" hidden="1" x14ac:dyDescent="0.25">
      <c r="A380" s="99" t="str">
        <f>'Resultater - Vestdanmark'!A380</f>
        <v>Pil- og poppeldyrkning</v>
      </c>
      <c r="B380" s="99" t="str">
        <f>'Resultater - Vestdanmark'!B380</f>
        <v>Økologisk</v>
      </c>
      <c r="C380" s="99" t="str">
        <f>'Resultater - Vestdanmark'!C380</f>
        <v>OC6</v>
      </c>
      <c r="D380" s="99" t="str">
        <f>'Resultater - Vestdanmark'!D380</f>
        <v>Areal-pil-poppel</v>
      </c>
      <c r="E380" s="99" t="str">
        <f>'Resultater - Vestdanmark'!E380</f>
        <v>Hektar</v>
      </c>
      <c r="F380" s="99" t="str">
        <f>'Resultater - Vestdanmark'!F380</f>
        <v>CO2 - atmosfære</v>
      </c>
      <c r="G380" s="99" t="str">
        <f>'Resultater - Vestdanmark'!G380</f>
        <v>t CO2-ækvivalenter</v>
      </c>
      <c r="H380" s="298">
        <f>'Resultater - Vestdanmark'!H380+'Resultater - Østdanmark'!H380</f>
        <v>1053.8315242945746</v>
      </c>
      <c r="I380" s="299">
        <f>'Resultater - Vestdanmark'!I380+'Resultater - Østdanmark'!I380</f>
        <v>0</v>
      </c>
      <c r="J380" s="300">
        <f>'Resultater - Vestdanmark'!J380+'Resultater - Østdanmark'!J380</f>
        <v>0</v>
      </c>
    </row>
    <row r="381" spans="1:10" hidden="1" x14ac:dyDescent="0.25">
      <c r="A381" s="99" t="str">
        <f>'Resultater - Vestdanmark'!A381</f>
        <v>Pil- og poppeldyrkning</v>
      </c>
      <c r="B381" s="99" t="str">
        <f>'Resultater - Vestdanmark'!B381</f>
        <v>Økologisk</v>
      </c>
      <c r="C381" s="99" t="str">
        <f>'Resultater - Vestdanmark'!C381</f>
        <v>OC12</v>
      </c>
      <c r="D381" s="99" t="str">
        <f>'Resultater - Vestdanmark'!D381</f>
        <v>Areal-pil-poppel</v>
      </c>
      <c r="E381" s="99" t="str">
        <f>'Resultater - Vestdanmark'!E381</f>
        <v>Hektar</v>
      </c>
      <c r="F381" s="99" t="str">
        <f>'Resultater - Vestdanmark'!F381</f>
        <v>Pil &amp; poppel</v>
      </c>
      <c r="G381" s="99" t="str">
        <f>'Resultater - Vestdanmark'!G381</f>
        <v>Ton</v>
      </c>
      <c r="H381" s="298">
        <f>'Resultater - Vestdanmark'!H381+'Resultater - Østdanmark'!H381</f>
        <v>1587.7963233089895</v>
      </c>
      <c r="I381" s="299">
        <f>'Resultater - Vestdanmark'!I381+'Resultater - Østdanmark'!I381</f>
        <v>0</v>
      </c>
      <c r="J381" s="300">
        <f>'Resultater - Vestdanmark'!J381+'Resultater - Østdanmark'!J381</f>
        <v>0</v>
      </c>
    </row>
    <row r="382" spans="1:10" hidden="1" x14ac:dyDescent="0.25">
      <c r="A382" s="99" t="str">
        <f>'Resultater - Vestdanmark'!A382</f>
        <v>Pil- og poppeldyrkning</v>
      </c>
      <c r="B382" s="99" t="str">
        <f>'Resultater - Vestdanmark'!B382</f>
        <v>Økologisk</v>
      </c>
      <c r="C382" s="99" t="str">
        <f>'Resultater - Vestdanmark'!C382</f>
        <v>OC12</v>
      </c>
      <c r="D382" s="99" t="str">
        <f>'Resultater - Vestdanmark'!D382</f>
        <v>Areal-pil-poppel</v>
      </c>
      <c r="E382" s="99" t="str">
        <f>'Resultater - Vestdanmark'!E382</f>
        <v>Hektar</v>
      </c>
      <c r="F382" s="99" t="str">
        <f>'Resultater - Vestdanmark'!F382</f>
        <v>Gødning</v>
      </c>
      <c r="G382" s="99" t="str">
        <f>'Resultater - Vestdanmark'!G382</f>
        <v>kg N</v>
      </c>
      <c r="H382" s="298">
        <f>'Resultater - Vestdanmark'!H382+'Resultater - Østdanmark'!H382</f>
        <v>-5579.9699362001647</v>
      </c>
      <c r="I382" s="299">
        <f>'Resultater - Vestdanmark'!I382+'Resultater - Østdanmark'!I382</f>
        <v>0</v>
      </c>
      <c r="J382" s="300">
        <f>'Resultater - Vestdanmark'!J382+'Resultater - Østdanmark'!J382</f>
        <v>0</v>
      </c>
    </row>
    <row r="383" spans="1:10" hidden="1" x14ac:dyDescent="0.25">
      <c r="A383" s="99" t="str">
        <f>'Resultater - Vestdanmark'!A383</f>
        <v>Pil- og poppeldyrkning</v>
      </c>
      <c r="B383" s="99" t="str">
        <f>'Resultater - Vestdanmark'!B383</f>
        <v>Økologisk</v>
      </c>
      <c r="C383" s="99" t="str">
        <f>'Resultater - Vestdanmark'!C383</f>
        <v>OC12</v>
      </c>
      <c r="D383" s="99" t="str">
        <f>'Resultater - Vestdanmark'!D383</f>
        <v>Areal-pil-poppel</v>
      </c>
      <c r="E383" s="99" t="str">
        <f>'Resultater - Vestdanmark'!E383</f>
        <v>Hektar</v>
      </c>
      <c r="F383" s="99" t="str">
        <f>'Resultater - Vestdanmark'!F383</f>
        <v>CO2 - atmosfære</v>
      </c>
      <c r="G383" s="99" t="str">
        <f>'Resultater - Vestdanmark'!G383</f>
        <v>t CO2-ækvivalenter</v>
      </c>
      <c r="H383" s="298">
        <f>'Resultater - Vestdanmark'!H383+'Resultater - Østdanmark'!H383</f>
        <v>2325.1256973879313</v>
      </c>
      <c r="I383" s="299">
        <f>'Resultater - Vestdanmark'!I383+'Resultater - Østdanmark'!I383</f>
        <v>0</v>
      </c>
      <c r="J383" s="300">
        <f>'Resultater - Vestdanmark'!J383+'Resultater - Østdanmark'!J383</f>
        <v>0</v>
      </c>
    </row>
    <row r="384" spans="1:10" hidden="1" x14ac:dyDescent="0.25">
      <c r="A384" s="99" t="str">
        <f>'Resultater - Vestdanmark'!A384</f>
        <v>Permanent græs</v>
      </c>
      <c r="B384" s="99" t="str">
        <f>'Resultater - Vestdanmark'!B384</f>
        <v>Konventionel</v>
      </c>
      <c r="C384" s="99" t="str">
        <f>'Resultater - Vestdanmark'!C384</f>
        <v>JB1-10</v>
      </c>
      <c r="D384" s="99" t="str">
        <f>'Resultater - Vestdanmark'!D384</f>
        <v>Areal-permanent græs</v>
      </c>
      <c r="E384" s="99" t="str">
        <f>'Resultater - Vestdanmark'!E384</f>
        <v>Hektar</v>
      </c>
      <c r="F384" s="99" t="str">
        <f>'Resultater - Vestdanmark'!F384</f>
        <v>Græs</v>
      </c>
      <c r="G384" s="99" t="str">
        <f>'Resultater - Vestdanmark'!G384</f>
        <v>Ton</v>
      </c>
      <c r="H384" s="298">
        <f>'Resultater - Vestdanmark'!H384+'Resultater - Østdanmark'!H384</f>
        <v>2073397.5877193159</v>
      </c>
      <c r="I384" s="299">
        <f>'Resultater - Vestdanmark'!I384+'Resultater - Østdanmark'!I384</f>
        <v>2005399.4091710742</v>
      </c>
      <c r="J384" s="300">
        <f>'Resultater - Vestdanmark'!J384+'Resultater - Østdanmark'!J384</f>
        <v>1557814.5379345501</v>
      </c>
    </row>
    <row r="385" spans="1:10" hidden="1" x14ac:dyDescent="0.25">
      <c r="A385" s="99" t="str">
        <f>'Resultater - Vestdanmark'!A385</f>
        <v>Permanent græs</v>
      </c>
      <c r="B385" s="99" t="str">
        <f>'Resultater - Vestdanmark'!B385</f>
        <v>Konventionel</v>
      </c>
      <c r="C385" s="99" t="str">
        <f>'Resultater - Vestdanmark'!C385</f>
        <v>JB1-10</v>
      </c>
      <c r="D385" s="99" t="str">
        <f>'Resultater - Vestdanmark'!D385</f>
        <v>Areal-permanent græs</v>
      </c>
      <c r="E385" s="99" t="str">
        <f>'Resultater - Vestdanmark'!E385</f>
        <v>Hektar</v>
      </c>
      <c r="F385" s="99" t="str">
        <f>'Resultater - Vestdanmark'!F385</f>
        <v>Gødning</v>
      </c>
      <c r="G385" s="99" t="str">
        <f>'Resultater - Vestdanmark'!G385</f>
        <v>kg N</v>
      </c>
      <c r="H385" s="298">
        <f>'Resultater - Vestdanmark'!H385+'Resultater - Østdanmark'!H385</f>
        <v>-7517757.7509764899</v>
      </c>
      <c r="I385" s="299">
        <f>'Resultater - Vestdanmark'!I385+'Resultater - Østdanmark'!I385</f>
        <v>-6782844.104704475</v>
      </c>
      <c r="J385" s="300">
        <f>'Resultater - Vestdanmark'!J385+'Resultater - Østdanmark'!J385</f>
        <v>-5134862.3440389941</v>
      </c>
    </row>
    <row r="386" spans="1:10" hidden="1" x14ac:dyDescent="0.25">
      <c r="A386" s="99" t="str">
        <f>'Resultater - Vestdanmark'!A386</f>
        <v>Permanent græs</v>
      </c>
      <c r="B386" s="99" t="str">
        <f>'Resultater - Vestdanmark'!B386</f>
        <v>Konventionel</v>
      </c>
      <c r="C386" s="99" t="str">
        <f>'Resultater - Vestdanmark'!C386</f>
        <v>JB1-10</v>
      </c>
      <c r="D386" s="99" t="str">
        <f>'Resultater - Vestdanmark'!D386</f>
        <v>Areal-permanent græs</v>
      </c>
      <c r="E386" s="99" t="str">
        <f>'Resultater - Vestdanmark'!E386</f>
        <v>Hektar</v>
      </c>
      <c r="F386" s="99" t="str">
        <f>'Resultater - Vestdanmark'!F386</f>
        <v>CO2 - atmosfære</v>
      </c>
      <c r="G386" s="99" t="str">
        <f>'Resultater - Vestdanmark'!G386</f>
        <v>t CO2-ækvivalenter</v>
      </c>
      <c r="H386" s="298">
        <f>'Resultater - Vestdanmark'!H386+'Resultater - Østdanmark'!H386</f>
        <v>295552.28134429298</v>
      </c>
      <c r="I386" s="299">
        <f>'Resultater - Vestdanmark'!I386+'Resultater - Østdanmark'!I386</f>
        <v>266659.96904299094</v>
      </c>
      <c r="J386" s="300">
        <f>'Resultater - Vestdanmark'!J386+'Resultater - Østdanmark'!J386</f>
        <v>201871.39974981279</v>
      </c>
    </row>
    <row r="387" spans="1:10" hidden="1" x14ac:dyDescent="0.25">
      <c r="A387" s="99" t="str">
        <f>'Resultater - Vestdanmark'!A387</f>
        <v>Permanent græs</v>
      </c>
      <c r="B387" s="99" t="str">
        <f>'Resultater - Vestdanmark'!B387</f>
        <v>Konventionel</v>
      </c>
      <c r="C387" s="99" t="str">
        <f>'Resultater - Vestdanmark'!C387</f>
        <v>OC6</v>
      </c>
      <c r="D387" s="99" t="str">
        <f>'Resultater - Vestdanmark'!D387</f>
        <v>Areal-permanent græs</v>
      </c>
      <c r="E387" s="99" t="str">
        <f>'Resultater - Vestdanmark'!E387</f>
        <v>Hektar</v>
      </c>
      <c r="F387" s="99" t="str">
        <f>'Resultater - Vestdanmark'!F387</f>
        <v>Græs</v>
      </c>
      <c r="G387" s="99" t="str">
        <f>'Resultater - Vestdanmark'!G387</f>
        <v>Ton</v>
      </c>
      <c r="H387" s="298">
        <f>'Resultater - Vestdanmark'!H387+'Resultater - Østdanmark'!H387</f>
        <v>362721.58612359717</v>
      </c>
      <c r="I387" s="299">
        <f>'Resultater - Vestdanmark'!I387+'Resultater - Østdanmark'!I387</f>
        <v>0</v>
      </c>
      <c r="J387" s="300">
        <f>'Resultater - Vestdanmark'!J387+'Resultater - Østdanmark'!J387</f>
        <v>0</v>
      </c>
    </row>
    <row r="388" spans="1:10" hidden="1" x14ac:dyDescent="0.25">
      <c r="A388" s="99" t="str">
        <f>'Resultater - Vestdanmark'!A388</f>
        <v>Permanent græs</v>
      </c>
      <c r="B388" s="99" t="str">
        <f>'Resultater - Vestdanmark'!B388</f>
        <v>Konventionel</v>
      </c>
      <c r="C388" s="99" t="str">
        <f>'Resultater - Vestdanmark'!C388</f>
        <v>OC6</v>
      </c>
      <c r="D388" s="99" t="str">
        <f>'Resultater - Vestdanmark'!D388</f>
        <v>Areal-permanent græs</v>
      </c>
      <c r="E388" s="99" t="str">
        <f>'Resultater - Vestdanmark'!E388</f>
        <v>Hektar</v>
      </c>
      <c r="F388" s="99" t="str">
        <f>'Resultater - Vestdanmark'!F388</f>
        <v>Gødning</v>
      </c>
      <c r="G388" s="99" t="str">
        <f>'Resultater - Vestdanmark'!G388</f>
        <v>kg N</v>
      </c>
      <c r="H388" s="298">
        <f>'Resultater - Vestdanmark'!H388+'Resultater - Østdanmark'!H388</f>
        <v>-1095968.0508931505</v>
      </c>
      <c r="I388" s="299">
        <f>'Resultater - Vestdanmark'!I388+'Resultater - Østdanmark'!I388</f>
        <v>0</v>
      </c>
      <c r="J388" s="300">
        <f>'Resultater - Vestdanmark'!J388+'Resultater - Østdanmark'!J388</f>
        <v>0</v>
      </c>
    </row>
    <row r="389" spans="1:10" hidden="1" x14ac:dyDescent="0.25">
      <c r="A389" s="99" t="str">
        <f>'Resultater - Vestdanmark'!A389</f>
        <v>Permanent græs</v>
      </c>
      <c r="B389" s="99" t="str">
        <f>'Resultater - Vestdanmark'!B389</f>
        <v>Konventionel</v>
      </c>
      <c r="C389" s="99" t="str">
        <f>'Resultater - Vestdanmark'!C389</f>
        <v>OC6</v>
      </c>
      <c r="D389" s="99" t="str">
        <f>'Resultater - Vestdanmark'!D389</f>
        <v>Areal-permanent græs</v>
      </c>
      <c r="E389" s="99" t="str">
        <f>'Resultater - Vestdanmark'!E389</f>
        <v>Hektar</v>
      </c>
      <c r="F389" s="99" t="str">
        <f>'Resultater - Vestdanmark'!F389</f>
        <v>CO2 - atmosfære</v>
      </c>
      <c r="G389" s="99" t="str">
        <f>'Resultater - Vestdanmark'!G389</f>
        <v>t CO2-ækvivalenter</v>
      </c>
      <c r="H389" s="298">
        <f>'Resultater - Vestdanmark'!H389+'Resultater - Østdanmark'!H389</f>
        <v>233697.52790303045</v>
      </c>
      <c r="I389" s="299">
        <f>'Resultater - Vestdanmark'!I389+'Resultater - Østdanmark'!I389</f>
        <v>0</v>
      </c>
      <c r="J389" s="300">
        <f>'Resultater - Vestdanmark'!J389+'Resultater - Østdanmark'!J389</f>
        <v>0</v>
      </c>
    </row>
    <row r="390" spans="1:10" hidden="1" x14ac:dyDescent="0.25">
      <c r="A390" s="99" t="str">
        <f>'Resultater - Vestdanmark'!A390</f>
        <v>Permanent græs</v>
      </c>
      <c r="B390" s="99" t="str">
        <f>'Resultater - Vestdanmark'!B390</f>
        <v>Konventionel</v>
      </c>
      <c r="C390" s="99" t="str">
        <f>'Resultater - Vestdanmark'!C390</f>
        <v>OC12</v>
      </c>
      <c r="D390" s="99" t="str">
        <f>'Resultater - Vestdanmark'!D390</f>
        <v>Areal-permanent græs</v>
      </c>
      <c r="E390" s="99" t="str">
        <f>'Resultater - Vestdanmark'!E390</f>
        <v>Hektar</v>
      </c>
      <c r="F390" s="99" t="str">
        <f>'Resultater - Vestdanmark'!F390</f>
        <v>Græs</v>
      </c>
      <c r="G390" s="99" t="str">
        <f>'Resultater - Vestdanmark'!G390</f>
        <v>Ton</v>
      </c>
      <c r="H390" s="298">
        <f>'Resultater - Vestdanmark'!H390+'Resultater - Østdanmark'!H390</f>
        <v>457088.33107391914</v>
      </c>
      <c r="I390" s="299">
        <f>'Resultater - Vestdanmark'!I390+'Resultater - Østdanmark'!I390</f>
        <v>0</v>
      </c>
      <c r="J390" s="300">
        <f>'Resultater - Vestdanmark'!J390+'Resultater - Østdanmark'!J390</f>
        <v>0</v>
      </c>
    </row>
    <row r="391" spans="1:10" hidden="1" x14ac:dyDescent="0.25">
      <c r="A391" s="99" t="str">
        <f>'Resultater - Vestdanmark'!A391</f>
        <v>Permanent græs</v>
      </c>
      <c r="B391" s="99" t="str">
        <f>'Resultater - Vestdanmark'!B391</f>
        <v>Konventionel</v>
      </c>
      <c r="C391" s="99" t="str">
        <f>'Resultater - Vestdanmark'!C391</f>
        <v>OC12</v>
      </c>
      <c r="D391" s="99" t="str">
        <f>'Resultater - Vestdanmark'!D391</f>
        <v>Areal-permanent græs</v>
      </c>
      <c r="E391" s="99" t="str">
        <f>'Resultater - Vestdanmark'!E391</f>
        <v>Hektar</v>
      </c>
      <c r="F391" s="99" t="str">
        <f>'Resultater - Vestdanmark'!F391</f>
        <v>Gødning</v>
      </c>
      <c r="G391" s="99" t="str">
        <f>'Resultater - Vestdanmark'!G391</f>
        <v>kg N</v>
      </c>
      <c r="H391" s="298">
        <f>'Resultater - Vestdanmark'!H391+'Resultater - Østdanmark'!H391</f>
        <v>-1183798.6405105125</v>
      </c>
      <c r="I391" s="299">
        <f>'Resultater - Vestdanmark'!I391+'Resultater - Østdanmark'!I391</f>
        <v>0</v>
      </c>
      <c r="J391" s="300">
        <f>'Resultater - Vestdanmark'!J391+'Resultater - Østdanmark'!J391</f>
        <v>0</v>
      </c>
    </row>
    <row r="392" spans="1:10" hidden="1" x14ac:dyDescent="0.25">
      <c r="A392" s="99" t="str">
        <f>'Resultater - Vestdanmark'!A392</f>
        <v>Permanent græs</v>
      </c>
      <c r="B392" s="99" t="str">
        <f>'Resultater - Vestdanmark'!B392</f>
        <v>Konventionel</v>
      </c>
      <c r="C392" s="99" t="str">
        <f>'Resultater - Vestdanmark'!C392</f>
        <v>OC12</v>
      </c>
      <c r="D392" s="99" t="str">
        <f>'Resultater - Vestdanmark'!D392</f>
        <v>Areal-permanent græs</v>
      </c>
      <c r="E392" s="99" t="str">
        <f>'Resultater - Vestdanmark'!E392</f>
        <v>Hektar</v>
      </c>
      <c r="F392" s="99" t="str">
        <f>'Resultater - Vestdanmark'!F392</f>
        <v>CO2 - atmosfære</v>
      </c>
      <c r="G392" s="99" t="str">
        <f>'Resultater - Vestdanmark'!G392</f>
        <v>t CO2-ækvivalenter</v>
      </c>
      <c r="H392" s="298">
        <f>'Resultater - Vestdanmark'!H392+'Resultater - Østdanmark'!H392</f>
        <v>674805.3408895086</v>
      </c>
      <c r="I392" s="299">
        <f>'Resultater - Vestdanmark'!I392+'Resultater - Østdanmark'!I392</f>
        <v>0</v>
      </c>
      <c r="J392" s="300">
        <f>'Resultater - Vestdanmark'!J392+'Resultater - Østdanmark'!J392</f>
        <v>0</v>
      </c>
    </row>
    <row r="393" spans="1:10" hidden="1" x14ac:dyDescent="0.25">
      <c r="A393" s="99" t="str">
        <f>'Resultater - Vestdanmark'!A393</f>
        <v>Permanent græs</v>
      </c>
      <c r="B393" s="99" t="str">
        <f>'Resultater - Vestdanmark'!B393</f>
        <v>Økologisk</v>
      </c>
      <c r="C393" s="99" t="str">
        <f>'Resultater - Vestdanmark'!C393</f>
        <v>JB1-10</v>
      </c>
      <c r="D393" s="99" t="str">
        <f>'Resultater - Vestdanmark'!D393</f>
        <v>Areal-permanent græs</v>
      </c>
      <c r="E393" s="99" t="str">
        <f>'Resultater - Vestdanmark'!E393</f>
        <v>Hektar</v>
      </c>
      <c r="F393" s="99" t="str">
        <f>'Resultater - Vestdanmark'!F393</f>
        <v>Græs</v>
      </c>
      <c r="G393" s="99" t="str">
        <f>'Resultater - Vestdanmark'!G393</f>
        <v>Ton</v>
      </c>
      <c r="H393" s="298">
        <f>'Resultater - Vestdanmark'!H393+'Resultater - Østdanmark'!H393</f>
        <v>265107.75527814421</v>
      </c>
      <c r="I393" s="299">
        <f>'Resultater - Vestdanmark'!I393+'Resultater - Østdanmark'!I393</f>
        <v>312981.41067987867</v>
      </c>
      <c r="J393" s="300">
        <f>'Resultater - Vestdanmark'!J393+'Resultater - Østdanmark'!J393</f>
        <v>330445.5080467228</v>
      </c>
    </row>
    <row r="394" spans="1:10" hidden="1" x14ac:dyDescent="0.25">
      <c r="A394" s="99" t="str">
        <f>'Resultater - Vestdanmark'!A394</f>
        <v>Permanent græs</v>
      </c>
      <c r="B394" s="99" t="str">
        <f>'Resultater - Vestdanmark'!B394</f>
        <v>Økologisk</v>
      </c>
      <c r="C394" s="99" t="str">
        <f>'Resultater - Vestdanmark'!C394</f>
        <v>JB1-10</v>
      </c>
      <c r="D394" s="99" t="str">
        <f>'Resultater - Vestdanmark'!D394</f>
        <v>Areal-permanent græs</v>
      </c>
      <c r="E394" s="99" t="str">
        <f>'Resultater - Vestdanmark'!E394</f>
        <v>Hektar</v>
      </c>
      <c r="F394" s="99" t="str">
        <f>'Resultater - Vestdanmark'!F394</f>
        <v>Gødning</v>
      </c>
      <c r="G394" s="99" t="str">
        <f>'Resultater - Vestdanmark'!G394</f>
        <v>kg N</v>
      </c>
      <c r="H394" s="298">
        <f>'Resultater - Vestdanmark'!H394+'Resultater - Østdanmark'!H394</f>
        <v>-961231.89005853585</v>
      </c>
      <c r="I394" s="299">
        <f>'Resultater - Vestdanmark'!I394+'Resultater - Østdanmark'!I394</f>
        <v>-1058594.1666301782</v>
      </c>
      <c r="J394" s="300">
        <f>'Resultater - Vestdanmark'!J394+'Resultater - Østdanmark'!J394</f>
        <v>-1089213.2244931199</v>
      </c>
    </row>
    <row r="395" spans="1:10" hidden="1" x14ac:dyDescent="0.25">
      <c r="A395" s="99" t="str">
        <f>'Resultater - Vestdanmark'!A395</f>
        <v>Permanent græs</v>
      </c>
      <c r="B395" s="99" t="str">
        <f>'Resultater - Vestdanmark'!B395</f>
        <v>Økologisk</v>
      </c>
      <c r="C395" s="99" t="str">
        <f>'Resultater - Vestdanmark'!C395</f>
        <v>JB1-10</v>
      </c>
      <c r="D395" s="99" t="str">
        <f>'Resultater - Vestdanmark'!D395</f>
        <v>Areal-permanent græs</v>
      </c>
      <c r="E395" s="99" t="str">
        <f>'Resultater - Vestdanmark'!E395</f>
        <v>Hektar</v>
      </c>
      <c r="F395" s="99" t="str">
        <f>'Resultater - Vestdanmark'!F395</f>
        <v>CO2 - atmosfære</v>
      </c>
      <c r="G395" s="99" t="str">
        <f>'Resultater - Vestdanmark'!G395</f>
        <v>t CO2-ækvivalenter</v>
      </c>
      <c r="H395" s="298">
        <f>'Resultater - Vestdanmark'!H395+'Resultater - Østdanmark'!H395</f>
        <v>37789.762242709345</v>
      </c>
      <c r="I395" s="299">
        <f>'Resultater - Vestdanmark'!I395+'Resultater - Østdanmark'!I395</f>
        <v>41617.451815958135</v>
      </c>
      <c r="J395" s="300">
        <f>'Resultater - Vestdanmark'!J395+'Resultater - Østdanmark'!J395</f>
        <v>42821.20600753605</v>
      </c>
    </row>
    <row r="396" spans="1:10" hidden="1" x14ac:dyDescent="0.25">
      <c r="A396" s="99" t="str">
        <f>'Resultater - Vestdanmark'!A396</f>
        <v>Permanent græs</v>
      </c>
      <c r="B396" s="99" t="str">
        <f>'Resultater - Vestdanmark'!B396</f>
        <v>Økologisk</v>
      </c>
      <c r="C396" s="99" t="str">
        <f>'Resultater - Vestdanmark'!C396</f>
        <v>OC6</v>
      </c>
      <c r="D396" s="99" t="str">
        <f>'Resultater - Vestdanmark'!D396</f>
        <v>Areal-permanent græs</v>
      </c>
      <c r="E396" s="99" t="str">
        <f>'Resultater - Vestdanmark'!E396</f>
        <v>Hektar</v>
      </c>
      <c r="F396" s="99" t="str">
        <f>'Resultater - Vestdanmark'!F396</f>
        <v>Græs</v>
      </c>
      <c r="G396" s="99" t="str">
        <f>'Resultater - Vestdanmark'!G396</f>
        <v>Ton</v>
      </c>
      <c r="H396" s="298">
        <f>'Resultater - Vestdanmark'!H396+'Resultater - Østdanmark'!H396</f>
        <v>46378.13126518044</v>
      </c>
      <c r="I396" s="299">
        <f>'Resultater - Vestdanmark'!I396+'Resultater - Østdanmark'!I396</f>
        <v>0</v>
      </c>
      <c r="J396" s="300">
        <f>'Resultater - Vestdanmark'!J396+'Resultater - Østdanmark'!J396</f>
        <v>0</v>
      </c>
    </row>
    <row r="397" spans="1:10" hidden="1" x14ac:dyDescent="0.25">
      <c r="A397" s="99" t="str">
        <f>'Resultater - Vestdanmark'!A397</f>
        <v>Permanent græs</v>
      </c>
      <c r="B397" s="99" t="str">
        <f>'Resultater - Vestdanmark'!B397</f>
        <v>Økologisk</v>
      </c>
      <c r="C397" s="99" t="str">
        <f>'Resultater - Vestdanmark'!C397</f>
        <v>OC6</v>
      </c>
      <c r="D397" s="99" t="str">
        <f>'Resultater - Vestdanmark'!D397</f>
        <v>Areal-permanent græs</v>
      </c>
      <c r="E397" s="99" t="str">
        <f>'Resultater - Vestdanmark'!E397</f>
        <v>Hektar</v>
      </c>
      <c r="F397" s="99" t="str">
        <f>'Resultater - Vestdanmark'!F397</f>
        <v>Gødning</v>
      </c>
      <c r="G397" s="99" t="str">
        <f>'Resultater - Vestdanmark'!G397</f>
        <v>kg N</v>
      </c>
      <c r="H397" s="298">
        <f>'Resultater - Vestdanmark'!H397+'Resultater - Østdanmark'!H397</f>
        <v>-140132.13459384954</v>
      </c>
      <c r="I397" s="299">
        <f>'Resultater - Vestdanmark'!I397+'Resultater - Østdanmark'!I397</f>
        <v>0</v>
      </c>
      <c r="J397" s="300">
        <f>'Resultater - Vestdanmark'!J397+'Resultater - Østdanmark'!J397</f>
        <v>0</v>
      </c>
    </row>
    <row r="398" spans="1:10" hidden="1" x14ac:dyDescent="0.25">
      <c r="A398" s="99" t="str">
        <f>'Resultater - Vestdanmark'!A398</f>
        <v>Permanent græs</v>
      </c>
      <c r="B398" s="99" t="str">
        <f>'Resultater - Vestdanmark'!B398</f>
        <v>Økologisk</v>
      </c>
      <c r="C398" s="99" t="str">
        <f>'Resultater - Vestdanmark'!C398</f>
        <v>OC6</v>
      </c>
      <c r="D398" s="99" t="str">
        <f>'Resultater - Vestdanmark'!D398</f>
        <v>Areal-permanent græs</v>
      </c>
      <c r="E398" s="99" t="str">
        <f>'Resultater - Vestdanmark'!E398</f>
        <v>Hektar</v>
      </c>
      <c r="F398" s="99" t="str">
        <f>'Resultater - Vestdanmark'!F398</f>
        <v>CO2 - atmosfære</v>
      </c>
      <c r="G398" s="99" t="str">
        <f>'Resultater - Vestdanmark'!G398</f>
        <v>t CO2-ækvivalenter</v>
      </c>
      <c r="H398" s="298">
        <f>'Resultater - Vestdanmark'!H398+'Resultater - Østdanmark'!H398</f>
        <v>29880.919802059198</v>
      </c>
      <c r="I398" s="299">
        <f>'Resultater - Vestdanmark'!I398+'Resultater - Østdanmark'!I398</f>
        <v>0</v>
      </c>
      <c r="J398" s="300">
        <f>'Resultater - Vestdanmark'!J398+'Resultater - Østdanmark'!J398</f>
        <v>0</v>
      </c>
    </row>
    <row r="399" spans="1:10" hidden="1" x14ac:dyDescent="0.25">
      <c r="A399" s="99" t="str">
        <f>'Resultater - Vestdanmark'!A399</f>
        <v>Permanent græs</v>
      </c>
      <c r="B399" s="99" t="str">
        <f>'Resultater - Vestdanmark'!B399</f>
        <v>Økologisk</v>
      </c>
      <c r="C399" s="99" t="str">
        <f>'Resultater - Vestdanmark'!C399</f>
        <v>OC12</v>
      </c>
      <c r="D399" s="99" t="str">
        <f>'Resultater - Vestdanmark'!D399</f>
        <v>Areal-permanent græs</v>
      </c>
      <c r="E399" s="99" t="str">
        <f>'Resultater - Vestdanmark'!E399</f>
        <v>Hektar</v>
      </c>
      <c r="F399" s="99" t="str">
        <f>'Resultater - Vestdanmark'!F399</f>
        <v>Græs</v>
      </c>
      <c r="G399" s="99" t="str">
        <f>'Resultater - Vestdanmark'!G399</f>
        <v>Ton</v>
      </c>
      <c r="H399" s="298">
        <f>'Resultater - Vestdanmark'!H399+'Resultater - Østdanmark'!H399</f>
        <v>58444.006172560563</v>
      </c>
      <c r="I399" s="299">
        <f>'Resultater - Vestdanmark'!I399+'Resultater - Østdanmark'!I399</f>
        <v>0</v>
      </c>
      <c r="J399" s="300">
        <f>'Resultater - Vestdanmark'!J399+'Resultater - Østdanmark'!J399</f>
        <v>0</v>
      </c>
    </row>
    <row r="400" spans="1:10" hidden="1" x14ac:dyDescent="0.25">
      <c r="A400" s="99" t="str">
        <f>'Resultater - Vestdanmark'!A400</f>
        <v>Permanent græs</v>
      </c>
      <c r="B400" s="99" t="str">
        <f>'Resultater - Vestdanmark'!B400</f>
        <v>Økologisk</v>
      </c>
      <c r="C400" s="99" t="str">
        <f>'Resultater - Vestdanmark'!C400</f>
        <v>OC12</v>
      </c>
      <c r="D400" s="99" t="str">
        <f>'Resultater - Vestdanmark'!D400</f>
        <v>Areal-permanent græs</v>
      </c>
      <c r="E400" s="99" t="str">
        <f>'Resultater - Vestdanmark'!E400</f>
        <v>Hektar</v>
      </c>
      <c r="F400" s="99" t="str">
        <f>'Resultater - Vestdanmark'!F400</f>
        <v>Gødning</v>
      </c>
      <c r="G400" s="99" t="str">
        <f>'Resultater - Vestdanmark'!G400</f>
        <v>kg N</v>
      </c>
      <c r="H400" s="298">
        <f>'Resultater - Vestdanmark'!H400+'Resultater - Østdanmark'!H400</f>
        <v>-151362.28678276329</v>
      </c>
      <c r="I400" s="299">
        <f>'Resultater - Vestdanmark'!I400+'Resultater - Østdanmark'!I400</f>
        <v>0</v>
      </c>
      <c r="J400" s="300">
        <f>'Resultater - Vestdanmark'!J400+'Resultater - Østdanmark'!J400</f>
        <v>0</v>
      </c>
    </row>
    <row r="401" spans="1:10" hidden="1" x14ac:dyDescent="0.25">
      <c r="A401" s="99" t="str">
        <f>'Resultater - Vestdanmark'!A401</f>
        <v>Permanent græs</v>
      </c>
      <c r="B401" s="99" t="str">
        <f>'Resultater - Vestdanmark'!B401</f>
        <v>Økologisk</v>
      </c>
      <c r="C401" s="99" t="str">
        <f>'Resultater - Vestdanmark'!C401</f>
        <v>OC12</v>
      </c>
      <c r="D401" s="99" t="str">
        <f>'Resultater - Vestdanmark'!D401</f>
        <v>Areal-permanent græs</v>
      </c>
      <c r="E401" s="99" t="str">
        <f>'Resultater - Vestdanmark'!E401</f>
        <v>Hektar</v>
      </c>
      <c r="F401" s="99" t="str">
        <f>'Resultater - Vestdanmark'!F401</f>
        <v>CO2 - atmosfære</v>
      </c>
      <c r="G401" s="99" t="str">
        <f>'Resultater - Vestdanmark'!G401</f>
        <v>t CO2-ækvivalenter</v>
      </c>
      <c r="H401" s="298">
        <f>'Resultater - Vestdanmark'!H401+'Resultater - Østdanmark'!H401</f>
        <v>86281.632732920101</v>
      </c>
      <c r="I401" s="299">
        <f>'Resultater - Vestdanmark'!I401+'Resultater - Østdanmark'!I401</f>
        <v>0</v>
      </c>
      <c r="J401" s="300">
        <f>'Resultater - Vestdanmark'!J401+'Resultater - Østdanmark'!J401</f>
        <v>0</v>
      </c>
    </row>
    <row r="402" spans="1:10" hidden="1" x14ac:dyDescent="0.25">
      <c r="A402" s="99" t="str">
        <f>'Resultater - Vestdanmark'!A402</f>
        <v>Tømmerproduktion</v>
      </c>
      <c r="B402" s="99" t="str">
        <f>'Resultater - Vestdanmark'!B402</f>
        <v/>
      </c>
      <c r="C402" s="99" t="str">
        <f>'Resultater - Vestdanmark'!C402</f>
        <v/>
      </c>
      <c r="D402" s="99" t="str">
        <f>'Resultater - Vestdanmark'!D402</f>
        <v>Træer</v>
      </c>
      <c r="E402" s="99" t="str">
        <f>'Resultater - Vestdanmark'!E402</f>
        <v>m3</v>
      </c>
      <c r="F402" s="99" t="str">
        <f>'Resultater - Vestdanmark'!F402</f>
        <v>Træmaterialer</v>
      </c>
      <c r="G402" s="99" t="str">
        <f>'Resultater - Vestdanmark'!G402</f>
        <v>m3</v>
      </c>
      <c r="H402" s="298">
        <f>'Resultater - Vestdanmark'!H402+'Resultater - Østdanmark'!H402</f>
        <v>827693.20492220437</v>
      </c>
      <c r="I402" s="299">
        <f>'Resultater - Vestdanmark'!I402+'Resultater - Østdanmark'!I402</f>
        <v>783291.25515859458</v>
      </c>
      <c r="J402" s="300">
        <f>'Resultater - Vestdanmark'!J402+'Resultater - Østdanmark'!J402</f>
        <v>760237.19321567786</v>
      </c>
    </row>
    <row r="403" spans="1:10" hidden="1" x14ac:dyDescent="0.25">
      <c r="A403" s="99" t="str">
        <f>'Resultater - Vestdanmark'!A403</f>
        <v>Tømmerproduktion</v>
      </c>
      <c r="B403" s="99" t="str">
        <f>'Resultater - Vestdanmark'!B403</f>
        <v/>
      </c>
      <c r="C403" s="99" t="str">
        <f>'Resultater - Vestdanmark'!C403</f>
        <v/>
      </c>
      <c r="D403" s="99" t="str">
        <f>'Resultater - Vestdanmark'!D403</f>
        <v>Træer</v>
      </c>
      <c r="E403" s="99" t="str">
        <f>'Resultater - Vestdanmark'!E403</f>
        <v>m3</v>
      </c>
      <c r="F403" s="99" t="str">
        <f>'Resultater - Vestdanmark'!F403</f>
        <v>Træ til energi</v>
      </c>
      <c r="G403" s="99" t="str">
        <f>'Resultater - Vestdanmark'!G403</f>
        <v>m3</v>
      </c>
      <c r="H403" s="298">
        <f>'Resultater - Vestdanmark'!H403+'Resultater - Østdanmark'!H403</f>
        <v>896667.6386657214</v>
      </c>
      <c r="I403" s="299">
        <f>'Resultater - Vestdanmark'!I403+'Resultater - Østdanmark'!I403</f>
        <v>848565.52642181097</v>
      </c>
      <c r="J403" s="300">
        <f>'Resultater - Vestdanmark'!J403+'Resultater - Østdanmark'!J403</f>
        <v>823590.29265031766</v>
      </c>
    </row>
    <row r="404" spans="1:10" hidden="1" x14ac:dyDescent="0.25">
      <c r="A404" s="99" t="str">
        <f>'Resultater - Vestdanmark'!A404</f>
        <v>Mejeri</v>
      </c>
      <c r="B404" s="99" t="str">
        <f>'Resultater - Vestdanmark'!B404</f>
        <v/>
      </c>
      <c r="C404" s="99" t="str">
        <f>'Resultater - Vestdanmark'!C404</f>
        <v/>
      </c>
      <c r="D404" s="99" t="str">
        <f>'Resultater - Vestdanmark'!D404</f>
        <v>Råmælk</v>
      </c>
      <c r="E404" s="99" t="str">
        <f>'Resultater - Vestdanmark'!E404</f>
        <v>Ton</v>
      </c>
      <c r="F404" s="99" t="str">
        <f>'Resultater - Vestdanmark'!F404</f>
        <v>Mejeriprodukter</v>
      </c>
      <c r="G404" s="99" t="str">
        <f>'Resultater - Vestdanmark'!G404</f>
        <v>Ton</v>
      </c>
      <c r="H404" s="298">
        <f>'Resultater - Vestdanmark'!H404+'Resultater - Østdanmark'!H404</f>
        <v>3383628.2</v>
      </c>
      <c r="I404" s="299">
        <f>'Resultater - Vestdanmark'!I404+'Resultater - Østdanmark'!I404</f>
        <v>3349973.4189923876</v>
      </c>
      <c r="J404" s="300">
        <f>'Resultater - Vestdanmark'!J404+'Resultater - Østdanmark'!J404</f>
        <v>3287746.765328066</v>
      </c>
    </row>
    <row r="405" spans="1:10" hidden="1" x14ac:dyDescent="0.25">
      <c r="A405" s="99" t="str">
        <f>'Resultater - Vestdanmark'!A405</f>
        <v>Mejeri</v>
      </c>
      <c r="B405" s="99" t="str">
        <f>'Resultater - Vestdanmark'!B405</f>
        <v/>
      </c>
      <c r="C405" s="99" t="str">
        <f>'Resultater - Vestdanmark'!C405</f>
        <v/>
      </c>
      <c r="D405" s="99" t="str">
        <f>'Resultater - Vestdanmark'!D405</f>
        <v>Råmælk</v>
      </c>
      <c r="E405" s="99" t="str">
        <f>'Resultater - Vestdanmark'!E405</f>
        <v>Ton</v>
      </c>
      <c r="F405" s="99" t="str">
        <f>'Resultater - Vestdanmark'!F405</f>
        <v>Spildevandsslam</v>
      </c>
      <c r="G405" s="99" t="str">
        <f>'Resultater - Vestdanmark'!G405</f>
        <v>Ton</v>
      </c>
      <c r="H405" s="298">
        <f>'Resultater - Vestdanmark'!H405+'Resultater - Østdanmark'!H405</f>
        <v>131725</v>
      </c>
      <c r="I405" s="299">
        <f>'Resultater - Vestdanmark'!I405+'Resultater - Østdanmark'!I405</f>
        <v>130414.81585263187</v>
      </c>
      <c r="J405" s="300">
        <f>'Resultater - Vestdanmark'!J405+'Resultater - Østdanmark'!J405</f>
        <v>127992.32571203879</v>
      </c>
    </row>
    <row r="406" spans="1:10" s="173" customFormat="1" hidden="1" x14ac:dyDescent="0.25">
      <c r="A406" s="99" t="str">
        <f>'Resultater - Vestdanmark'!A406</f>
        <v>Mejeri</v>
      </c>
      <c r="B406" s="99" t="str">
        <f>'Resultater - Vestdanmark'!B406</f>
        <v/>
      </c>
      <c r="C406" s="99" t="str">
        <f>'Resultater - Vestdanmark'!C406</f>
        <v/>
      </c>
      <c r="D406" s="99" t="str">
        <f>'Resultater - Vestdanmark'!D406</f>
        <v>Råmælk</v>
      </c>
      <c r="E406" s="99" t="str">
        <f>'Resultater - Vestdanmark'!E406</f>
        <v>Ton</v>
      </c>
      <c r="F406" s="99" t="str">
        <f>'Resultater - Vestdanmark'!F406</f>
        <v>Industriaffald</v>
      </c>
      <c r="G406" s="99" t="str">
        <f>'Resultater - Vestdanmark'!G406</f>
        <v>Ton</v>
      </c>
      <c r="H406" s="298">
        <f>'Resultater - Vestdanmark'!H406+'Resultater - Østdanmark'!H406</f>
        <v>17308.665000000001</v>
      </c>
      <c r="I406" s="299">
        <f>'Resultater - Vestdanmark'!I406+'Resultater - Østdanmark'!I406</f>
        <v>17136.506803035827</v>
      </c>
      <c r="J406" s="300">
        <f>'Resultater - Vestdanmark'!J406+'Resultater - Østdanmark'!J406</f>
        <v>16818.191598561898</v>
      </c>
    </row>
    <row r="407" spans="1:10" hidden="1" x14ac:dyDescent="0.25">
      <c r="A407" s="99" t="str">
        <f>'Resultater - Vestdanmark'!A407</f>
        <v>Mejeri</v>
      </c>
      <c r="B407" s="99" t="str">
        <f>'Resultater - Vestdanmark'!B407</f>
        <v/>
      </c>
      <c r="C407" s="99" t="str">
        <f>'Resultater - Vestdanmark'!C407</f>
        <v/>
      </c>
      <c r="D407" s="99" t="str">
        <f>'Resultater - Vestdanmark'!D407</f>
        <v>Råmælk</v>
      </c>
      <c r="E407" s="99" t="str">
        <f>'Resultater - Vestdanmark'!E407</f>
        <v>Ton</v>
      </c>
      <c r="F407" s="99" t="str">
        <f>'Resultater - Vestdanmark'!F407</f>
        <v>Mælk til foder</v>
      </c>
      <c r="G407" s="99" t="str">
        <f>'Resultater - Vestdanmark'!G407</f>
        <v>Ton</v>
      </c>
      <c r="H407" s="298">
        <f>'Resultater - Vestdanmark'!H407+'Resultater - Østdanmark'!H407</f>
        <v>1753646.8000000003</v>
      </c>
      <c r="I407" s="299">
        <f>'Resultater - Vestdanmark'!I407+'Resultater - Østdanmark'!I407</f>
        <v>1736204.3992602557</v>
      </c>
      <c r="J407" s="300">
        <f>'Resultater - Vestdanmark'!J407+'Resultater - Østdanmark'!J407</f>
        <v>1703953.9374414468</v>
      </c>
    </row>
    <row r="408" spans="1:10" hidden="1" x14ac:dyDescent="0.25">
      <c r="A408" s="99" t="str">
        <f>'Resultater - Vestdanmark'!A408</f>
        <v>Slagteri</v>
      </c>
      <c r="B408" s="99" t="str">
        <f>'Resultater - Vestdanmark'!B408</f>
        <v/>
      </c>
      <c r="C408" s="99" t="str">
        <f>'Resultater - Vestdanmark'!C408</f>
        <v/>
      </c>
      <c r="D408" s="99" t="str">
        <f>'Resultater - Vestdanmark'!D408</f>
        <v>Slagtesvin</v>
      </c>
      <c r="E408" s="99" t="str">
        <f>'Resultater - Vestdanmark'!E408</f>
        <v>Antal</v>
      </c>
      <c r="F408" s="99" t="str">
        <f>'Resultater - Vestdanmark'!F408</f>
        <v>Svinekød</v>
      </c>
      <c r="G408" s="99" t="str">
        <f>'Resultater - Vestdanmark'!G408</f>
        <v>Ton</v>
      </c>
      <c r="H408" s="298">
        <f>'Resultater - Vestdanmark'!H408+'Resultater - Østdanmark'!H408</f>
        <v>1601127.6966659406</v>
      </c>
      <c r="I408" s="299">
        <f>'Resultater - Vestdanmark'!I408+'Resultater - Østdanmark'!I408</f>
        <v>1577683.1378100975</v>
      </c>
      <c r="J408" s="300">
        <f>'Resultater - Vestdanmark'!J408+'Resultater - Østdanmark'!J408</f>
        <v>1534334.8704746079</v>
      </c>
    </row>
    <row r="409" spans="1:10" hidden="1" x14ac:dyDescent="0.25">
      <c r="A409" s="99" t="str">
        <f>'Resultater - Vestdanmark'!A409</f>
        <v>Slagteri</v>
      </c>
      <c r="B409" s="99" t="str">
        <f>'Resultater - Vestdanmark'!B409</f>
        <v/>
      </c>
      <c r="C409" s="99" t="str">
        <f>'Resultater - Vestdanmark'!C409</f>
        <v/>
      </c>
      <c r="D409" s="99" t="str">
        <f>'Resultater - Vestdanmark'!D409</f>
        <v>Slagtesvin</v>
      </c>
      <c r="E409" s="99" t="str">
        <f>'Resultater - Vestdanmark'!E409</f>
        <v>Antal</v>
      </c>
      <c r="F409" s="99" t="str">
        <f>'Resultater - Vestdanmark'!F409</f>
        <v>Industriaffald</v>
      </c>
      <c r="G409" s="99" t="str">
        <f>'Resultater - Vestdanmark'!G409</f>
        <v>Ton</v>
      </c>
      <c r="H409" s="298">
        <f>'Resultater - Vestdanmark'!H409+'Resultater - Østdanmark'!H409</f>
        <v>22728.326432774025</v>
      </c>
      <c r="I409" s="299">
        <f>'Resultater - Vestdanmark'!I409+'Resultater - Østdanmark'!I409</f>
        <v>30225.931677220276</v>
      </c>
      <c r="J409" s="300">
        <f>'Resultater - Vestdanmark'!J409+'Resultater - Østdanmark'!J409</f>
        <v>29395.446939564357</v>
      </c>
    </row>
    <row r="410" spans="1:10" hidden="1" x14ac:dyDescent="0.25">
      <c r="A410" s="99" t="str">
        <f>'Resultater - Vestdanmark'!A410</f>
        <v>Slagteri</v>
      </c>
      <c r="B410" s="99" t="str">
        <f>'Resultater - Vestdanmark'!B410</f>
        <v/>
      </c>
      <c r="C410" s="99" t="str">
        <f>'Resultater - Vestdanmark'!C410</f>
        <v/>
      </c>
      <c r="D410" s="99" t="str">
        <f>'Resultater - Vestdanmark'!D410</f>
        <v>Slagtesvin</v>
      </c>
      <c r="E410" s="99" t="str">
        <f>'Resultater - Vestdanmark'!E410</f>
        <v>Antal</v>
      </c>
      <c r="F410" s="99" t="str">
        <f>'Resultater - Vestdanmark'!F410</f>
        <v>Slagteriaffald til foder</v>
      </c>
      <c r="G410" s="99" t="str">
        <f>'Resultater - Vestdanmark'!G410</f>
        <v>Ton</v>
      </c>
      <c r="H410" s="298">
        <f>'Resultater - Vestdanmark'!H410+'Resultater - Østdanmark'!H410</f>
        <v>142794.72651993899</v>
      </c>
      <c r="I410" s="299">
        <f>'Resultater - Vestdanmark'!I410+'Resultater - Østdanmark'!I410</f>
        <v>140703.85058470169</v>
      </c>
      <c r="J410" s="300">
        <f>'Resultater - Vestdanmark'!J410+'Resultater - Østdanmark'!J410</f>
        <v>136837.88537020085</v>
      </c>
    </row>
    <row r="411" spans="1:10" hidden="1" x14ac:dyDescent="0.25">
      <c r="A411" s="99" t="str">
        <f>'Resultater - Vestdanmark'!A411</f>
        <v>Slagteri</v>
      </c>
      <c r="B411" s="99" t="str">
        <f>'Resultater - Vestdanmark'!B411</f>
        <v/>
      </c>
      <c r="C411" s="99" t="str">
        <f>'Resultater - Vestdanmark'!C411</f>
        <v/>
      </c>
      <c r="D411" s="99" t="str">
        <f>'Resultater - Vestdanmark'!D411</f>
        <v>Slagtesvin</v>
      </c>
      <c r="E411" s="99" t="str">
        <f>'Resultater - Vestdanmark'!E411</f>
        <v>Antal</v>
      </c>
      <c r="F411" s="99" t="str">
        <f>'Resultater - Vestdanmark'!F411</f>
        <v>Slagteriaffald til andet</v>
      </c>
      <c r="G411" s="99" t="str">
        <f>'Resultater - Vestdanmark'!G411</f>
        <v>Ton</v>
      </c>
      <c r="H411" s="298">
        <f>'Resultater - Vestdanmark'!H411+'Resultater - Østdanmark'!H411</f>
        <v>140895.61996077577</v>
      </c>
      <c r="I411" s="299">
        <f>'Resultater - Vestdanmark'!I411+'Resultater - Østdanmark'!I411</f>
        <v>138832.55174855303</v>
      </c>
      <c r="J411" s="300">
        <f>'Resultater - Vestdanmark'!J411+'Resultater - Østdanmark'!J411</f>
        <v>135018.00215755089</v>
      </c>
    </row>
    <row r="412" spans="1:10" hidden="1" x14ac:dyDescent="0.25">
      <c r="A412" s="99" t="str">
        <f>'Resultater - Vestdanmark'!A412</f>
        <v>Slagteri</v>
      </c>
      <c r="B412" s="99" t="str">
        <f>'Resultater - Vestdanmark'!B412</f>
        <v/>
      </c>
      <c r="C412" s="99" t="str">
        <f>'Resultater - Vestdanmark'!C412</f>
        <v/>
      </c>
      <c r="D412" s="99" t="str">
        <f>'Resultater - Vestdanmark'!D412</f>
        <v>Slagtekøer</v>
      </c>
      <c r="E412" s="99" t="str">
        <f>'Resultater - Vestdanmark'!E412</f>
        <v>Antal</v>
      </c>
      <c r="F412" s="99" t="str">
        <f>'Resultater - Vestdanmark'!F412</f>
        <v>Oksekød</v>
      </c>
      <c r="G412" s="99" t="str">
        <f>'Resultater - Vestdanmark'!G412</f>
        <v>Ton</v>
      </c>
      <c r="H412" s="298">
        <f>'Resultater - Vestdanmark'!H412+'Resultater - Østdanmark'!H412</f>
        <v>115671.91919191919</v>
      </c>
      <c r="I412" s="299">
        <f>'Resultater - Vestdanmark'!I412+'Resultater - Østdanmark'!I412</f>
        <v>113713.9338619913</v>
      </c>
      <c r="J412" s="300">
        <f>'Resultater - Vestdanmark'!J412+'Resultater - Østdanmark'!J412</f>
        <v>110093.6792842632</v>
      </c>
    </row>
    <row r="413" spans="1:10" hidden="1" x14ac:dyDescent="0.25">
      <c r="A413" s="99" t="str">
        <f>'Resultater - Vestdanmark'!A413</f>
        <v>Slagteri</v>
      </c>
      <c r="B413" s="99" t="str">
        <f>'Resultater - Vestdanmark'!B413</f>
        <v/>
      </c>
      <c r="C413" s="99" t="str">
        <f>'Resultater - Vestdanmark'!C413</f>
        <v/>
      </c>
      <c r="D413" s="99" t="str">
        <f>'Resultater - Vestdanmark'!D413</f>
        <v>Slagtekøer</v>
      </c>
      <c r="E413" s="99" t="str">
        <f>'Resultater - Vestdanmark'!E413</f>
        <v>Antal</v>
      </c>
      <c r="F413" s="99" t="str">
        <f>'Resultater - Vestdanmark'!F413</f>
        <v>Industriaffald</v>
      </c>
      <c r="G413" s="99" t="str">
        <f>'Resultater - Vestdanmark'!G413</f>
        <v>Ton</v>
      </c>
      <c r="H413" s="298">
        <f>'Resultater - Vestdanmark'!H413+'Resultater - Østdanmark'!H413</f>
        <v>50006.545454545456</v>
      </c>
      <c r="I413" s="299">
        <f>'Resultater - Vestdanmark'!I413+'Resultater - Østdanmark'!I413</f>
        <v>55152.179429823183</v>
      </c>
      <c r="J413" s="300">
        <f>'Resultater - Vestdanmark'!J413+'Resultater - Østdanmark'!J413</f>
        <v>53396.326622067689</v>
      </c>
    </row>
    <row r="414" spans="1:10" hidden="1" x14ac:dyDescent="0.25">
      <c r="A414" s="99" t="str">
        <f>'Resultater - Vestdanmark'!A414</f>
        <v>Slagteri</v>
      </c>
      <c r="B414" s="99" t="str">
        <f>'Resultater - Vestdanmark'!B414</f>
        <v/>
      </c>
      <c r="C414" s="99" t="str">
        <f>'Resultater - Vestdanmark'!C414</f>
        <v/>
      </c>
      <c r="D414" s="99" t="str">
        <f>'Resultater - Vestdanmark'!D414</f>
        <v>Slagtekøer</v>
      </c>
      <c r="E414" s="99" t="str">
        <f>'Resultater - Vestdanmark'!E414</f>
        <v>Antal</v>
      </c>
      <c r="F414" s="99" t="str">
        <f>'Resultater - Vestdanmark'!F414</f>
        <v>Slagteriaffald til foder</v>
      </c>
      <c r="G414" s="99" t="str">
        <f>'Resultater - Vestdanmark'!G414</f>
        <v>Ton</v>
      </c>
      <c r="H414" s="298">
        <f>'Resultater - Vestdanmark'!H414+'Resultater - Østdanmark'!H414</f>
        <v>7405.2525252525256</v>
      </c>
      <c r="I414" s="299">
        <f>'Resultater - Vestdanmark'!I414+'Resultater - Østdanmark'!I414</f>
        <v>7279.9033833851809</v>
      </c>
      <c r="J414" s="300">
        <f>'Resultater - Vestdanmark'!J414+'Resultater - Østdanmark'!J414</f>
        <v>7048.136680272929</v>
      </c>
    </row>
    <row r="415" spans="1:10" hidden="1" x14ac:dyDescent="0.25">
      <c r="A415" s="99" t="str">
        <f>'Resultater - Vestdanmark'!A415</f>
        <v>Slagteri</v>
      </c>
      <c r="B415" s="99" t="str">
        <f>'Resultater - Vestdanmark'!B415</f>
        <v/>
      </c>
      <c r="C415" s="99" t="str">
        <f>'Resultater - Vestdanmark'!C415</f>
        <v/>
      </c>
      <c r="D415" s="99" t="str">
        <f>'Resultater - Vestdanmark'!D415</f>
        <v>Slagtekøer</v>
      </c>
      <c r="E415" s="99" t="str">
        <f>'Resultater - Vestdanmark'!E415</f>
        <v>Antal</v>
      </c>
      <c r="F415" s="99" t="str">
        <f>'Resultater - Vestdanmark'!F415</f>
        <v>Slagteriaffald til andet</v>
      </c>
      <c r="G415" s="99" t="str">
        <f>'Resultater - Vestdanmark'!G415</f>
        <v>Ton</v>
      </c>
      <c r="H415" s="298">
        <f>'Resultater - Vestdanmark'!H415+'Resultater - Østdanmark'!H415</f>
        <v>76114.747474747448</v>
      </c>
      <c r="I415" s="299">
        <f>'Resultater - Vestdanmark'!I415+'Resultater - Østdanmark'!I415</f>
        <v>74826.348700110961</v>
      </c>
      <c r="J415" s="300">
        <f>'Resultater - Vestdanmark'!J415+'Resultater - Østdanmark'!J415</f>
        <v>72444.139042805269</v>
      </c>
    </row>
    <row r="416" spans="1:10" hidden="1" x14ac:dyDescent="0.25">
      <c r="A416" s="99" t="str">
        <f>'Resultater - Vestdanmark'!A416</f>
        <v>Slagteri</v>
      </c>
      <c r="B416" s="99" t="str">
        <f>'Resultater - Vestdanmark'!B416</f>
        <v/>
      </c>
      <c r="C416" s="99" t="str">
        <f>'Resultater - Vestdanmark'!C416</f>
        <v/>
      </c>
      <c r="D416" s="99" t="str">
        <f>'Resultater - Vestdanmark'!D416</f>
        <v>Slagtefjerkræ</v>
      </c>
      <c r="E416" s="99" t="str">
        <f>'Resultater - Vestdanmark'!E416</f>
        <v>Antal</v>
      </c>
      <c r="F416" s="99" t="str">
        <f>'Resultater - Vestdanmark'!F416</f>
        <v>Fjerkrækød</v>
      </c>
      <c r="G416" s="99" t="str">
        <f>'Resultater - Vestdanmark'!G416</f>
        <v>Ton</v>
      </c>
      <c r="H416" s="298">
        <f>'Resultater - Vestdanmark'!H416+'Resultater - Østdanmark'!H416</f>
        <v>201545.30567673693</v>
      </c>
      <c r="I416" s="299">
        <f>'Resultater - Vestdanmark'!I416+'Resultater - Østdanmark'!I416</f>
        <v>196872.93522310784</v>
      </c>
      <c r="J416" s="300">
        <f>'Resultater - Vestdanmark'!J416+'Resultater - Østdanmark'!J416</f>
        <v>188233.86614274088</v>
      </c>
    </row>
    <row r="417" spans="1:10" ht="15.75" hidden="1" thickBot="1" x14ac:dyDescent="0.3">
      <c r="A417" s="99" t="str">
        <f>'Resultater - Vestdanmark'!A417</f>
        <v>Slagteri</v>
      </c>
      <c r="B417" s="99" t="str">
        <f>'Resultater - Vestdanmark'!B417</f>
        <v/>
      </c>
      <c r="C417" s="99" t="str">
        <f>'Resultater - Vestdanmark'!C417</f>
        <v/>
      </c>
      <c r="D417" s="99" t="str">
        <f>'Resultater - Vestdanmark'!D417</f>
        <v>Slagtefjerkræ</v>
      </c>
      <c r="E417" s="99" t="str">
        <f>'Resultater - Vestdanmark'!E417</f>
        <v>Antal</v>
      </c>
      <c r="F417" s="99" t="str">
        <f>'Resultater - Vestdanmark'!F417</f>
        <v>Industriaffald</v>
      </c>
      <c r="G417" s="99" t="str">
        <f>'Resultater - Vestdanmark'!G417</f>
        <v>Ton</v>
      </c>
      <c r="H417" s="301">
        <f>'Resultater - Vestdanmark'!H417+'Resultater - Østdanmark'!H417</f>
        <v>550.81037157810442</v>
      </c>
      <c r="I417" s="302">
        <f>'Resultater - Vestdanmark'!I417+'Resultater - Østdanmark'!I417</f>
        <v>726.16257554479</v>
      </c>
      <c r="J417" s="303">
        <f>'Resultater - Vestdanmark'!J417+'Resultater - Østdanmark'!J417</f>
        <v>694.29751168215546</v>
      </c>
    </row>
    <row r="418" spans="1:10" hidden="1" x14ac:dyDescent="0.25">
      <c r="A418" s="99" t="str">
        <f>'Resultater - Vestdanmark'!A418</f>
        <v>Foderproduktion</v>
      </c>
      <c r="B418" s="99" t="str">
        <f>'Resultater - Vestdanmark'!B418</f>
        <v/>
      </c>
      <c r="C418" s="99" t="str">
        <f>'Resultater - Vestdanmark'!C418</f>
        <v/>
      </c>
      <c r="D418" s="99" t="str">
        <f>'Resultater - Vestdanmark'!D418</f>
        <v>Korn</v>
      </c>
      <c r="E418" s="99" t="str">
        <f>'Resultater - Vestdanmark'!E418</f>
        <v>Ton</v>
      </c>
      <c r="F418" s="99" t="str">
        <f>'Resultater - Vestdanmark'!F418</f>
        <v>Foder</v>
      </c>
      <c r="G418" s="99" t="str">
        <f>'Resultater - Vestdanmark'!G418</f>
        <v>FE</v>
      </c>
      <c r="H418" s="295">
        <f>'Resultater - Vestdanmark'!H418+'Resultater - Østdanmark'!H418</f>
        <v>5940049093.1121235</v>
      </c>
      <c r="I418" s="296">
        <f>'Resultater - Vestdanmark'!I418+'Resultater - Østdanmark'!I418</f>
        <v>6148783584.9316797</v>
      </c>
      <c r="J418" s="297">
        <f>'Resultater - Vestdanmark'!J418+'Resultater - Østdanmark'!J418</f>
        <v>6148783584.9316797</v>
      </c>
    </row>
    <row r="419" spans="1:10" hidden="1" x14ac:dyDescent="0.25">
      <c r="A419" s="99" t="str">
        <f>'Resultater - Vestdanmark'!A419</f>
        <v>Foderproduktion</v>
      </c>
      <c r="B419" s="99" t="str">
        <f>'Resultater - Vestdanmark'!B419</f>
        <v/>
      </c>
      <c r="C419" s="99" t="str">
        <f>'Resultater - Vestdanmark'!C419</f>
        <v/>
      </c>
      <c r="D419" s="99" t="str">
        <f>'Resultater - Vestdanmark'!D419</f>
        <v>Halm</v>
      </c>
      <c r="E419" s="99" t="str">
        <f>'Resultater - Vestdanmark'!E419</f>
        <v>Ton</v>
      </c>
      <c r="F419" s="99" t="str">
        <f>'Resultater - Vestdanmark'!F419</f>
        <v>Foder</v>
      </c>
      <c r="G419" s="99" t="str">
        <f>'Resultater - Vestdanmark'!G419</f>
        <v>FE</v>
      </c>
      <c r="H419" s="298">
        <f>'Resultater - Vestdanmark'!H419+'Resultater - Østdanmark'!H419</f>
        <v>164945487.85478973</v>
      </c>
      <c r="I419" s="299">
        <f>'Resultater - Vestdanmark'!I419+'Resultater - Østdanmark'!I419</f>
        <v>164945487.85478973</v>
      </c>
      <c r="J419" s="300">
        <f>'Resultater - Vestdanmark'!J419+'Resultater - Østdanmark'!J419</f>
        <v>164945487.85478973</v>
      </c>
    </row>
    <row r="420" spans="1:10" hidden="1" x14ac:dyDescent="0.25">
      <c r="A420" s="99" t="str">
        <f>'Resultater - Vestdanmark'!A420</f>
        <v>Foderproduktion</v>
      </c>
      <c r="B420" s="99" t="str">
        <f>'Resultater - Vestdanmark'!B420</f>
        <v/>
      </c>
      <c r="C420" s="99" t="str">
        <f>'Resultater - Vestdanmark'!C420</f>
        <v/>
      </c>
      <c r="D420" s="99" t="str">
        <f>'Resultater - Vestdanmark'!D420</f>
        <v>Kartofler</v>
      </c>
      <c r="E420" s="99" t="str">
        <f>'Resultater - Vestdanmark'!E420</f>
        <v>Ton</v>
      </c>
      <c r="F420" s="99" t="str">
        <f>'Resultater - Vestdanmark'!F420</f>
        <v>Foder</v>
      </c>
      <c r="G420" s="99" t="str">
        <f>'Resultater - Vestdanmark'!G420</f>
        <v>FE</v>
      </c>
      <c r="H420" s="298">
        <f>'Resultater - Vestdanmark'!H420+'Resultater - Østdanmark'!H420</f>
        <v>0</v>
      </c>
      <c r="I420" s="299">
        <f>'Resultater - Vestdanmark'!I420+'Resultater - Østdanmark'!I420</f>
        <v>0</v>
      </c>
      <c r="J420" s="300">
        <f>'Resultater - Vestdanmark'!J420+'Resultater - Østdanmark'!J420</f>
        <v>0</v>
      </c>
    </row>
    <row r="421" spans="1:10" hidden="1" x14ac:dyDescent="0.25">
      <c r="A421" s="99" t="str">
        <f>'Resultater - Vestdanmark'!A421</f>
        <v>Foderproduktion</v>
      </c>
      <c r="B421" s="99" t="str">
        <f>'Resultater - Vestdanmark'!B421</f>
        <v/>
      </c>
      <c r="C421" s="99" t="str">
        <f>'Resultater - Vestdanmark'!C421</f>
        <v/>
      </c>
      <c r="D421" s="99" t="str">
        <f>'Resultater - Vestdanmark'!D421</f>
        <v>Bælgsæd</v>
      </c>
      <c r="E421" s="99" t="str">
        <f>'Resultater - Vestdanmark'!E421</f>
        <v>Ton</v>
      </c>
      <c r="F421" s="99" t="str">
        <f>'Resultater - Vestdanmark'!F421</f>
        <v>Foder</v>
      </c>
      <c r="G421" s="99" t="str">
        <f>'Resultater - Vestdanmark'!G421</f>
        <v>FE</v>
      </c>
      <c r="H421" s="298">
        <f>'Resultater - Vestdanmark'!H421+'Resultater - Østdanmark'!H421</f>
        <v>78449683.248009756</v>
      </c>
      <c r="I421" s="299">
        <f>'Resultater - Vestdanmark'!I421+'Resultater - Østdanmark'!I421</f>
        <v>78449683.248009741</v>
      </c>
      <c r="J421" s="300">
        <f>'Resultater - Vestdanmark'!J421+'Resultater - Østdanmark'!J421</f>
        <v>78449683.248009741</v>
      </c>
    </row>
    <row r="422" spans="1:10" hidden="1" x14ac:dyDescent="0.25">
      <c r="A422" s="99" t="str">
        <f>'Resultater - Vestdanmark'!A422</f>
        <v>Foderproduktion</v>
      </c>
      <c r="B422" s="99" t="str">
        <f>'Resultater - Vestdanmark'!B422</f>
        <v/>
      </c>
      <c r="C422" s="99" t="str">
        <f>'Resultater - Vestdanmark'!C422</f>
        <v/>
      </c>
      <c r="D422" s="99" t="str">
        <f>'Resultater - Vestdanmark'!D422</f>
        <v>Roer</v>
      </c>
      <c r="E422" s="99" t="str">
        <f>'Resultater - Vestdanmark'!E422</f>
        <v>Ton</v>
      </c>
      <c r="F422" s="99" t="str">
        <f>'Resultater - Vestdanmark'!F422</f>
        <v>Foder</v>
      </c>
      <c r="G422" s="99" t="str">
        <f>'Resultater - Vestdanmark'!G422</f>
        <v>FE</v>
      </c>
      <c r="H422" s="298">
        <f>'Resultater - Vestdanmark'!H422+'Resultater - Østdanmark'!H422</f>
        <v>143824419.28801787</v>
      </c>
      <c r="I422" s="299">
        <f>'Resultater - Vestdanmark'!I422+'Resultater - Østdanmark'!I422</f>
        <v>148521342.63119999</v>
      </c>
      <c r="J422" s="300">
        <f>'Resultater - Vestdanmark'!J422+'Resultater - Østdanmark'!J422</f>
        <v>148521342.63119999</v>
      </c>
    </row>
    <row r="423" spans="1:10" hidden="1" x14ac:dyDescent="0.25">
      <c r="A423" s="99" t="str">
        <f>'Resultater - Vestdanmark'!A423</f>
        <v>Foderproduktion</v>
      </c>
      <c r="B423" s="99" t="str">
        <f>'Resultater - Vestdanmark'!B423</f>
        <v/>
      </c>
      <c r="C423" s="99" t="str">
        <f>'Resultater - Vestdanmark'!C423</f>
        <v/>
      </c>
      <c r="D423" s="99" t="str">
        <f>'Resultater - Vestdanmark'!D423</f>
        <v>Majs</v>
      </c>
      <c r="E423" s="99" t="str">
        <f>'Resultater - Vestdanmark'!E423</f>
        <v>Ton</v>
      </c>
      <c r="F423" s="99" t="str">
        <f>'Resultater - Vestdanmark'!F423</f>
        <v>Foder</v>
      </c>
      <c r="G423" s="99" t="str">
        <f>'Resultater - Vestdanmark'!G423</f>
        <v>FE</v>
      </c>
      <c r="H423" s="298">
        <f>'Resultater - Vestdanmark'!H423+'Resultater - Østdanmark'!H423</f>
        <v>1682645129.1528244</v>
      </c>
      <c r="I423" s="299">
        <f>'Resultater - Vestdanmark'!I423+'Resultater - Østdanmark'!I423</f>
        <v>1683405889.9272959</v>
      </c>
      <c r="J423" s="300">
        <f>'Resultater - Vestdanmark'!J423+'Resultater - Østdanmark'!J423</f>
        <v>1683405889.9272959</v>
      </c>
    </row>
    <row r="424" spans="1:10" hidden="1" x14ac:dyDescent="0.25">
      <c r="A424" s="99" t="str">
        <f>'Resultater - Vestdanmark'!A424</f>
        <v>Foderproduktion</v>
      </c>
      <c r="B424" s="99" t="str">
        <f>'Resultater - Vestdanmark'!B424</f>
        <v/>
      </c>
      <c r="C424" s="99" t="str">
        <f>'Resultater - Vestdanmark'!C424</f>
        <v/>
      </c>
      <c r="D424" s="99" t="str">
        <f>'Resultater - Vestdanmark'!D424</f>
        <v>Rapskage</v>
      </c>
      <c r="E424" s="99" t="str">
        <f>'Resultater - Vestdanmark'!E424</f>
        <v>Ton</v>
      </c>
      <c r="F424" s="99" t="str">
        <f>'Resultater - Vestdanmark'!F424</f>
        <v>Foder</v>
      </c>
      <c r="G424" s="99" t="str">
        <f>'Resultater - Vestdanmark'!G424</f>
        <v>FE</v>
      </c>
      <c r="H424" s="298">
        <f>'Resultater - Vestdanmark'!H424+'Resultater - Østdanmark'!H424</f>
        <v>242389405.93295321</v>
      </c>
      <c r="I424" s="299">
        <f>'Resultater - Vestdanmark'!I424+'Resultater - Østdanmark'!I424</f>
        <v>242389405.93295318</v>
      </c>
      <c r="J424" s="300">
        <f>'Resultater - Vestdanmark'!J424+'Resultater - Østdanmark'!J424</f>
        <v>242389405.93295318</v>
      </c>
    </row>
    <row r="425" spans="1:10" hidden="1" x14ac:dyDescent="0.25">
      <c r="A425" s="99" t="str">
        <f>'Resultater - Vestdanmark'!A425</f>
        <v>Foderproduktion</v>
      </c>
      <c r="B425" s="99" t="str">
        <f>'Resultater - Vestdanmark'!B425</f>
        <v/>
      </c>
      <c r="C425" s="99" t="str">
        <f>'Resultater - Vestdanmark'!C425</f>
        <v/>
      </c>
      <c r="D425" s="99" t="str">
        <f>'Resultater - Vestdanmark'!D425</f>
        <v>Tang</v>
      </c>
      <c r="E425" s="99" t="str">
        <f>'Resultater - Vestdanmark'!E425</f>
        <v>Ton</v>
      </c>
      <c r="F425" s="99" t="str">
        <f>'Resultater - Vestdanmark'!F425</f>
        <v>Foder</v>
      </c>
      <c r="G425" s="99" t="str">
        <f>'Resultater - Vestdanmark'!G425</f>
        <v>FE</v>
      </c>
      <c r="H425" s="298">
        <f>'Resultater - Vestdanmark'!H425+'Resultater - Østdanmark'!H425</f>
        <v>0</v>
      </c>
      <c r="I425" s="299">
        <f>'Resultater - Vestdanmark'!I425+'Resultater - Østdanmark'!I425</f>
        <v>14852134.263119999</v>
      </c>
      <c r="J425" s="300">
        <f>'Resultater - Vestdanmark'!J425+'Resultater - Østdanmark'!J425</f>
        <v>14852134.263119999</v>
      </c>
    </row>
    <row r="426" spans="1:10" hidden="1" x14ac:dyDescent="0.25">
      <c r="A426" s="99" t="str">
        <f>'Resultater - Vestdanmark'!A426</f>
        <v>Foderproduktion</v>
      </c>
      <c r="B426" s="99" t="str">
        <f>'Resultater - Vestdanmark'!B426</f>
        <v/>
      </c>
      <c r="C426" s="99" t="str">
        <f>'Resultater - Vestdanmark'!C426</f>
        <v/>
      </c>
      <c r="D426" s="99" t="str">
        <f>'Resultater - Vestdanmark'!D426</f>
        <v>Muslinger</v>
      </c>
      <c r="E426" s="99" t="str">
        <f>'Resultater - Vestdanmark'!E426</f>
        <v>Ton</v>
      </c>
      <c r="F426" s="99" t="str">
        <f>'Resultater - Vestdanmark'!F426</f>
        <v>Foder</v>
      </c>
      <c r="G426" s="99" t="str">
        <f>'Resultater - Vestdanmark'!G426</f>
        <v>FE</v>
      </c>
      <c r="H426" s="298">
        <f>'Resultater - Vestdanmark'!H426+'Resultater - Østdanmark'!H426</f>
        <v>0</v>
      </c>
      <c r="I426" s="299">
        <f>'Resultater - Vestdanmark'!I426+'Resultater - Østdanmark'!I426</f>
        <v>74260671.315599993</v>
      </c>
      <c r="J426" s="300">
        <f>'Resultater - Vestdanmark'!J426+'Resultater - Østdanmark'!J426</f>
        <v>74260671.315599993</v>
      </c>
    </row>
    <row r="427" spans="1:10" hidden="1" x14ac:dyDescent="0.25">
      <c r="A427" s="99" t="str">
        <f>'Resultater - Vestdanmark'!A427</f>
        <v>Foderproduktion</v>
      </c>
      <c r="B427" s="99" t="str">
        <f>'Resultater - Vestdanmark'!B427</f>
        <v/>
      </c>
      <c r="C427" s="99" t="str">
        <f>'Resultater - Vestdanmark'!C427</f>
        <v/>
      </c>
      <c r="D427" s="99" t="str">
        <f>'Resultater - Vestdanmark'!D427</f>
        <v>Græs</v>
      </c>
      <c r="E427" s="99" t="str">
        <f>'Resultater - Vestdanmark'!E427</f>
        <v>Ton</v>
      </c>
      <c r="F427" s="99" t="str">
        <f>'Resultater - Vestdanmark'!F427</f>
        <v>Foder</v>
      </c>
      <c r="G427" s="99" t="str">
        <f>'Resultater - Vestdanmark'!G427</f>
        <v>FE</v>
      </c>
      <c r="H427" s="298">
        <f>'Resultater - Vestdanmark'!H427+'Resultater - Østdanmark'!H427</f>
        <v>2285098465.8907456</v>
      </c>
      <c r="I427" s="299">
        <f>'Resultater - Vestdanmark'!I427+'Resultater - Østdanmark'!I427</f>
        <v>1975333856.9949603</v>
      </c>
      <c r="J427" s="300">
        <f>'Resultater - Vestdanmark'!J427+'Resultater - Østdanmark'!J427</f>
        <v>1975333856.9949603</v>
      </c>
    </row>
    <row r="428" spans="1:10" hidden="1" x14ac:dyDescent="0.25">
      <c r="A428" s="99" t="str">
        <f>'Resultater - Vestdanmark'!A428</f>
        <v>Foderproduktion</v>
      </c>
      <c r="B428" s="99" t="str">
        <f>'Resultater - Vestdanmark'!B428</f>
        <v/>
      </c>
      <c r="C428" s="99" t="str">
        <f>'Resultater - Vestdanmark'!C428</f>
        <v/>
      </c>
      <c r="D428" s="99" t="str">
        <f>'Resultater - Vestdanmark'!D428</f>
        <v>Mælk til foder</v>
      </c>
      <c r="E428" s="99" t="str">
        <f>'Resultater - Vestdanmark'!E428</f>
        <v>Ton</v>
      </c>
      <c r="F428" s="99" t="str">
        <f>'Resultater - Vestdanmark'!F428</f>
        <v>Foder</v>
      </c>
      <c r="G428" s="99" t="str">
        <f>'Resultater - Vestdanmark'!G428</f>
        <v>FE</v>
      </c>
      <c r="H428" s="298">
        <f>'Resultater - Vestdanmark'!H428+'Resultater - Østdanmark'!H428</f>
        <v>163939722.68494347</v>
      </c>
      <c r="I428" s="299">
        <f>'Resultater - Vestdanmark'!I428+'Resultater - Østdanmark'!I428</f>
        <v>163939722.68494344</v>
      </c>
      <c r="J428" s="300">
        <f>'Resultater - Vestdanmark'!J428+'Resultater - Østdanmark'!J428</f>
        <v>163939722.68494344</v>
      </c>
    </row>
    <row r="429" spans="1:10" hidden="1" x14ac:dyDescent="0.25">
      <c r="A429" s="99" t="str">
        <f>'Resultater - Vestdanmark'!A429</f>
        <v>Foderproduktion</v>
      </c>
      <c r="B429" s="99" t="str">
        <f>'Resultater - Vestdanmark'!B429</f>
        <v/>
      </c>
      <c r="C429" s="99" t="str">
        <f>'Resultater - Vestdanmark'!C429</f>
        <v/>
      </c>
      <c r="D429" s="99" t="str">
        <f>'Resultater - Vestdanmark'!D429</f>
        <v>Fiberfraktion</v>
      </c>
      <c r="E429" s="99" t="str">
        <f>'Resultater - Vestdanmark'!E429</f>
        <v>Ton</v>
      </c>
      <c r="F429" s="99" t="str">
        <f>'Resultater - Vestdanmark'!F429</f>
        <v>Foder</v>
      </c>
      <c r="G429" s="99" t="str">
        <f>'Resultater - Vestdanmark'!G429</f>
        <v>FE</v>
      </c>
      <c r="H429" s="298">
        <f>'Resultater - Vestdanmark'!H429+'Resultater - Østdanmark'!H429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'Resultater - Vestdanmark'!J429+'Resultater - Østdanmark'!J429</f>
        <v>1806806.8393703508</v>
      </c>
    </row>
    <row r="430" spans="1:10" hidden="1" x14ac:dyDescent="0.25">
      <c r="A430" s="99" t="str">
        <f>'Resultater - Vestdanmark'!A430</f>
        <v>Foderproduktion</v>
      </c>
      <c r="B430" s="99" t="str">
        <f>'Resultater - Vestdanmark'!B430</f>
        <v/>
      </c>
      <c r="C430" s="99" t="str">
        <f>'Resultater - Vestdanmark'!C430</f>
        <v/>
      </c>
      <c r="D430" s="99" t="str">
        <f>'Resultater - Vestdanmark'!D430</f>
        <v>Græsprotein</v>
      </c>
      <c r="E430" s="99" t="str">
        <f>'Resultater - Vestdanmark'!E430</f>
        <v>Ton</v>
      </c>
      <c r="F430" s="99" t="str">
        <f>'Resultater - Vestdanmark'!F430</f>
        <v>Foder</v>
      </c>
      <c r="G430" s="99" t="str">
        <f>'Resultater - Vestdanmark'!G430</f>
        <v>FE</v>
      </c>
      <c r="H430" s="298">
        <f>'Resultater - Vestdanmark'!H430+'Resultater - Østdanmark'!H430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0">
        <f>'Resultater - Vestdanmark'!J430+'Resultater - Østdanmark'!J430</f>
        <v>7797797.938335197</v>
      </c>
    </row>
    <row r="431" spans="1:10" hidden="1" x14ac:dyDescent="0.25">
      <c r="A431" s="99" t="str">
        <f>'Resultater - Vestdanmark'!A431</f>
        <v>Foderproduktion</v>
      </c>
      <c r="B431" s="99" t="str">
        <f>'Resultater - Vestdanmark'!B431</f>
        <v/>
      </c>
      <c r="C431" s="99" t="str">
        <f>'Resultater - Vestdanmark'!C431</f>
        <v/>
      </c>
      <c r="D431" s="99" t="str">
        <f>'Resultater - Vestdanmark'!D431</f>
        <v>Slagteriaffald til foder</v>
      </c>
      <c r="E431" s="99" t="str">
        <f>'Resultater - Vestdanmark'!E431</f>
        <v>Ton</v>
      </c>
      <c r="F431" s="99" t="str">
        <f>'Resultater - Vestdanmark'!F431</f>
        <v>Foder</v>
      </c>
      <c r="G431" s="99" t="str">
        <f>'Resultater - Vestdanmark'!G431</f>
        <v>FE</v>
      </c>
      <c r="H431" s="298">
        <f>'Resultater - Vestdanmark'!H431+'Resultater - Østdanmark'!H431</f>
        <v>121697585.55139975</v>
      </c>
      <c r="I431" s="299">
        <f>'Resultater - Vestdanmark'!I431+'Resultater - Østdanmark'!I431</f>
        <v>121697585.55139977</v>
      </c>
      <c r="J431" s="300">
        <f>'Resultater - Vestdanmark'!J431+'Resultater - Østdanmark'!J431</f>
        <v>121697585.55139975</v>
      </c>
    </row>
    <row r="432" spans="1:10" hidden="1" x14ac:dyDescent="0.25">
      <c r="A432" s="99" t="str">
        <f>'Resultater - Vestdanmark'!A432</f>
        <v>Foderproduktion</v>
      </c>
      <c r="B432" s="99" t="str">
        <f>'Resultater - Vestdanmark'!B432</f>
        <v/>
      </c>
      <c r="C432" s="99" t="str">
        <f>'Resultater - Vestdanmark'!C432</f>
        <v/>
      </c>
      <c r="D432" s="99" t="str">
        <f>'Resultater - Vestdanmark'!D432</f>
        <v>Import af foder</v>
      </c>
      <c r="E432" s="99" t="str">
        <f>'Resultater - Vestdanmark'!E432</f>
        <v>Ton</v>
      </c>
      <c r="F432" s="99" t="str">
        <f>'Resultater - Vestdanmark'!F432</f>
        <v>Foder</v>
      </c>
      <c r="G432" s="99" t="str">
        <f>'Resultater - Vestdanmark'!G432</f>
        <v>FE</v>
      </c>
      <c r="H432" s="298">
        <f>'Resultater - Vestdanmark'!H432+'Resultater - Østdanmark'!H432</f>
        <v>4029095270.4041944</v>
      </c>
      <c r="I432" s="299">
        <f>'Resultater - Vestdanmark'!I432+'Resultater - Østdanmark'!I432</f>
        <v>4029095270.4041934</v>
      </c>
      <c r="J432" s="300">
        <f>'Resultater - Vestdanmark'!J432+'Resultater - Østdanmark'!J432</f>
        <v>4029095270.4041934</v>
      </c>
    </row>
    <row r="433" spans="1:10" hidden="1" x14ac:dyDescent="0.25">
      <c r="A433" s="99" t="str">
        <f>'Resultater - Vestdanmark'!A433</f>
        <v>Biogasanlæg</v>
      </c>
      <c r="B433" s="99" t="str">
        <f>'Resultater - Vestdanmark'!B433</f>
        <v/>
      </c>
      <c r="C433" s="99" t="str">
        <f>'Resultater - Vestdanmark'!C433</f>
        <v/>
      </c>
      <c r="D433" s="99" t="str">
        <f>'Resultater - Vestdanmark'!D433</f>
        <v>Halm</v>
      </c>
      <c r="E433" s="99" t="str">
        <f>'Resultater - Vestdanmark'!E433</f>
        <v>Ton</v>
      </c>
      <c r="F433" s="99" t="str">
        <f>'Resultater - Vestdanmark'!F433</f>
        <v>Biogas</v>
      </c>
      <c r="G433" s="99" t="str">
        <f>'Resultater - Vestdanmark'!G433</f>
        <v>Nm3 CH4</v>
      </c>
      <c r="H433" s="298">
        <f>'Resultater - Vestdanmark'!H433+'Resultater - Østdanmark'!H433</f>
        <v>12195000.399999999</v>
      </c>
      <c r="I433" s="299">
        <f>'Resultater - Vestdanmark'!I433+'Resultater - Østdanmark'!I433</f>
        <v>0</v>
      </c>
      <c r="J433" s="300">
        <f>'Resultater - Vestdanmark'!J433+'Resultater - Østdanmark'!J433</f>
        <v>0</v>
      </c>
    </row>
    <row r="434" spans="1:10" hidden="1" x14ac:dyDescent="0.25">
      <c r="A434" s="99" t="str">
        <f>'Resultater - Vestdanmark'!A434</f>
        <v>Biogasanlæg</v>
      </c>
      <c r="B434" s="99" t="str">
        <f>'Resultater - Vestdanmark'!B434</f>
        <v/>
      </c>
      <c r="C434" s="99" t="str">
        <f>'Resultater - Vestdanmark'!C434</f>
        <v/>
      </c>
      <c r="D434" s="99" t="str">
        <f>'Resultater - Vestdanmark'!D434</f>
        <v>Korn</v>
      </c>
      <c r="E434" s="99" t="str">
        <f>'Resultater - Vestdanmark'!E434</f>
        <v>Ton</v>
      </c>
      <c r="F434" s="99" t="str">
        <f>'Resultater - Vestdanmark'!F434</f>
        <v>Biogas</v>
      </c>
      <c r="G434" s="99" t="str">
        <f>'Resultater - Vestdanmark'!G434</f>
        <v>Nm3 CH4</v>
      </c>
      <c r="H434" s="298">
        <f>'Resultater - Vestdanmark'!H434+'Resultater - Østdanmark'!H434</f>
        <v>361184.39999999997</v>
      </c>
      <c r="I434" s="299">
        <f>'Resultater - Vestdanmark'!I434+'Resultater - Østdanmark'!I434</f>
        <v>0</v>
      </c>
      <c r="J434" s="300">
        <f>'Resultater - Vestdanmark'!J434+'Resultater - Østdanmark'!J434</f>
        <v>0</v>
      </c>
    </row>
    <row r="435" spans="1:10" hidden="1" x14ac:dyDescent="0.25">
      <c r="A435" s="99" t="str">
        <f>'Resultater - Vestdanmark'!A435</f>
        <v>Biogasanlæg</v>
      </c>
      <c r="B435" s="99" t="str">
        <f>'Resultater - Vestdanmark'!B435</f>
        <v/>
      </c>
      <c r="C435" s="99" t="str">
        <f>'Resultater - Vestdanmark'!C435</f>
        <v/>
      </c>
      <c r="D435" s="99" t="str">
        <f>'Resultater - Vestdanmark'!D435</f>
        <v>Græs</v>
      </c>
      <c r="E435" s="99" t="str">
        <f>'Resultater - Vestdanmark'!E435</f>
        <v>Ton</v>
      </c>
      <c r="F435" s="99" t="str">
        <f>'Resultater - Vestdanmark'!F435</f>
        <v>Biogas</v>
      </c>
      <c r="G435" s="99" t="str">
        <f>'Resultater - Vestdanmark'!G435</f>
        <v>Nm3 CH4</v>
      </c>
      <c r="H435" s="298">
        <f>'Resultater - Vestdanmark'!H435+'Resultater - Østdanmark'!H435</f>
        <v>4390946.2499999991</v>
      </c>
      <c r="I435" s="299">
        <f>'Resultater - Vestdanmark'!I435+'Resultater - Østdanmark'!I435</f>
        <v>0</v>
      </c>
      <c r="J435" s="300">
        <f>'Resultater - Vestdanmark'!J435+'Resultater - Østdanmark'!J435</f>
        <v>0</v>
      </c>
    </row>
    <row r="436" spans="1:10" hidden="1" x14ac:dyDescent="0.25">
      <c r="A436" s="99" t="str">
        <f>'Resultater - Vestdanmark'!A436</f>
        <v>Biogasanlæg</v>
      </c>
      <c r="B436" s="99" t="str">
        <f>'Resultater - Vestdanmark'!B436</f>
        <v/>
      </c>
      <c r="C436" s="99" t="str">
        <f>'Resultater - Vestdanmark'!C436</f>
        <v/>
      </c>
      <c r="D436" s="99" t="str">
        <f>'Resultater - Vestdanmark'!D436</f>
        <v>Svinegylle</v>
      </c>
      <c r="E436" s="99" t="str">
        <f>'Resultater - Vestdanmark'!E436</f>
        <v>Ton</v>
      </c>
      <c r="F436" s="99" t="str">
        <f>'Resultater - Vestdanmark'!F436</f>
        <v>Biogas</v>
      </c>
      <c r="G436" s="99" t="str">
        <f>'Resultater - Vestdanmark'!G436</f>
        <v>Nm3 CH4</v>
      </c>
      <c r="H436" s="298">
        <f>'Resultater - Vestdanmark'!H436+'Resultater - Østdanmark'!H436</f>
        <v>34978432</v>
      </c>
      <c r="I436" s="299">
        <f>'Resultater - Vestdanmark'!I436+'Resultater - Østdanmark'!I436</f>
        <v>134621237.50860655</v>
      </c>
      <c r="J436" s="300">
        <f>'Resultater - Vestdanmark'!J436+'Resultater - Østdanmark'!J436</f>
        <v>158625496.4084816</v>
      </c>
    </row>
    <row r="437" spans="1:10" s="173" customFormat="1" hidden="1" x14ac:dyDescent="0.25">
      <c r="A437" s="99" t="str">
        <f>'Resultater - Vestdanmark'!A437</f>
        <v>Biogasanlæg</v>
      </c>
      <c r="B437" s="99" t="str">
        <f>'Resultater - Vestdanmark'!B437</f>
        <v/>
      </c>
      <c r="C437" s="99" t="str">
        <f>'Resultater - Vestdanmark'!C437</f>
        <v/>
      </c>
      <c r="D437" s="99" t="str">
        <f>'Resultater - Vestdanmark'!D437</f>
        <v>Svinegylle</v>
      </c>
      <c r="E437" s="99" t="str">
        <f>'Resultater - Vestdanmark'!E437</f>
        <v>Ton</v>
      </c>
      <c r="F437" s="99" t="str">
        <f>'Resultater - Vestdanmark'!F437</f>
        <v>CO2 - atmosfære</v>
      </c>
      <c r="G437" s="99" t="str">
        <f>'Resultater - Vestdanmark'!G437</f>
        <v>t CO2-ækvivalenter</v>
      </c>
      <c r="H437" s="304">
        <f>'Resultater - Vestdanmark'!H437+'Resultater - Østdanmark'!H437</f>
        <v>-37099.291058504961</v>
      </c>
      <c r="I437" s="305">
        <f>'Resultater - Vestdanmark'!I437+'Resultater - Østdanmark'!I437</f>
        <v>-142783.77238259045</v>
      </c>
      <c r="J437" s="306">
        <f>'Resultater - Vestdanmark'!J437+'Resultater - Østdanmark'!J437</f>
        <v>-168243.48960405347</v>
      </c>
    </row>
    <row r="438" spans="1:10" hidden="1" x14ac:dyDescent="0.25">
      <c r="A438" s="99" t="str">
        <f>'Resultater - Vestdanmark'!A438</f>
        <v>Biogasanlæg</v>
      </c>
      <c r="B438" s="99" t="str">
        <f>'Resultater - Vestdanmark'!B438</f>
        <v/>
      </c>
      <c r="C438" s="99" t="str">
        <f>'Resultater - Vestdanmark'!C438</f>
        <v/>
      </c>
      <c r="D438" s="99" t="str">
        <f>'Resultater - Vestdanmark'!D438</f>
        <v>Kvæggylle</v>
      </c>
      <c r="E438" s="99" t="str">
        <f>'Resultater - Vestdanmark'!E438</f>
        <v>Ton</v>
      </c>
      <c r="F438" s="99" t="str">
        <f>'Resultater - Vestdanmark'!F438</f>
        <v>Biogas</v>
      </c>
      <c r="G438" s="99" t="str">
        <f>'Resultater - Vestdanmark'!G438</f>
        <v>Nm3 CH4</v>
      </c>
      <c r="H438" s="298">
        <f>'Resultater - Vestdanmark'!H438+'Resultater - Østdanmark'!H438</f>
        <v>61384486.300000004</v>
      </c>
      <c r="I438" s="299">
        <f>'Resultater - Vestdanmark'!I438+'Resultater - Østdanmark'!I438</f>
        <v>149019759.53296533</v>
      </c>
      <c r="J438" s="300">
        <f>'Resultater - Vestdanmark'!J438+'Resultater - Østdanmark'!J438</f>
        <v>153865549.61670452</v>
      </c>
    </row>
    <row r="439" spans="1:10" s="173" customFormat="1" hidden="1" x14ac:dyDescent="0.25">
      <c r="A439" s="99" t="str">
        <f>'Resultater - Vestdanmark'!A439</f>
        <v>Biogasanlæg</v>
      </c>
      <c r="B439" s="99" t="str">
        <f>'Resultater - Vestdanmark'!B439</f>
        <v/>
      </c>
      <c r="C439" s="99" t="str">
        <f>'Resultater - Vestdanmark'!C439</f>
        <v/>
      </c>
      <c r="D439" s="99" t="str">
        <f>'Resultater - Vestdanmark'!D439</f>
        <v>Kvæggylle</v>
      </c>
      <c r="E439" s="99" t="str">
        <f>'Resultater - Vestdanmark'!E439</f>
        <v>Ton</v>
      </c>
      <c r="F439" s="99" t="str">
        <f>'Resultater - Vestdanmark'!F439</f>
        <v>CO2 - atmosfære</v>
      </c>
      <c r="G439" s="99" t="str">
        <f>'Resultater - Vestdanmark'!G439</f>
        <v>t CO2-ækvivalenter</v>
      </c>
      <c r="H439" s="304">
        <f>'Resultater - Vestdanmark'!H439+'Resultater - Østdanmark'!H439</f>
        <v>-128107.91983655478</v>
      </c>
      <c r="I439" s="305">
        <f>'Resultater - Vestdanmark'!I439+'Resultater - Østdanmark'!I439</f>
        <v>-311000.58922072942</v>
      </c>
      <c r="J439" s="306">
        <f>'Resultater - Vestdanmark'!J439+'Resultater - Østdanmark'!J439</f>
        <v>-321113.63447060768</v>
      </c>
    </row>
    <row r="440" spans="1:10" hidden="1" x14ac:dyDescent="0.25">
      <c r="A440" s="99" t="str">
        <f>'Resultater - Vestdanmark'!A440</f>
        <v>Biogasanlæg</v>
      </c>
      <c r="B440" s="99" t="str">
        <f>'Resultater - Vestdanmark'!B440</f>
        <v/>
      </c>
      <c r="C440" s="99" t="str">
        <f>'Resultater - Vestdanmark'!C440</f>
        <v/>
      </c>
      <c r="D440" s="99" t="str">
        <f>'Resultater - Vestdanmark'!D440</f>
        <v>Fjerkrægylle</v>
      </c>
      <c r="E440" s="99" t="str">
        <f>'Resultater - Vestdanmark'!E440</f>
        <v>Ton</v>
      </c>
      <c r="F440" s="99" t="str">
        <f>'Resultater - Vestdanmark'!F440</f>
        <v>Biogas</v>
      </c>
      <c r="G440" s="99" t="str">
        <f>'Resultater - Vestdanmark'!G440</f>
        <v>Nm3 CH4</v>
      </c>
      <c r="H440" s="298">
        <f>'Resultater - Vestdanmark'!H440+'Resultater - Østdanmark'!H440</f>
        <v>58183.649999999994</v>
      </c>
      <c r="I440" s="299">
        <f>'Resultater - Vestdanmark'!I440+'Resultater - Østdanmark'!I440</f>
        <v>77000.532436846348</v>
      </c>
      <c r="J440" s="300">
        <f>'Resultater - Vestdanmark'!J440+'Resultater - Østdanmark'!J440</f>
        <v>97868.843656038211</v>
      </c>
    </row>
    <row r="441" spans="1:10" hidden="1" x14ac:dyDescent="0.25">
      <c r="A441" s="99" t="str">
        <f>'Resultater - Vestdanmark'!A441</f>
        <v>Biogasanlæg</v>
      </c>
      <c r="B441" s="99" t="str">
        <f>'Resultater - Vestdanmark'!B441</f>
        <v/>
      </c>
      <c r="C441" s="99" t="str">
        <f>'Resultater - Vestdanmark'!C441</f>
        <v/>
      </c>
      <c r="D441" s="99" t="str">
        <f>'Resultater - Vestdanmark'!D441</f>
        <v>Dybstrøelse</v>
      </c>
      <c r="E441" s="99" t="str">
        <f>'Resultater - Vestdanmark'!E441</f>
        <v>Ton</v>
      </c>
      <c r="F441" s="99" t="str">
        <f>'Resultater - Vestdanmark'!F441</f>
        <v>Biogas</v>
      </c>
      <c r="G441" s="99" t="str">
        <f>'Resultater - Vestdanmark'!G441</f>
        <v>Nm3 CH4</v>
      </c>
      <c r="H441" s="298">
        <f>'Resultater - Vestdanmark'!H441+'Resultater - Østdanmark'!H441</f>
        <v>45425220.000000007</v>
      </c>
      <c r="I441" s="299">
        <f>'Resultater - Vestdanmark'!I441+'Resultater - Østdanmark'!I441</f>
        <v>135494141.76229626</v>
      </c>
      <c r="J441" s="300">
        <f>'Resultater - Vestdanmark'!J441+'Resultater - Østdanmark'!J441</f>
        <v>151441720.06581965</v>
      </c>
    </row>
    <row r="442" spans="1:10" hidden="1" x14ac:dyDescent="0.25">
      <c r="A442" s="99" t="str">
        <f>'Resultater - Vestdanmark'!A442</f>
        <v>Biogasanlæg</v>
      </c>
      <c r="B442" s="99" t="str">
        <f>'Resultater - Vestdanmark'!B442</f>
        <v/>
      </c>
      <c r="C442" s="99" t="str">
        <f>'Resultater - Vestdanmark'!C442</f>
        <v/>
      </c>
      <c r="D442" s="99" t="str">
        <f>'Resultater - Vestdanmark'!D442</f>
        <v>Majs</v>
      </c>
      <c r="E442" s="99" t="str">
        <f>'Resultater - Vestdanmark'!E442</f>
        <v>Ton</v>
      </c>
      <c r="F442" s="99" t="str">
        <f>'Resultater - Vestdanmark'!F442</f>
        <v>Biogas</v>
      </c>
      <c r="G442" s="99" t="str">
        <f>'Resultater - Vestdanmark'!G442</f>
        <v>Nm3 CH4</v>
      </c>
      <c r="H442" s="298">
        <f>'Resultater - Vestdanmark'!H442+'Resultater - Østdanmark'!H442</f>
        <v>33002599.999999996</v>
      </c>
      <c r="I442" s="299">
        <f>'Resultater - Vestdanmark'!I442+'Resultater - Østdanmark'!I442</f>
        <v>0</v>
      </c>
      <c r="J442" s="300">
        <f>'Resultater - Vestdanmark'!J442+'Resultater - Østdanmark'!J442</f>
        <v>0</v>
      </c>
    </row>
    <row r="443" spans="1:10" hidden="1" x14ac:dyDescent="0.25">
      <c r="A443" s="99" t="str">
        <f>'Resultater - Vestdanmark'!A443</f>
        <v>Biogasanlæg</v>
      </c>
      <c r="B443" s="99" t="str">
        <f>'Resultater - Vestdanmark'!B443</f>
        <v/>
      </c>
      <c r="C443" s="99" t="str">
        <f>'Resultater - Vestdanmark'!C443</f>
        <v/>
      </c>
      <c r="D443" s="99" t="str">
        <f>'Resultater - Vestdanmark'!D443</f>
        <v>Roer</v>
      </c>
      <c r="E443" s="99" t="str">
        <f>'Resultater - Vestdanmark'!E443</f>
        <v>Ton</v>
      </c>
      <c r="F443" s="99" t="str">
        <f>'Resultater - Vestdanmark'!F443</f>
        <v>Biogas</v>
      </c>
      <c r="G443" s="99" t="str">
        <f>'Resultater - Vestdanmark'!G443</f>
        <v>Nm3 CH4</v>
      </c>
      <c r="H443" s="298">
        <f>'Resultater - Vestdanmark'!H443+'Resultater - Østdanmark'!H443</f>
        <v>2165562</v>
      </c>
      <c r="I443" s="299">
        <f>'Resultater - Vestdanmark'!I443+'Resultater - Østdanmark'!I443</f>
        <v>0</v>
      </c>
      <c r="J443" s="300">
        <f>'Resultater - Vestdanmark'!J443+'Resultater - Østdanmark'!J443</f>
        <v>0</v>
      </c>
    </row>
    <row r="444" spans="1:10" hidden="1" x14ac:dyDescent="0.25">
      <c r="A444" s="99" t="str">
        <f>'Resultater - Vestdanmark'!A444</f>
        <v>Biogasanlæg</v>
      </c>
      <c r="B444" s="99" t="str">
        <f>'Resultater - Vestdanmark'!B444</f>
        <v/>
      </c>
      <c r="C444" s="99" t="str">
        <f>'Resultater - Vestdanmark'!C444</f>
        <v/>
      </c>
      <c r="D444" s="99" t="str">
        <f>'Resultater - Vestdanmark'!D444</f>
        <v>Bioaffald</v>
      </c>
      <c r="E444" s="99" t="str">
        <f>'Resultater - Vestdanmark'!E444</f>
        <v>Ton</v>
      </c>
      <c r="F444" s="99" t="str">
        <f>'Resultater - Vestdanmark'!F444</f>
        <v>Biogas</v>
      </c>
      <c r="G444" s="99" t="str">
        <f>'Resultater - Vestdanmark'!G444</f>
        <v>Nm3 CH4</v>
      </c>
      <c r="H444" s="298">
        <f ca="1">'Resultater - Vestdanmark'!H444+'Resultater - Østdanmark'!H444</f>
        <v>62275334.940000013</v>
      </c>
      <c r="I444" s="299">
        <f ca="1">'Resultater - Vestdanmark'!I444+'Resultater - Østdanmark'!I444</f>
        <v>31088812.949999999</v>
      </c>
      <c r="J444" s="300">
        <f ca="1">'Resultater - Vestdanmark'!J444+'Resultater - Østdanmark'!J444</f>
        <v>31582653.570000008</v>
      </c>
    </row>
    <row r="445" spans="1:10" hidden="1" x14ac:dyDescent="0.25">
      <c r="A445" s="99" t="str">
        <f>'Resultater - Vestdanmark'!A445</f>
        <v>Biogasanlæg</v>
      </c>
      <c r="B445" s="99" t="str">
        <f>'Resultater - Vestdanmark'!B445</f>
        <v/>
      </c>
      <c r="C445" s="99" t="str">
        <f>'Resultater - Vestdanmark'!C445</f>
        <v/>
      </c>
      <c r="D445" s="99" t="str">
        <f>'Resultater - Vestdanmark'!D445</f>
        <v>Industriaffald</v>
      </c>
      <c r="E445" s="99" t="str">
        <f>'Resultater - Vestdanmark'!E445</f>
        <v>Ton</v>
      </c>
      <c r="F445" s="99" t="str">
        <f>'Resultater - Vestdanmark'!F445</f>
        <v>Biogas</v>
      </c>
      <c r="G445" s="99" t="str">
        <f>'Resultater - Vestdanmark'!G445</f>
        <v>Nm3 CH4</v>
      </c>
      <c r="H445" s="298">
        <f>'Resultater - Vestdanmark'!H445+'Resultater - Østdanmark'!H445</f>
        <v>108157894.02000001</v>
      </c>
      <c r="I445" s="299">
        <f>'Resultater - Vestdanmark'!I445+'Resultater - Østdanmark'!I445</f>
        <v>78861903.839999989</v>
      </c>
      <c r="J445" s="300">
        <f>'Resultater - Vestdanmark'!J445+'Resultater - Østdanmark'!J445</f>
        <v>78542966.160000026</v>
      </c>
    </row>
    <row r="446" spans="1:10" hidden="1" x14ac:dyDescent="0.25">
      <c r="A446" s="99" t="str">
        <f>'Resultater - Vestdanmark'!A446</f>
        <v>Biogasanlæg</v>
      </c>
      <c r="B446" s="99" t="str">
        <f>'Resultater - Vestdanmark'!B446</f>
        <v/>
      </c>
      <c r="C446" s="99" t="str">
        <f>'Resultater - Vestdanmark'!C446</f>
        <v/>
      </c>
      <c r="D446" s="99" t="str">
        <f>'Resultater - Vestdanmark'!D446</f>
        <v>Muslinger</v>
      </c>
      <c r="E446" s="99" t="str">
        <f>'Resultater - Vestdanmark'!E446</f>
        <v>Ton</v>
      </c>
      <c r="F446" s="99" t="str">
        <f>'Resultater - Vestdanmark'!F446</f>
        <v>Biogas</v>
      </c>
      <c r="G446" s="99" t="str">
        <f>'Resultater - Vestdanmark'!G446</f>
        <v>Nm3 CH4</v>
      </c>
      <c r="H446" s="298">
        <f>'Resultater - Vestdanmark'!H446+'Resultater - Østdanmark'!H446</f>
        <v>0</v>
      </c>
      <c r="I446" s="299">
        <f>'Resultater - Vestdanmark'!I446+'Resultater - Østdanmark'!I446</f>
        <v>0</v>
      </c>
      <c r="J446" s="300">
        <f>'Resultater - Vestdanmark'!J446+'Resultater - Østdanmark'!J446</f>
        <v>0</v>
      </c>
    </row>
    <row r="447" spans="1:10" hidden="1" x14ac:dyDescent="0.25">
      <c r="A447" s="99" t="str">
        <f>'Resultater - Vestdanmark'!A447</f>
        <v>Biogasanlæg</v>
      </c>
      <c r="B447" s="99" t="str">
        <f>'Resultater - Vestdanmark'!B447</f>
        <v/>
      </c>
      <c r="C447" s="99" t="str">
        <f>'Resultater - Vestdanmark'!C447</f>
        <v/>
      </c>
      <c r="D447" s="99" t="str">
        <f>'Resultater - Vestdanmark'!D447</f>
        <v>Tang</v>
      </c>
      <c r="E447" s="99" t="str">
        <f>'Resultater - Vestdanmark'!E447</f>
        <v>Ton</v>
      </c>
      <c r="F447" s="99" t="str">
        <f>'Resultater - Vestdanmark'!F447</f>
        <v>Biogas</v>
      </c>
      <c r="G447" s="99" t="str">
        <f>'Resultater - Vestdanmark'!G447</f>
        <v>Nm3 CH4</v>
      </c>
      <c r="H447" s="298">
        <f>'Resultater - Vestdanmark'!H447+'Resultater - Østdanmark'!H447</f>
        <v>0</v>
      </c>
      <c r="I447" s="299">
        <f>'Resultater - Vestdanmark'!I447+'Resultater - Østdanmark'!I447</f>
        <v>0</v>
      </c>
      <c r="J447" s="300">
        <f>'Resultater - Vestdanmark'!J447+'Resultater - Østdanmark'!J447</f>
        <v>0</v>
      </c>
    </row>
    <row r="448" spans="1:10" hidden="1" x14ac:dyDescent="0.25">
      <c r="A448" s="99" t="str">
        <f>'Resultater - Vestdanmark'!A448</f>
        <v>Biogasanlæg</v>
      </c>
      <c r="B448" s="99" t="str">
        <f>'Resultater - Vestdanmark'!B448</f>
        <v/>
      </c>
      <c r="C448" s="99" t="str">
        <f>'Resultater - Vestdanmark'!C448</f>
        <v/>
      </c>
      <c r="D448" s="99" t="str">
        <f>'Resultater - Vestdanmark'!D448</f>
        <v>Have/parkaffald</v>
      </c>
      <c r="E448" s="99" t="str">
        <f>'Resultater - Vestdanmark'!E448</f>
        <v>Ton</v>
      </c>
      <c r="F448" s="99" t="str">
        <f>'Resultater - Vestdanmark'!F448</f>
        <v>Biogas</v>
      </c>
      <c r="G448" s="99" t="str">
        <f>'Resultater - Vestdanmark'!G448</f>
        <v>Nm3 CH4</v>
      </c>
      <c r="H448" s="298">
        <f>'Resultater - Vestdanmark'!H448+'Resultater - Østdanmark'!H448</f>
        <v>3689.3999999999996</v>
      </c>
      <c r="I448" s="299">
        <f>'Resultater - Vestdanmark'!I448+'Resultater - Østdanmark'!I448</f>
        <v>23650000</v>
      </c>
      <c r="J448" s="300">
        <f>'Resultater - Vestdanmark'!J448+'Resultater - Østdanmark'!J448</f>
        <v>23650000</v>
      </c>
    </row>
    <row r="449" spans="1:13" hidden="1" x14ac:dyDescent="0.25">
      <c r="A449" s="99" t="str">
        <f>'Resultater - Vestdanmark'!A449</f>
        <v>Biogasanlæg</v>
      </c>
      <c r="B449" s="99" t="str">
        <f>'Resultater - Vestdanmark'!B449</f>
        <v/>
      </c>
      <c r="C449" s="99" t="str">
        <f>'Resultater - Vestdanmark'!C449</f>
        <v/>
      </c>
      <c r="D449" s="99" t="str">
        <f>'Resultater - Vestdanmark'!D449</f>
        <v>Brun saft</v>
      </c>
      <c r="E449" s="99" t="str">
        <f>'Resultater - Vestdanmark'!E449</f>
        <v>PJ</v>
      </c>
      <c r="F449" s="99" t="str">
        <f>'Resultater - Vestdanmark'!F449</f>
        <v>Biogas</v>
      </c>
      <c r="G449" s="99" t="str">
        <f>'Resultater - Vestdanmark'!G449</f>
        <v>Nm3 CH4</v>
      </c>
      <c r="H449" s="298">
        <f>'Resultater - Vestdanmark'!H449+'Resultater - Østdanmark'!H449</f>
        <v>0</v>
      </c>
      <c r="I449" s="299">
        <f>'Resultater - Vestdanmark'!I449+'Resultater - Østdanmark'!I449</f>
        <v>65572.391754182347</v>
      </c>
      <c r="J449" s="300">
        <f>'Resultater - Vestdanmark'!J449+'Resultater - Østdanmark'!J449</f>
        <v>104915.82680669175</v>
      </c>
    </row>
    <row r="450" spans="1:13" hidden="1" x14ac:dyDescent="0.25">
      <c r="A450" s="99" t="str">
        <f>'Resultater - Vestdanmark'!A450</f>
        <v>Biogasanlæg</v>
      </c>
      <c r="B450" s="99" t="str">
        <f>'Resultater - Vestdanmark'!B450</f>
        <v/>
      </c>
      <c r="C450" s="99" t="str">
        <f>'Resultater - Vestdanmark'!C450</f>
        <v/>
      </c>
      <c r="D450" s="99" t="str">
        <f>'Resultater - Vestdanmark'!D450</f>
        <v>Glycerin</v>
      </c>
      <c r="E450" s="99" t="str">
        <f>'Resultater - Vestdanmark'!E450</f>
        <v>Ton</v>
      </c>
      <c r="F450" s="99" t="str">
        <f>'Resultater - Vestdanmark'!F450</f>
        <v>Biogas</v>
      </c>
      <c r="G450" s="99" t="str">
        <f>'Resultater - Vestdanmark'!G450</f>
        <v>Nm3 CH4</v>
      </c>
      <c r="H450" s="298">
        <f>'Resultater - Vestdanmark'!H450+'Resultater - Østdanmark'!H450</f>
        <v>60431253.120000005</v>
      </c>
      <c r="I450" s="299">
        <f>'Resultater - Vestdanmark'!I450+'Resultater - Østdanmark'!I450</f>
        <v>60431253.120000005</v>
      </c>
      <c r="J450" s="300">
        <f>'Resultater - Vestdanmark'!J450+'Resultater - Østdanmark'!J450</f>
        <v>60431253.120000005</v>
      </c>
    </row>
    <row r="451" spans="1:13" hidden="1" x14ac:dyDescent="0.25">
      <c r="A451" s="99" t="str">
        <f>'Resultater - Vestdanmark'!A451</f>
        <v>Biogasanlæg</v>
      </c>
      <c r="B451" s="99" t="str">
        <f>'Resultater - Vestdanmark'!B451</f>
        <v/>
      </c>
      <c r="C451" s="99" t="str">
        <f>'Resultater - Vestdanmark'!C451</f>
        <v/>
      </c>
      <c r="D451" s="99" t="str">
        <f>'Resultater - Vestdanmark'!D451</f>
        <v>Spildevandsslam</v>
      </c>
      <c r="E451" s="99" t="str">
        <f>'Resultater - Vestdanmark'!E451</f>
        <v>Ton</v>
      </c>
      <c r="F451" s="99" t="str">
        <f>'Resultater - Vestdanmark'!F451</f>
        <v>Biogas</v>
      </c>
      <c r="G451" s="99" t="str">
        <f>'Resultater - Vestdanmark'!G451</f>
        <v>Nm3 CH4</v>
      </c>
      <c r="H451" s="298">
        <f>'Resultater - Vestdanmark'!H451+'Resultater - Østdanmark'!H451</f>
        <v>37096792.599999994</v>
      </c>
      <c r="I451" s="299">
        <f>'Resultater - Vestdanmark'!I451+'Resultater - Østdanmark'!I451</f>
        <v>50859857.363469094</v>
      </c>
      <c r="J451" s="300">
        <f>'Resultater - Vestdanmark'!J451+'Resultater - Østdanmark'!J451</f>
        <v>84757908.676593199</v>
      </c>
      <c r="L451" s="99"/>
    </row>
    <row r="452" spans="1:13" hidden="1" x14ac:dyDescent="0.25">
      <c r="A452" s="99" t="str">
        <f>'Resultater - Vestdanmark'!A452</f>
        <v>Biogasanlæg</v>
      </c>
      <c r="B452" s="99" t="str">
        <f>'Resultater - Vestdanmark'!B452</f>
        <v/>
      </c>
      <c r="C452" s="99" t="str">
        <f>'Resultater - Vestdanmark'!C452</f>
        <v/>
      </c>
      <c r="D452" s="99" t="str">
        <f>'Resultater - Vestdanmark'!D452</f>
        <v>Total til biogas</v>
      </c>
      <c r="E452" s="99" t="str">
        <f>'Resultater - Vestdanmark'!E452</f>
        <v>Ton</v>
      </c>
      <c r="F452" s="99" t="str">
        <f>'Resultater - Vestdanmark'!F452</f>
        <v>Biogasgylle</v>
      </c>
      <c r="G452" s="99" t="str">
        <f>'Resultater - Vestdanmark'!G452</f>
        <v>Ton</v>
      </c>
      <c r="H452" s="304">
        <f ca="1">'Resultater - Vestdanmark'!H452+'Resultater - Østdanmark'!H452</f>
        <v>12034020.807749998</v>
      </c>
      <c r="I452" s="305">
        <f ca="1">'Resultater - Vestdanmark'!I452+'Resultater - Østdanmark'!I452</f>
        <v>27070773.393969394</v>
      </c>
      <c r="J452" s="306">
        <f ca="1">'Resultater - Vestdanmark'!J452+'Resultater - Østdanmark'!J452</f>
        <v>31718253.378845252</v>
      </c>
    </row>
    <row r="453" spans="1:13" hidden="1" x14ac:dyDescent="0.25">
      <c r="A453" s="99" t="str">
        <f>'Resultater - Vestdanmark'!A453</f>
        <v>Gødning</v>
      </c>
      <c r="B453" s="99" t="str">
        <f>'Resultater - Vestdanmark'!B453</f>
        <v/>
      </c>
      <c r="C453" s="99" t="str">
        <f>'Resultater - Vestdanmark'!C453</f>
        <v/>
      </c>
      <c r="D453" s="99" t="str">
        <f>'Resultater - Vestdanmark'!D453</f>
        <v>Svinegylle</v>
      </c>
      <c r="E453" s="99" t="str">
        <f>'Resultater - Vestdanmark'!E453</f>
        <v>Ton</v>
      </c>
      <c r="F453" s="99" t="str">
        <f>'Resultater - Vestdanmark'!F453</f>
        <v>Gødning</v>
      </c>
      <c r="G453" s="99" t="str">
        <f>'Resultater - Vestdanmark'!G453</f>
        <v>kg N</v>
      </c>
      <c r="H453" s="304">
        <f>'Resultater - Vestdanmark'!H453+'Resultater - Østdanmark'!H453</f>
        <v>78133292.533333316</v>
      </c>
      <c r="I453" s="305">
        <f>'Resultater - Vestdanmark'!I453+'Resultater - Østdanmark'!I453</f>
        <v>32015691.740828861</v>
      </c>
      <c r="J453" s="306">
        <f>'Resultater - Vestdanmark'!J453+'Resultater - Østdanmark'!J453</f>
        <v>17514898.561769836</v>
      </c>
    </row>
    <row r="454" spans="1:13" hidden="1" x14ac:dyDescent="0.25">
      <c r="A454" s="99" t="str">
        <f>'Resultater - Vestdanmark'!A454</f>
        <v>Gødning</v>
      </c>
      <c r="B454" s="99" t="str">
        <f>'Resultater - Vestdanmark'!B454</f>
        <v/>
      </c>
      <c r="C454" s="99" t="str">
        <f>'Resultater - Vestdanmark'!C454</f>
        <v/>
      </c>
      <c r="D454" s="99" t="str">
        <f>'Resultater - Vestdanmark'!D454</f>
        <v>Kvæggylle</v>
      </c>
      <c r="E454" s="99" t="str">
        <f>'Resultater - Vestdanmark'!E454</f>
        <v>Ton</v>
      </c>
      <c r="F454" s="99" t="str">
        <f>'Resultater - Vestdanmark'!F454</f>
        <v>Gødning</v>
      </c>
      <c r="G454" s="99" t="str">
        <f>'Resultater - Vestdanmark'!G454</f>
        <v>kg N</v>
      </c>
      <c r="H454" s="304">
        <f>'Resultater - Vestdanmark'!H454+'Resultater - Østdanmark'!H454</f>
        <v>51391398.766666658</v>
      </c>
      <c r="I454" s="305">
        <f>'Resultater - Vestdanmark'!I454+'Resultater - Østdanmark'!I454</f>
        <v>17688795.64445053</v>
      </c>
      <c r="J454" s="306">
        <f>'Resultater - Vestdanmark'!J454+'Resultater - Østdanmark'!J454</f>
        <v>14458996.683839248</v>
      </c>
    </row>
    <row r="455" spans="1:13" hidden="1" x14ac:dyDescent="0.25">
      <c r="A455" s="99" t="str">
        <f>'Resultater - Vestdanmark'!A455</f>
        <v>Gødning</v>
      </c>
      <c r="B455" s="99" t="str">
        <f>'Resultater - Vestdanmark'!B455</f>
        <v/>
      </c>
      <c r="C455" s="99" t="str">
        <f>'Resultater - Vestdanmark'!C455</f>
        <v/>
      </c>
      <c r="D455" s="99" t="str">
        <f>'Resultater - Vestdanmark'!D455</f>
        <v>Fjerkrægylle</v>
      </c>
      <c r="E455" s="99" t="str">
        <f>'Resultater - Vestdanmark'!E455</f>
        <v>Ton</v>
      </c>
      <c r="F455" s="99" t="str">
        <f>'Resultater - Vestdanmark'!F455</f>
        <v>Gødning</v>
      </c>
      <c r="G455" s="99" t="str">
        <f>'Resultater - Vestdanmark'!G455</f>
        <v>kg N</v>
      </c>
      <c r="H455" s="304">
        <f>'Resultater - Vestdanmark'!H455+'Resultater - Østdanmark'!H455</f>
        <v>23539.95</v>
      </c>
      <c r="I455" s="305">
        <f>'Resultater - Vestdanmark'!I455+'Resultater - Østdanmark'!I455</f>
        <v>16774.631552595412</v>
      </c>
      <c r="J455" s="306">
        <f>'Resultater - Vestdanmark'!J455+'Resultater - Østdanmark'!J455</f>
        <v>9898.9479270420306</v>
      </c>
    </row>
    <row r="456" spans="1:13" hidden="1" x14ac:dyDescent="0.25">
      <c r="A456" s="99" t="str">
        <f>'Resultater - Vestdanmark'!A456</f>
        <v>Gødning</v>
      </c>
      <c r="B456" s="99" t="str">
        <f>'Resultater - Vestdanmark'!B456</f>
        <v/>
      </c>
      <c r="C456" s="99" t="str">
        <f>'Resultater - Vestdanmark'!C456</f>
        <v/>
      </c>
      <c r="D456" s="99" t="str">
        <f>'Resultater - Vestdanmark'!D456</f>
        <v>Dybstrøelse</v>
      </c>
      <c r="E456" s="99" t="str">
        <f>'Resultater - Vestdanmark'!E456</f>
        <v>Ton</v>
      </c>
      <c r="F456" s="99" t="str">
        <f>'Resultater - Vestdanmark'!F456</f>
        <v>Gødning</v>
      </c>
      <c r="G456" s="99" t="str">
        <f>'Resultater - Vestdanmark'!G456</f>
        <v>kg N</v>
      </c>
      <c r="H456" s="304">
        <f>'Resultater - Vestdanmark'!H456+'Resultater - Østdanmark'!H456</f>
        <v>11532709.900000002</v>
      </c>
      <c r="I456" s="305">
        <f>'Resultater - Vestdanmark'!I456+'Resultater - Østdanmark'!I456</f>
        <v>3989549.7296676114</v>
      </c>
      <c r="J456" s="306">
        <f>'Resultater - Vestdanmark'!J456+'Resultater - Østdanmark'!J456</f>
        <v>3344337.984786849</v>
      </c>
    </row>
    <row r="457" spans="1:13" hidden="1" x14ac:dyDescent="0.25">
      <c r="A457" s="99" t="str">
        <f>'Resultater - Vestdanmark'!A457</f>
        <v>Gødning</v>
      </c>
      <c r="B457" s="99" t="str">
        <f>'Resultater - Vestdanmark'!B457</f>
        <v/>
      </c>
      <c r="C457" s="99" t="str">
        <f>'Resultater - Vestdanmark'!C457</f>
        <v/>
      </c>
      <c r="D457" s="99" t="str">
        <f>'Resultater - Vestdanmark'!D457</f>
        <v>Biogasgylle</v>
      </c>
      <c r="E457" s="99" t="str">
        <f>'Resultater - Vestdanmark'!E457</f>
        <v>Ton</v>
      </c>
      <c r="F457" s="99" t="str">
        <f>'Resultater - Vestdanmark'!F457</f>
        <v>Gødning</v>
      </c>
      <c r="G457" s="99" t="str">
        <f>'Resultater - Vestdanmark'!G457</f>
        <v>kg N</v>
      </c>
      <c r="H457" s="304">
        <f ca="1">'Resultater - Vestdanmark'!H457+'Resultater - Østdanmark'!H457</f>
        <v>61624442.148559391</v>
      </c>
      <c r="I457" s="305">
        <f ca="1">'Resultater - Vestdanmark'!I457+'Resultater - Østdanmark'!I457</f>
        <v>162253609.9551962</v>
      </c>
      <c r="J457" s="306">
        <f ca="1">'Resultater - Vestdanmark'!J457+'Resultater - Østdanmark'!J457</f>
        <v>177252051.53674722</v>
      </c>
    </row>
    <row r="458" spans="1:13" hidden="1" x14ac:dyDescent="0.25">
      <c r="A458" s="99" t="str">
        <f>'Resultater - Vestdanmark'!A458</f>
        <v>Gødning</v>
      </c>
      <c r="B458" s="99" t="str">
        <f>'Resultater - Vestdanmark'!B458</f>
        <v/>
      </c>
      <c r="C458" s="99" t="str">
        <f>'Resultater - Vestdanmark'!C458</f>
        <v/>
      </c>
      <c r="D458" s="99" t="str">
        <f>'Resultater - Vestdanmark'!D458</f>
        <v>Kunstgødning</v>
      </c>
      <c r="E458" s="99" t="str">
        <f>'Resultater - Vestdanmark'!E458</f>
        <v>Ton</v>
      </c>
      <c r="F458" s="99" t="str">
        <f>'Resultater - Vestdanmark'!F458</f>
        <v>Gødning</v>
      </c>
      <c r="G458" s="99" t="str">
        <f>'Resultater - Vestdanmark'!G458</f>
        <v>kg N</v>
      </c>
      <c r="H458" s="304">
        <f ca="1">'Resultater - Vestdanmark'!H458+'Resultater - Østdanmark'!H458</f>
        <v>177358488.6388132</v>
      </c>
      <c r="I458" s="305">
        <f ca="1">'Resultater - Vestdanmark'!I458+'Resultater - Østdanmark'!I458</f>
        <v>54278656.86232619</v>
      </c>
      <c r="J458" s="306">
        <f ca="1">'Resultater - Vestdanmark'!J458+'Resultater - Østdanmark'!J458</f>
        <v>51422450.798888452</v>
      </c>
    </row>
    <row r="459" spans="1:13" hidden="1" x14ac:dyDescent="0.25">
      <c r="A459" s="99" t="str">
        <f>'Resultater - Vestdanmark'!A459</f>
        <v>Til energi</v>
      </c>
      <c r="B459" s="99" t="str">
        <f>'Resultater - Vestdanmark'!B459</f>
        <v/>
      </c>
      <c r="C459" s="99" t="str">
        <f>'Resultater - Vestdanmark'!C459</f>
        <v/>
      </c>
      <c r="D459" s="99" t="str">
        <f>'Resultater - Vestdanmark'!D459</f>
        <v>Halm</v>
      </c>
      <c r="E459" s="99" t="str">
        <f>'Resultater - Vestdanmark'!E459</f>
        <v>Ton</v>
      </c>
      <c r="F459" s="99" t="str">
        <f>'Resultater - Vestdanmark'!F459</f>
        <v>Energi</v>
      </c>
      <c r="G459" s="99" t="str">
        <f>'Resultater - Vestdanmark'!G459</f>
        <v>PJ</v>
      </c>
      <c r="H459" s="308">
        <f>'Resultater - Vestdanmark'!H459+'Resultater - Østdanmark'!H459</f>
        <v>19.573590488557194</v>
      </c>
      <c r="I459" s="309">
        <f>'Resultater - Vestdanmark'!I459+'Resultater - Østdanmark'!I459</f>
        <v>0</v>
      </c>
      <c r="J459" s="310">
        <f>'Resultater - Vestdanmark'!J459+'Resultater - Østdanmark'!J459</f>
        <v>0.11270110600590644</v>
      </c>
      <c r="L459" s="172" t="s">
        <v>227</v>
      </c>
      <c r="M459" s="170">
        <v>17963.28</v>
      </c>
    </row>
    <row r="460" spans="1:13" hidden="1" x14ac:dyDescent="0.25">
      <c r="A460" s="99" t="str">
        <f>'Resultater - Vestdanmark'!A460</f>
        <v>Til energi</v>
      </c>
      <c r="B460" s="99" t="str">
        <f>'Resultater - Vestdanmark'!B460</f>
        <v/>
      </c>
      <c r="C460" s="99" t="str">
        <f>'Resultater - Vestdanmark'!C460</f>
        <v/>
      </c>
      <c r="D460" s="99" t="str">
        <f>'Resultater - Vestdanmark'!D460</f>
        <v>Rapsolie</v>
      </c>
      <c r="E460" s="99" t="str">
        <f>'Resultater - Vestdanmark'!E460</f>
        <v>Ton</v>
      </c>
      <c r="F460" s="99" t="str">
        <f>'Resultater - Vestdanmark'!F460</f>
        <v>Energi</v>
      </c>
      <c r="G460" s="99" t="str">
        <f>'Resultater - Vestdanmark'!G460</f>
        <v>PJ</v>
      </c>
      <c r="H460" s="308">
        <f>'Resultater - Vestdanmark'!H460+'Resultater - Østdanmark'!H460</f>
        <v>7.5981675535184188</v>
      </c>
      <c r="I460" s="309">
        <f>'Resultater - Vestdanmark'!I460+'Resultater - Østdanmark'!I460</f>
        <v>5.2395065029915484</v>
      </c>
      <c r="J460" s="310">
        <f>'Resultater - Vestdanmark'!J460+'Resultater - Østdanmark'!J460</f>
        <v>5.1599554735565736</v>
      </c>
      <c r="L460" s="172" t="s">
        <v>231</v>
      </c>
      <c r="M460" s="170">
        <v>14758.1</v>
      </c>
    </row>
    <row r="461" spans="1:13" hidden="1" x14ac:dyDescent="0.25">
      <c r="A461" s="99" t="str">
        <f>'Resultater - Vestdanmark'!A461</f>
        <v>Til energi</v>
      </c>
      <c r="B461" s="99" t="str">
        <f>'Resultater - Vestdanmark'!B461</f>
        <v/>
      </c>
      <c r="C461" s="99" t="str">
        <f>'Resultater - Vestdanmark'!C461</f>
        <v/>
      </c>
      <c r="D461" s="99" t="str">
        <f>'Resultater - Vestdanmark'!D461</f>
        <v>Pil &amp; poppel</v>
      </c>
      <c r="E461" s="99" t="str">
        <f>'Resultater - Vestdanmark'!E461</f>
        <v>Ton</v>
      </c>
      <c r="F461" s="99" t="str">
        <f>'Resultater - Vestdanmark'!F461</f>
        <v>Energi</v>
      </c>
      <c r="G461" s="99" t="str">
        <f>'Resultater - Vestdanmark'!G461</f>
        <v>PJ</v>
      </c>
      <c r="H461" s="307">
        <f>'Resultater - Vestdanmark'!H461+'Resultater - Østdanmark'!H461</f>
        <v>3.8599959280679998</v>
      </c>
      <c r="I461" s="309">
        <f>'Resultater - Vestdanmark'!I461+'Resultater - Østdanmark'!I461</f>
        <v>2.3724334872468562</v>
      </c>
      <c r="J461" s="310">
        <f>'Resultater - Vestdanmark'!J461+'Resultater - Østdanmark'!J461</f>
        <v>2.3384088202616944</v>
      </c>
      <c r="L461" s="172" t="s">
        <v>228</v>
      </c>
      <c r="M461" s="170">
        <v>1988.19</v>
      </c>
    </row>
    <row r="462" spans="1:13" hidden="1" x14ac:dyDescent="0.25">
      <c r="A462" s="99" t="str">
        <f>'Resultater - Vestdanmark'!A462</f>
        <v>Til energi</v>
      </c>
      <c r="B462" s="99" t="str">
        <f>'Resultater - Vestdanmark'!B462</f>
        <v/>
      </c>
      <c r="C462" s="99" t="str">
        <f>'Resultater - Vestdanmark'!C462</f>
        <v/>
      </c>
      <c r="D462" s="99" t="str">
        <f>'Resultater - Vestdanmark'!D462</f>
        <v>Træ til energi</v>
      </c>
      <c r="E462" s="99" t="str">
        <f>'Resultater - Vestdanmark'!E462</f>
        <v>m3</v>
      </c>
      <c r="F462" s="99" t="str">
        <f>'Resultater - Vestdanmark'!F462</f>
        <v>Energi</v>
      </c>
      <c r="G462" s="99" t="str">
        <f>'Resultater - Vestdanmark'!G462</f>
        <v>PJ</v>
      </c>
      <c r="H462" s="307">
        <f>'Resultater - Vestdanmark'!H462+'Resultater - Østdanmark'!H462</f>
        <v>43.629098996273854</v>
      </c>
      <c r="I462" s="309">
        <f>'Resultater - Vestdanmark'!I462+'Resultater - Østdanmark'!I462</f>
        <v>41.288597648257841</v>
      </c>
      <c r="J462" s="310">
        <f>'Resultater - Vestdanmark'!J462+'Resultater - Østdanmark'!J462</f>
        <v>38.976205298377508</v>
      </c>
      <c r="L462" s="172" t="s">
        <v>229</v>
      </c>
      <c r="M462" s="170">
        <v>8944.93</v>
      </c>
    </row>
    <row r="463" spans="1:13" hidden="1" x14ac:dyDescent="0.25">
      <c r="A463" s="99" t="str">
        <f>'Resultater - Vestdanmark'!A463</f>
        <v>Til energi</v>
      </c>
      <c r="B463" s="99" t="str">
        <f>'Resultater - Vestdanmark'!B463</f>
        <v/>
      </c>
      <c r="C463" s="99" t="str">
        <f>'Resultater - Vestdanmark'!C463</f>
        <v/>
      </c>
      <c r="D463" s="99" t="str">
        <f>'Resultater - Vestdanmark'!D463</f>
        <v>Have/parkaffald</v>
      </c>
      <c r="E463" s="99" t="str">
        <f>'Resultater - Vestdanmark'!E463</f>
        <v>Ton</v>
      </c>
      <c r="F463" s="99" t="str">
        <f>'Resultater - Vestdanmark'!F463</f>
        <v>Energi</v>
      </c>
      <c r="G463" s="99" t="str">
        <f>'Resultater - Vestdanmark'!G463</f>
        <v>PJ</v>
      </c>
      <c r="H463" s="307">
        <f>'Resultater - Vestdanmark'!H463+'Resultater - Østdanmark'!H463</f>
        <v>17.543930524502301</v>
      </c>
      <c r="I463" s="309">
        <f>'Resultater - Vestdanmark'!I463+'Resultater - Østdanmark'!I463</f>
        <v>8.6192127373660057</v>
      </c>
      <c r="J463" s="310">
        <f>'Resultater - Vestdanmark'!J463+'Resultater - Østdanmark'!J463</f>
        <v>8.6192127373660021</v>
      </c>
      <c r="L463" s="172" t="s">
        <v>230</v>
      </c>
      <c r="M463" s="170">
        <v>18651.71</v>
      </c>
    </row>
    <row r="464" spans="1:13" hidden="1" x14ac:dyDescent="0.25">
      <c r="A464" s="99" t="str">
        <f>'Resultater - Vestdanmark'!A464</f>
        <v>Til energi</v>
      </c>
      <c r="B464" s="99" t="str">
        <f>'Resultater - Vestdanmark'!B464</f>
        <v/>
      </c>
      <c r="C464" s="99" t="str">
        <f>'Resultater - Vestdanmark'!C464</f>
        <v/>
      </c>
      <c r="D464" s="99" t="str">
        <f>'Resultater - Vestdanmark'!D464</f>
        <v>Bioaffald</v>
      </c>
      <c r="E464" s="99" t="str">
        <f>'Resultater - Vestdanmark'!E464</f>
        <v>Ton</v>
      </c>
      <c r="F464" s="99" t="str">
        <f>'Resultater - Vestdanmark'!F464</f>
        <v>Energi</v>
      </c>
      <c r="G464" s="99" t="str">
        <f>'Resultater - Vestdanmark'!G464</f>
        <v>PJ</v>
      </c>
      <c r="H464" s="307">
        <f ca="1">'Resultater - Vestdanmark'!H464+'Resultater - Østdanmark'!H464</f>
        <v>0</v>
      </c>
      <c r="I464" s="309">
        <f ca="1">'Resultater - Vestdanmark'!I464+'Resultater - Østdanmark'!I464</f>
        <v>0</v>
      </c>
      <c r="J464" s="310">
        <f ca="1">'Resultater - Vestdanmark'!J464+'Resultater - Østdanmark'!J464</f>
        <v>0</v>
      </c>
      <c r="L464" s="171" t="s">
        <v>112</v>
      </c>
      <c r="M464" s="170">
        <v>16604.849999999999</v>
      </c>
    </row>
    <row r="465" spans="1:13" s="173" customFormat="1" hidden="1" x14ac:dyDescent="0.25">
      <c r="A465" s="99" t="str">
        <f>'Resultater - Vestdanmark'!A465</f>
        <v>Til energi</v>
      </c>
      <c r="B465" s="99" t="str">
        <f>'Resultater - Vestdanmark'!B465</f>
        <v/>
      </c>
      <c r="C465" s="99" t="str">
        <f>'Resultater - Vestdanmark'!C465</f>
        <v/>
      </c>
      <c r="D465" s="99" t="str">
        <f>'Resultater - Vestdanmark'!D465</f>
        <v>Pyrolyseolie</v>
      </c>
      <c r="E465" s="99" t="str">
        <f>'Resultater - Vestdanmark'!E465</f>
        <v>Ton</v>
      </c>
      <c r="F465" s="99" t="str">
        <f>'Resultater - Vestdanmark'!F465</f>
        <v>Energi</v>
      </c>
      <c r="G465" s="99" t="str">
        <f>'Resultater - Vestdanmark'!G465</f>
        <v>PJ</v>
      </c>
      <c r="H465" s="307">
        <f>'Resultater - Vestdanmark'!H465+'Resultater - Østdanmark'!H465</f>
        <v>0</v>
      </c>
      <c r="I465" s="309">
        <f>'Resultater - Vestdanmark'!I465+'Resultater - Østdanmark'!I465</f>
        <v>5.5658319999999986</v>
      </c>
      <c r="J465" s="310">
        <f>'Resultater - Vestdanmark'!J465+'Resultater - Østdanmark'!J465</f>
        <v>5.5285711999999965</v>
      </c>
      <c r="L465" s="171"/>
      <c r="M465" s="170"/>
    </row>
    <row r="466" spans="1:13" s="173" customFormat="1" hidden="1" x14ac:dyDescent="0.25">
      <c r="A466" s="99" t="str">
        <f>'Resultater - Vestdanmark'!A466</f>
        <v>Til energi</v>
      </c>
      <c r="B466" s="99" t="str">
        <f>'Resultater - Vestdanmark'!B466</f>
        <v/>
      </c>
      <c r="C466" s="99" t="str">
        <f>'Resultater - Vestdanmark'!C466</f>
        <v/>
      </c>
      <c r="D466" s="99" t="str">
        <f>'Resultater - Vestdanmark'!D466</f>
        <v>Pyrolysegas</v>
      </c>
      <c r="E466" s="99" t="str">
        <f>'Resultater - Vestdanmark'!E466</f>
        <v>Ton</v>
      </c>
      <c r="F466" s="99" t="str">
        <f>'Resultater - Vestdanmark'!F466</f>
        <v>Energi</v>
      </c>
      <c r="G466" s="99" t="str">
        <f>'Resultater - Vestdanmark'!G466</f>
        <v>PJ</v>
      </c>
      <c r="H466" s="307">
        <f>'Resultater - Vestdanmark'!H466+'Resultater - Østdanmark'!H466</f>
        <v>0</v>
      </c>
      <c r="I466" s="309">
        <f>'Resultater - Vestdanmark'!I466+'Resultater - Østdanmark'!I466</f>
        <v>5.9969879999999982</v>
      </c>
      <c r="J466" s="310">
        <f>'Resultater - Vestdanmark'!J466+'Resultater - Østdanmark'!J466</f>
        <v>5.9568407999999966</v>
      </c>
      <c r="L466" s="171"/>
      <c r="M466" s="170"/>
    </row>
    <row r="467" spans="1:13" hidden="1" x14ac:dyDescent="0.25">
      <c r="A467" s="99" t="str">
        <f>'Resultater - Vestdanmark'!A467</f>
        <v>Til energi</v>
      </c>
      <c r="B467" s="99" t="str">
        <f>'Resultater - Vestdanmark'!B467</f>
        <v/>
      </c>
      <c r="C467" s="99" t="str">
        <f>'Resultater - Vestdanmark'!C467</f>
        <v/>
      </c>
      <c r="D467" s="99" t="str">
        <f>'Resultater - Vestdanmark'!D467</f>
        <v>Biogas</v>
      </c>
      <c r="E467" s="99" t="str">
        <f>'Resultater - Vestdanmark'!E467</f>
        <v>Nm3 CH4</v>
      </c>
      <c r="F467" s="99" t="str">
        <f>'Resultater - Vestdanmark'!F467</f>
        <v>Energi</v>
      </c>
      <c r="G467" s="99" t="str">
        <f>'Resultater - Vestdanmark'!G467</f>
        <v>PJ</v>
      </c>
      <c r="H467" s="311">
        <f ca="1">'Resultater - Vestdanmark'!H467+'Resultater - Østdanmark'!H467</f>
        <v>16.577233250100868</v>
      </c>
      <c r="I467" s="312">
        <f ca="1">'Resultater - Vestdanmark'!I467+'Resultater - Østdanmark'!I467</f>
        <v>23.82739559157331</v>
      </c>
      <c r="J467" s="313">
        <f ca="1">'Resultater - Vestdanmark'!J467+'Resultater - Østdanmark'!J467</f>
        <v>26.659734008387144</v>
      </c>
    </row>
    <row r="468" spans="1:13" hidden="1" x14ac:dyDescent="0.25">
      <c r="A468" s="159" t="str">
        <f>'Resultater - Vestdanmark'!A468</f>
        <v>Proteinproces</v>
      </c>
      <c r="B468" s="159" t="str">
        <f>'Resultater - Vestdanmark'!B468</f>
        <v/>
      </c>
      <c r="C468" s="159" t="str">
        <f>'Resultater - Vestdanmark'!C468</f>
        <v/>
      </c>
      <c r="D468" s="159" t="str">
        <f>'Resultater - Vestdanmark'!D468</f>
        <v>Græs</v>
      </c>
      <c r="E468" s="159" t="str">
        <f>'Resultater - Vestdanmark'!E468</f>
        <v>Ton</v>
      </c>
      <c r="F468" s="159" t="str">
        <f>'Resultater - Vestdanmark'!F468</f>
        <v>Græsprotein</v>
      </c>
      <c r="G468" s="159" t="str">
        <f>'Resultater - Vestdanmark'!G468</f>
        <v>Ton</v>
      </c>
      <c r="H468" s="314">
        <f>'Resultater - Vestdanmark'!H468+'Resultater - Østdanmark'!H468</f>
        <v>0</v>
      </c>
      <c r="I468" s="315">
        <f>'Resultater - Vestdanmark'!I468+'Resultater - Østdanmark'!I468</f>
        <v>2835.5628866673446</v>
      </c>
      <c r="J468" s="316">
        <f>'Resultater - Vestdanmark'!J468+'Resultater - Østdanmark'!J468</f>
        <v>2835.5628866673446</v>
      </c>
    </row>
    <row r="469" spans="1:13" hidden="1" x14ac:dyDescent="0.25">
      <c r="A469" s="159" t="str">
        <f>'Resultater - Vestdanmark'!A469</f>
        <v>Proteinproces</v>
      </c>
      <c r="B469" s="159" t="str">
        <f>'Resultater - Vestdanmark'!B469</f>
        <v/>
      </c>
      <c r="C469" s="159" t="str">
        <f>'Resultater - Vestdanmark'!C469</f>
        <v/>
      </c>
      <c r="D469" s="159" t="str">
        <f>'Resultater - Vestdanmark'!D469</f>
        <v>Græs</v>
      </c>
      <c r="E469" s="159" t="str">
        <f>'Resultater - Vestdanmark'!E469</f>
        <v>Ton</v>
      </c>
      <c r="F469" s="159" t="str">
        <f>'Resultater - Vestdanmark'!F469</f>
        <v>Fiberfraktion</v>
      </c>
      <c r="G469" s="159" t="str">
        <f>'Resultater - Vestdanmark'!G469</f>
        <v>Ton</v>
      </c>
      <c r="H469" s="314">
        <f>'Resultater - Vestdanmark'!H469+'Resultater - Østdanmark'!H469</f>
        <v>0</v>
      </c>
      <c r="I469" s="315">
        <f>'Resultater - Vestdanmark'!I469+'Resultater - Østdanmark'!I469</f>
        <v>5837.9235901974744</v>
      </c>
      <c r="J469" s="316">
        <f>'Resultater - Vestdanmark'!J469+'Resultater - Østdanmark'!J469</f>
        <v>5837.9235901974735</v>
      </c>
    </row>
    <row r="470" spans="1:13" hidden="1" x14ac:dyDescent="0.25">
      <c r="A470" s="159" t="str">
        <f>'Resultater - Vestdanmark'!A470</f>
        <v>Proteinproces</v>
      </c>
      <c r="B470" s="159" t="str">
        <f>'Resultater - Vestdanmark'!B470</f>
        <v/>
      </c>
      <c r="C470" s="159" t="str">
        <f>'Resultater - Vestdanmark'!C470</f>
        <v/>
      </c>
      <c r="D470" s="159" t="str">
        <f>'Resultater - Vestdanmark'!D470</f>
        <v>Græs</v>
      </c>
      <c r="E470" s="159" t="str">
        <f>'Resultater - Vestdanmark'!E470</f>
        <v>Ton</v>
      </c>
      <c r="F470" s="159" t="str">
        <f>'Resultater - Vestdanmark'!F470</f>
        <v>Brun saft</v>
      </c>
      <c r="G470" s="159" t="str">
        <f>'Resultater - Vestdanmark'!G470</f>
        <v>PJ</v>
      </c>
      <c r="H470" s="314">
        <f>'Resultater - Vestdanmark'!H470+'Resultater - Østdanmark'!H470</f>
        <v>0</v>
      </c>
      <c r="I470" s="315">
        <f>'Resultater - Vestdanmark'!I470+'Resultater - Østdanmark'!I470</f>
        <v>8288.5239236196685</v>
      </c>
      <c r="J470" s="316">
        <f>'Resultater - Vestdanmark'!J470+'Resultater - Østdanmark'!J470</f>
        <v>8288.5239236196685</v>
      </c>
    </row>
    <row r="471" spans="1:13" hidden="1" x14ac:dyDescent="0.25">
      <c r="A471" s="159" t="str">
        <f>'Resultater - Vestdanmark'!A471</f>
        <v>Rapskageproduktion</v>
      </c>
      <c r="B471" s="159" t="str">
        <f>'Resultater - Vestdanmark'!B471</f>
        <v/>
      </c>
      <c r="C471" s="159" t="str">
        <f>'Resultater - Vestdanmark'!C471</f>
        <v/>
      </c>
      <c r="D471" s="159" t="str">
        <f>'Resultater - Vestdanmark'!D471</f>
        <v>Raps</v>
      </c>
      <c r="E471" s="159" t="str">
        <f>'Resultater - Vestdanmark'!E471</f>
        <v>Ton</v>
      </c>
      <c r="F471" s="159" t="str">
        <f>'Resultater - Vestdanmark'!F471</f>
        <v>Rapskage</v>
      </c>
      <c r="G471" s="159" t="str">
        <f>'Resultater - Vestdanmark'!G471</f>
        <v>Ton</v>
      </c>
      <c r="H471" s="314">
        <f>'Resultater - Vestdanmark'!H471+'Resultater - Østdanmark'!H471</f>
        <v>339203.90863921517</v>
      </c>
      <c r="I471" s="315">
        <f>'Resultater - Vestdanmark'!I471+'Resultater - Østdanmark'!I471</f>
        <v>233906.5403121227</v>
      </c>
      <c r="J471" s="316">
        <f>'Resultater - Vestdanmark'!J471+'Resultater - Østdanmark'!J471</f>
        <v>230355.15506948991</v>
      </c>
    </row>
    <row r="472" spans="1:13" hidden="1" x14ac:dyDescent="0.25">
      <c r="A472" s="159" t="str">
        <f>'Resultater - Vestdanmark'!A472</f>
        <v>Rapskageproduktion</v>
      </c>
      <c r="B472" s="159" t="str">
        <f>'Resultater - Vestdanmark'!B472</f>
        <v/>
      </c>
      <c r="C472" s="159" t="str">
        <f>'Resultater - Vestdanmark'!C472</f>
        <v/>
      </c>
      <c r="D472" s="159" t="str">
        <f>'Resultater - Vestdanmark'!D472</f>
        <v>Raps</v>
      </c>
      <c r="E472" s="159" t="str">
        <f>'Resultater - Vestdanmark'!E472</f>
        <v>Ton</v>
      </c>
      <c r="F472" s="159" t="str">
        <f>'Resultater - Vestdanmark'!F472</f>
        <v>Rapsolie</v>
      </c>
      <c r="G472" s="159" t="str">
        <f>'Resultater - Vestdanmark'!G472</f>
        <v>Ton</v>
      </c>
      <c r="H472" s="314">
        <f>'Resultater - Vestdanmark'!H472+'Resultater - Østdanmark'!H472</f>
        <v>217090.50152909773</v>
      </c>
      <c r="I472" s="315">
        <f>'Resultater - Vestdanmark'!I472+'Resultater - Østdanmark'!I472</f>
        <v>149700.18579975853</v>
      </c>
      <c r="J472" s="316">
        <f>'Resultater - Vestdanmark'!J472+'Resultater - Østdanmark'!J472</f>
        <v>147427.29924447354</v>
      </c>
    </row>
    <row r="473" spans="1:13" hidden="1" x14ac:dyDescent="0.25">
      <c r="A473" s="159" t="str">
        <f>'Resultater - Vestdanmark'!A473</f>
        <v>Pyrolyseproces</v>
      </c>
      <c r="B473" s="159" t="str">
        <f>'Resultater - Vestdanmark'!B473</f>
        <v/>
      </c>
      <c r="C473" s="159" t="str">
        <f>'Resultater - Vestdanmark'!C473</f>
        <v/>
      </c>
      <c r="D473" s="159" t="str">
        <f>'Resultater - Vestdanmark'!D473</f>
        <v>Halm</v>
      </c>
      <c r="E473" s="159" t="str">
        <f>'Resultater - Vestdanmark'!E473</f>
        <v>Ton</v>
      </c>
      <c r="F473" s="159" t="str">
        <f>'Resultater - Vestdanmark'!F473</f>
        <v>CO2 - atmosfære</v>
      </c>
      <c r="G473" s="159" t="str">
        <f>'Resultater - Vestdanmark'!G473</f>
        <v>t CO2-ækvivalenter</v>
      </c>
      <c r="H473" s="314">
        <f>'Resultater - Vestdanmark'!H473+'Resultater - Østdanmark'!H473</f>
        <v>0</v>
      </c>
      <c r="I473" s="315">
        <f>'Resultater - Vestdanmark'!I473+'Resultater - Østdanmark'!I473</f>
        <v>-779936.66666666651</v>
      </c>
      <c r="J473" s="316">
        <f>'Resultater - Vestdanmark'!J473+'Resultater - Østdanmark'!J473</f>
        <v>-774715.33333333302</v>
      </c>
    </row>
    <row r="474" spans="1:13" hidden="1" x14ac:dyDescent="0.25">
      <c r="A474" s="159" t="str">
        <f>'Resultater - Vestdanmark'!A474</f>
        <v>Pyrolyseproces</v>
      </c>
      <c r="B474" s="159" t="str">
        <f>'Resultater - Vestdanmark'!B474</f>
        <v/>
      </c>
      <c r="C474" s="159" t="str">
        <f>'Resultater - Vestdanmark'!C474</f>
        <v/>
      </c>
      <c r="D474" s="159" t="str">
        <f>'Resultater - Vestdanmark'!D474</f>
        <v>Halm</v>
      </c>
      <c r="E474" s="159" t="str">
        <f>'Resultater - Vestdanmark'!E474</f>
        <v>Ton</v>
      </c>
      <c r="F474" s="159" t="str">
        <f>'Resultater - Vestdanmark'!F474</f>
        <v>Pyrolyseolie</v>
      </c>
      <c r="G474" s="159" t="str">
        <f>'Resultater - Vestdanmark'!G474</f>
        <v>Ton</v>
      </c>
      <c r="H474" s="314">
        <f>'Resultater - Vestdanmark'!H474+'Resultater - Østdanmark'!H474</f>
        <v>0</v>
      </c>
      <c r="I474" s="315">
        <f>'Resultater - Vestdanmark'!I474+'Resultater - Østdanmark'!I474</f>
        <v>167300</v>
      </c>
      <c r="J474" s="316">
        <f>'Resultater - Vestdanmark'!J474+'Resultater - Østdanmark'!J474</f>
        <v>166179.99999999994</v>
      </c>
    </row>
    <row r="475" spans="1:13" ht="15.75" hidden="1" thickBot="1" x14ac:dyDescent="0.3">
      <c r="A475" s="159" t="str">
        <f>'Resultater - Vestdanmark'!A475</f>
        <v>Pyrolyseproces</v>
      </c>
      <c r="B475" s="159" t="str">
        <f>'Resultater - Vestdanmark'!B475</f>
        <v/>
      </c>
      <c r="C475" s="159" t="str">
        <f>'Resultater - Vestdanmark'!C475</f>
        <v/>
      </c>
      <c r="D475" s="159" t="str">
        <f>'Resultater - Vestdanmark'!D475</f>
        <v>Halm</v>
      </c>
      <c r="E475" s="159" t="str">
        <f>'Resultater - Vestdanmark'!E475</f>
        <v>Ton</v>
      </c>
      <c r="F475" s="159" t="str">
        <f>'Resultater - Vestdanmark'!F475</f>
        <v>Pyrolysegas</v>
      </c>
      <c r="G475" s="159" t="str">
        <f>'Resultater - Vestdanmark'!G475</f>
        <v>Ton</v>
      </c>
      <c r="H475" s="317">
        <f>'Resultater - Vestdanmark'!H475+'Resultater - Østdanmark'!H475</f>
        <v>0</v>
      </c>
      <c r="I475" s="318">
        <f>'Resultater - Vestdanmark'!I475+'Resultater - Østdanmark'!I475</f>
        <v>669200</v>
      </c>
      <c r="J475" s="319">
        <f>'Resultater - Vestdanmark'!J475+'Resultater - Østdanmark'!J475</f>
        <v>664719.99999999977</v>
      </c>
    </row>
    <row r="476" spans="1:13" x14ac:dyDescent="0.25">
      <c r="A476" s="99"/>
      <c r="B476" s="99"/>
      <c r="C476" s="99"/>
      <c r="D476" s="99"/>
      <c r="E476" s="99"/>
      <c r="F476" s="99"/>
      <c r="G476" s="99"/>
      <c r="H476" s="98"/>
      <c r="I476" s="98"/>
      <c r="J476" s="98"/>
    </row>
    <row r="477" spans="1:13" x14ac:dyDescent="0.25">
      <c r="A477" s="99"/>
      <c r="B477" s="99"/>
      <c r="C477" s="99"/>
      <c r="D477" s="99"/>
      <c r="E477" s="99"/>
      <c r="F477" s="99"/>
      <c r="G477" s="99"/>
      <c r="H477" s="98"/>
      <c r="I477" s="98"/>
      <c r="J477" s="98"/>
    </row>
    <row r="478" spans="1:13" x14ac:dyDescent="0.25">
      <c r="A478" s="99"/>
      <c r="B478" s="99"/>
      <c r="C478" s="99"/>
      <c r="D478" s="99"/>
      <c r="E478" s="99"/>
      <c r="F478" s="99"/>
      <c r="G478" s="99"/>
      <c r="H478" s="98"/>
      <c r="I478" s="98"/>
      <c r="J478" s="98"/>
    </row>
    <row r="479" spans="1:13" x14ac:dyDescent="0.25">
      <c r="A479" s="99"/>
      <c r="B479" s="99"/>
      <c r="C479" s="99"/>
      <c r="D479" s="99"/>
      <c r="E479" s="99"/>
      <c r="F479" s="99"/>
      <c r="G479" s="99"/>
      <c r="H479" s="98"/>
      <c r="I479" s="98"/>
      <c r="J479" s="98"/>
    </row>
    <row r="480" spans="1:13" x14ac:dyDescent="0.25">
      <c r="A480" s="99"/>
      <c r="B480" s="99"/>
      <c r="C480" s="99"/>
      <c r="D480" s="99"/>
      <c r="E480" s="99"/>
      <c r="F480" s="99"/>
      <c r="G480" s="99"/>
      <c r="H480" s="98"/>
      <c r="I480" s="98"/>
      <c r="J480" s="98"/>
    </row>
    <row r="481" spans="1:10" x14ac:dyDescent="0.25">
      <c r="A481" s="99"/>
      <c r="B481" s="99"/>
      <c r="C481" s="99"/>
      <c r="D481" s="99"/>
      <c r="E481" s="99"/>
      <c r="F481" s="99"/>
      <c r="G481" s="99"/>
      <c r="H481" s="98"/>
      <c r="I481" s="98"/>
      <c r="J481" s="98"/>
    </row>
    <row r="482" spans="1:10" x14ac:dyDescent="0.25">
      <c r="A482" s="99"/>
      <c r="B482" s="99"/>
      <c r="C482" s="99"/>
      <c r="D482" s="99"/>
      <c r="E482" s="99"/>
      <c r="F482" s="99"/>
      <c r="G482" s="99"/>
      <c r="H482" s="98"/>
      <c r="I482" s="98"/>
      <c r="J482" s="98"/>
    </row>
    <row r="483" spans="1:10" x14ac:dyDescent="0.25">
      <c r="A483" s="99"/>
      <c r="B483" s="99"/>
      <c r="C483" s="99"/>
      <c r="D483" s="99"/>
      <c r="E483" s="99"/>
      <c r="F483" s="99"/>
      <c r="G483" s="99"/>
      <c r="H483" s="98"/>
      <c r="I483" s="98"/>
      <c r="J483" s="98"/>
    </row>
    <row r="484" spans="1:10" x14ac:dyDescent="0.25">
      <c r="A484" s="99"/>
      <c r="B484" s="99"/>
      <c r="C484" s="99"/>
      <c r="D484" s="99"/>
      <c r="E484" s="99"/>
      <c r="F484" s="99"/>
      <c r="G484" s="99"/>
      <c r="H484" s="98"/>
      <c r="I484" s="98"/>
      <c r="J484" s="98"/>
    </row>
    <row r="485" spans="1:10" x14ac:dyDescent="0.25">
      <c r="A485" s="99"/>
      <c r="B485" s="99"/>
      <c r="C485" s="99"/>
      <c r="D485" s="99"/>
      <c r="E485" s="99"/>
      <c r="F485" s="99"/>
      <c r="G485" s="99"/>
      <c r="H485" s="98"/>
      <c r="I485" s="98"/>
      <c r="J485" s="98"/>
    </row>
    <row r="486" spans="1:10" x14ac:dyDescent="0.25">
      <c r="A486" s="99"/>
      <c r="B486" s="99"/>
      <c r="C486" s="99"/>
      <c r="D486" s="99"/>
      <c r="E486" s="99"/>
      <c r="F486" s="99"/>
      <c r="G486" s="99"/>
      <c r="H486" s="98"/>
      <c r="I486" s="98"/>
      <c r="J486" s="98"/>
    </row>
    <row r="487" spans="1:10" x14ac:dyDescent="0.25">
      <c r="A487" s="99"/>
      <c r="B487" s="99"/>
      <c r="C487" s="99"/>
      <c r="D487" s="99"/>
      <c r="E487" s="99"/>
      <c r="F487" s="99"/>
      <c r="G487" s="99"/>
      <c r="H487" s="98"/>
      <c r="I487" s="98"/>
      <c r="J487" s="98"/>
    </row>
    <row r="488" spans="1:10" x14ac:dyDescent="0.25">
      <c r="H488" s="98"/>
      <c r="I488" s="98"/>
      <c r="J488" s="98"/>
    </row>
    <row r="489" spans="1:10" x14ac:dyDescent="0.25">
      <c r="H489" s="98"/>
      <c r="I489" s="98"/>
      <c r="J489" s="98"/>
    </row>
  </sheetData>
  <autoFilter ref="A2:O475" xr:uid="{0BA69478-A184-4362-901E-6AC334CD2ACE}">
    <filterColumn colId="5">
      <filters>
        <filter val="Halm"/>
      </filters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A3" sqref="A3:N190"/>
    </sheetView>
  </sheetViews>
  <sheetFormatPr defaultColWidth="18" defaultRowHeight="15" x14ac:dyDescent="0.25"/>
  <cols>
    <col min="1" max="2" width="18.140625" style="194" bestFit="1" customWidth="1"/>
    <col min="3" max="3" width="8.140625" style="194" bestFit="1" customWidth="1"/>
    <col min="4" max="4" width="7.85546875" style="194" customWidth="1"/>
    <col min="5" max="5" width="11.140625" style="194" bestFit="1" customWidth="1"/>
    <col min="6" max="6" width="14.28515625" style="194" bestFit="1" customWidth="1"/>
    <col min="7" max="7" width="10.7109375" style="194" bestFit="1" customWidth="1"/>
    <col min="8" max="8" width="11.7109375" style="194" bestFit="1" customWidth="1"/>
    <col min="9" max="9" width="9" style="194" bestFit="1" customWidth="1"/>
    <col min="10" max="11" width="9.5703125" style="194" bestFit="1" customWidth="1"/>
    <col min="12" max="12" width="10.5703125" style="194" bestFit="1" customWidth="1"/>
    <col min="13" max="13" width="20" style="104" bestFit="1" customWidth="1"/>
    <col min="14" max="14" width="26.42578125" style="104" bestFit="1" customWidth="1"/>
    <col min="15" max="15" width="21.42578125" style="104" bestFit="1" customWidth="1"/>
    <col min="16" max="16" width="20.5703125" style="104" bestFit="1" customWidth="1"/>
    <col min="17" max="17" width="20.28515625" style="104" bestFit="1" customWidth="1"/>
    <col min="18" max="18" width="19.85546875" style="104" bestFit="1" customWidth="1"/>
    <col min="19" max="19" width="18.5703125" style="104" bestFit="1" customWidth="1"/>
    <col min="20" max="20" width="23.7109375" style="104" bestFit="1" customWidth="1"/>
    <col min="21" max="21" width="24" style="104" bestFit="1" customWidth="1"/>
    <col min="22" max="22" width="23.42578125" style="104" bestFit="1" customWidth="1"/>
    <col min="23" max="23" width="22.28515625" style="104" bestFit="1" customWidth="1"/>
    <col min="24" max="24" width="27.42578125" style="104" bestFit="1" customWidth="1"/>
    <col min="25" max="16384" width="18" style="104"/>
  </cols>
  <sheetData>
    <row r="1" spans="1:26" ht="15.75" thickTop="1" x14ac:dyDescent="0.25">
      <c r="A1" s="352" t="s">
        <v>266</v>
      </c>
      <c r="B1" s="352"/>
      <c r="C1" s="352"/>
      <c r="F1" s="353" t="s">
        <v>268</v>
      </c>
      <c r="G1" s="353"/>
      <c r="H1" s="353"/>
      <c r="I1" s="353"/>
      <c r="J1" s="353"/>
      <c r="K1" s="353"/>
      <c r="L1" s="353"/>
      <c r="M1" s="354"/>
      <c r="N1" s="355" t="s">
        <v>269</v>
      </c>
      <c r="O1" s="356"/>
      <c r="P1" s="357"/>
      <c r="Q1" s="349" t="s">
        <v>125</v>
      </c>
      <c r="R1" s="349"/>
      <c r="S1" s="349"/>
      <c r="T1" s="350"/>
      <c r="U1" s="351" t="s">
        <v>241</v>
      </c>
      <c r="V1" s="349"/>
      <c r="W1" s="349"/>
      <c r="X1" s="350"/>
    </row>
    <row r="2" spans="1:26" x14ac:dyDescent="0.25">
      <c r="A2" s="201" t="s">
        <v>131</v>
      </c>
      <c r="B2" s="201" t="s">
        <v>341</v>
      </c>
      <c r="C2" s="201" t="s">
        <v>132</v>
      </c>
      <c r="D2" s="201" t="s">
        <v>59</v>
      </c>
      <c r="E2" s="201" t="s">
        <v>65</v>
      </c>
      <c r="F2" s="201" t="s">
        <v>135</v>
      </c>
      <c r="G2" s="201" t="s">
        <v>115</v>
      </c>
      <c r="H2" s="201" t="s">
        <v>127</v>
      </c>
      <c r="I2" s="201" t="s">
        <v>130</v>
      </c>
      <c r="J2" s="201" t="s">
        <v>112</v>
      </c>
      <c r="K2" s="201" t="s">
        <v>117</v>
      </c>
      <c r="L2" s="201" t="s">
        <v>123</v>
      </c>
      <c r="M2" s="192" t="s">
        <v>235</v>
      </c>
      <c r="N2" s="204" t="s">
        <v>267</v>
      </c>
      <c r="O2" s="201" t="s">
        <v>133</v>
      </c>
      <c r="P2" s="205" t="s">
        <v>198</v>
      </c>
      <c r="Q2" s="201" t="s">
        <v>134</v>
      </c>
      <c r="R2" s="201" t="s">
        <v>244</v>
      </c>
      <c r="S2" s="201" t="s">
        <v>245</v>
      </c>
      <c r="T2" s="203" t="s">
        <v>310</v>
      </c>
      <c r="U2" s="202" t="s">
        <v>247</v>
      </c>
      <c r="V2" s="201" t="s">
        <v>246</v>
      </c>
      <c r="W2" s="201" t="s">
        <v>248</v>
      </c>
      <c r="X2" s="203" t="s">
        <v>309</v>
      </c>
      <c r="Y2" s="96" t="s">
        <v>304</v>
      </c>
      <c r="Z2" s="201" t="s">
        <v>329</v>
      </c>
    </row>
    <row r="3" spans="1:26" x14ac:dyDescent="0.25">
      <c r="A3" s="196" t="s">
        <v>15</v>
      </c>
      <c r="B3" s="196"/>
      <c r="C3" s="196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6">
        <f t="shared" ref="D3:D15" si="0">År1</f>
        <v>2019</v>
      </c>
      <c r="E3" s="194" t="s">
        <v>24</v>
      </c>
      <c r="F3" s="197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4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7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9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6">
        <f>F3-SUM(G3:M3)</f>
        <v>185027.43463784308</v>
      </c>
      <c r="O3" s="197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7">
        <f>SUM(J3,L3)</f>
        <v>0</v>
      </c>
      <c r="Q3" s="194">
        <f>IFERROR(VLOOKUP(A3,[1]Energiindhold!$A$2:$C$11,3,FALSE),IFERROR(VLOOKUP(A3,[1]Biogasudbytte!$A$2:$B$18,2,FALSE)*[1]Energiindhold!$C$10,0))*O3</f>
        <v>0</v>
      </c>
      <c r="R3" s="194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4">
        <f>IFERROR(VLOOKUP(A3,[1]Biogasudbytte!$A$2:$B$18,2,FALSE)*[1]Energiindhold!$C$10,0)*J3*IFERROR(VLOOKUP(A3,Biogasanlæg!$F$3:$G$8,2,FALSE),1)</f>
        <v>0</v>
      </c>
      <c r="T3" s="195">
        <f>R3-S3</f>
        <v>0</v>
      </c>
      <c r="U3" s="193">
        <f>O3*IFERROR(VLOOKUP(A3,[1]Tørstofindhold!A$2:B$25,2,FALSE),0)</f>
        <v>0</v>
      </c>
      <c r="V3" s="194">
        <f>IF(D3=År1,P3,SUM(O3,P3))*IFERROR(VLOOKUP(A3,[1]Tørstofindhold!A$2:B$25,2,FALSE),0)</f>
        <v>0</v>
      </c>
      <c r="W3" s="194">
        <f>J3*IFERROR(VLOOKUP(A3,[1]Tørstofindhold!A$2:B$25,2,FALSE),0)</f>
        <v>0</v>
      </c>
      <c r="X3" s="195">
        <f>V3-W3</f>
        <v>0</v>
      </c>
      <c r="Y3" s="173">
        <f t="shared" ref="Y3:Y66" si="2">IF(SUMIFS($N$3:$N$290,$A$3:$A$290,A3,$D$3:$D$290,D3)&lt;0,1,0)</f>
        <v>0</v>
      </c>
      <c r="Z3" s="104">
        <f t="shared" ref="Z3:Z66" si="3">IF(SUMIFS($N$3:$N$290,$A$3:$A$290,A3,$D$3:$D$290,D3)&gt;0,1,0)</f>
        <v>1</v>
      </c>
    </row>
    <row r="4" spans="1:26" x14ac:dyDescent="0.25">
      <c r="A4" s="196" t="s">
        <v>50</v>
      </c>
      <c r="B4" s="196"/>
      <c r="C4" s="196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6">
        <f t="shared" si="0"/>
        <v>2019</v>
      </c>
      <c r="E4" s="194" t="s">
        <v>24</v>
      </c>
      <c r="F4" s="197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4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7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9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6">
        <f t="shared" ref="N4:N15" si="4">F4-SUM(G4:M4)</f>
        <v>193587.85406079434</v>
      </c>
      <c r="O4" s="197">
        <f t="shared" si="1"/>
        <v>0</v>
      </c>
      <c r="P4" s="207">
        <f t="shared" ref="P4:P15" si="5">SUM(J4,L4)</f>
        <v>0</v>
      </c>
      <c r="Q4" s="194">
        <f>IFERROR(VLOOKUP(A4,[1]Energiindhold!$A$2:$C$11,3,FALSE),IFERROR(VLOOKUP(A4,[1]Biogasudbytte!$A$2:$B$18,2,FALSE)*[1]Energiindhold!$C$10,0))*O4</f>
        <v>0</v>
      </c>
      <c r="R4" s="194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4">
        <f>IFERROR(VLOOKUP(A4,[1]Biogasudbytte!$A$2:$B$18,2,FALSE)*[1]Energiindhold!$C$10,0)*J4*IFERROR(VLOOKUP(A4,Biogasanlæg!$F$3:$G$8,2,FALSE),1)</f>
        <v>0</v>
      </c>
      <c r="T4" s="195">
        <f t="shared" ref="T4:T15" si="6">R4-S4</f>
        <v>0</v>
      </c>
      <c r="U4" s="193">
        <f>O4*IFERROR(VLOOKUP(A4,[1]Tørstofindhold!A$2:B$25,2,FALSE),0)</f>
        <v>0</v>
      </c>
      <c r="V4" s="194">
        <f>IF(D4=År1,P4,SUM(O4,P4))*IFERROR(VLOOKUP(A4,[1]Tørstofindhold!A$2:B$25,2,FALSE),0)</f>
        <v>0</v>
      </c>
      <c r="W4" s="194">
        <f>J4*IFERROR(VLOOKUP(A4,[1]Tørstofindhold!A$2:B$25,2,FALSE),0)</f>
        <v>0</v>
      </c>
      <c r="X4" s="195">
        <f t="shared" ref="X4:X15" si="7">V4-W4</f>
        <v>0</v>
      </c>
      <c r="Y4" s="173">
        <f t="shared" si="2"/>
        <v>0</v>
      </c>
      <c r="Z4" s="104">
        <f t="shared" si="3"/>
        <v>1</v>
      </c>
    </row>
    <row r="5" spans="1:26" x14ac:dyDescent="0.25">
      <c r="A5" s="196" t="s">
        <v>104</v>
      </c>
      <c r="B5" s="196" t="s">
        <v>242</v>
      </c>
      <c r="C5" s="196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6">
        <f t="shared" si="0"/>
        <v>2019</v>
      </c>
      <c r="E5" s="194" t="s">
        <v>24</v>
      </c>
      <c r="F5" s="197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4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7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7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9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6">
        <f t="shared" ca="1" si="4"/>
        <v>-199952.34120163022</v>
      </c>
      <c r="O5" s="197">
        <f t="shared" ca="1" si="1"/>
        <v>0</v>
      </c>
      <c r="P5" s="207">
        <f t="shared" ca="1" si="5"/>
        <v>393543.64426779439</v>
      </c>
      <c r="Q5" s="194">
        <f ca="1">IFERROR(VLOOKUP(A5,[1]Energiindhold!$A$2:$C$11,3,FALSE),IFERROR(VLOOKUP(A5,[1]Biogasudbytte!$A$2:$B$18,2,FALSE)*[1]Energiindhold!$C$10,0))*O5</f>
        <v>0</v>
      </c>
      <c r="R5" s="194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4">
        <f ca="1">IFERROR(VLOOKUP(A5,[1]Biogasudbytte!$A$2:$B$18,2,FALSE)*[1]Energiindhold!$C$10,0)*J5*IFERROR(VLOOKUP(A5,Biogasanlæg!$F$3:$G$8,2,FALSE),1)</f>
        <v>1.2066909993831525</v>
      </c>
      <c r="T5" s="195">
        <f t="shared" ca="1" si="6"/>
        <v>0</v>
      </c>
      <c r="U5" s="193">
        <f ca="1">O5*IFERROR(VLOOKUP(A5,[1]Tørstofindhold!A$2:B$25,2,FALSE),0)</f>
        <v>0</v>
      </c>
      <c r="V5" s="194">
        <f ca="1">IF(D5=År1,P5,SUM(O5,P5))*IFERROR(VLOOKUP(A5,[1]Tørstofindhold!A$2:B$25,2,FALSE),0)</f>
        <v>110192.22039498243</v>
      </c>
      <c r="W5" s="194">
        <f ca="1">J5*IFERROR(VLOOKUP(A5,[1]Tørstofindhold!A$2:B$25,2,FALSE),0)</f>
        <v>110192.22039498243</v>
      </c>
      <c r="X5" s="195">
        <f t="shared" ca="1" si="7"/>
        <v>0</v>
      </c>
      <c r="Y5" s="173">
        <f t="shared" ca="1" si="2"/>
        <v>1</v>
      </c>
      <c r="Z5" s="104">
        <f t="shared" ca="1" si="3"/>
        <v>0</v>
      </c>
    </row>
    <row r="6" spans="1:26" x14ac:dyDescent="0.25">
      <c r="A6" s="196" t="s">
        <v>112</v>
      </c>
      <c r="B6" s="196"/>
      <c r="C6" s="196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6">
        <f t="shared" si="0"/>
        <v>2019</v>
      </c>
      <c r="E6" s="194" t="s">
        <v>24</v>
      </c>
      <c r="F6" s="197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4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7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9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6">
        <f t="shared" ca="1" si="4"/>
        <v>0</v>
      </c>
      <c r="O6" s="197">
        <f t="shared" ca="1" si="1"/>
        <v>0</v>
      </c>
      <c r="P6" s="207">
        <f t="shared" ca="1" si="5"/>
        <v>352607214.55648875</v>
      </c>
      <c r="Q6" s="194">
        <f ca="1">IFERROR(VLOOKUP(A6,[1]Energiindhold!$A$2:$C$11,3,FALSE),IFERROR(VLOOKUP(A6,[1]Biogasudbytte!$A$2:$B$18,2,FALSE)*[1]Energiindhold!$C$10,0))*O6</f>
        <v>0</v>
      </c>
      <c r="R6" s="194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4">
        <f>IFERROR(VLOOKUP(A6,[1]Biogasudbytte!$A$2:$B$18,2,FALSE)*[1]Energiindhold!$C$10,0)*J6*IFERROR(VLOOKUP(A6,Biogasanlæg!$F$3:$G$8,2,FALSE),1)</f>
        <v>0</v>
      </c>
      <c r="T6" s="195">
        <f t="shared" si="6"/>
        <v>0</v>
      </c>
      <c r="U6" s="193">
        <f ca="1">O6*IFERROR(VLOOKUP(A6,[1]Tørstofindhold!A$2:B$25,2,FALSE),0)</f>
        <v>0</v>
      </c>
      <c r="V6" s="194">
        <f ca="1">IF(D6=År1,P6,SUM(O6,P6))*IFERROR(VLOOKUP(A6,[1]Tørstofindhold!A$2:B$25,2,FALSE),0)</f>
        <v>0</v>
      </c>
      <c r="W6" s="194">
        <f>J6*IFERROR(VLOOKUP(A6,[1]Tørstofindhold!A$2:B$25,2,FALSE),0)</f>
        <v>0</v>
      </c>
      <c r="X6" s="195">
        <f t="shared" ca="1" si="7"/>
        <v>0</v>
      </c>
      <c r="Y6" s="173">
        <f t="shared" ca="1" si="2"/>
        <v>0</v>
      </c>
      <c r="Z6" s="104">
        <f t="shared" ca="1" si="3"/>
        <v>0</v>
      </c>
    </row>
    <row r="7" spans="1:26" x14ac:dyDescent="0.25">
      <c r="A7" s="196" t="s">
        <v>113</v>
      </c>
      <c r="B7" s="196"/>
      <c r="C7" s="196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6">
        <f t="shared" si="0"/>
        <v>2019</v>
      </c>
      <c r="E7" s="194" t="s">
        <v>24</v>
      </c>
      <c r="F7" s="197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4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7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7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9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6">
        <f t="shared" ca="1" si="4"/>
        <v>2569365.51571796</v>
      </c>
      <c r="O7" s="197">
        <f t="shared" si="1"/>
        <v>0</v>
      </c>
      <c r="P7" s="207">
        <f t="shared" si="5"/>
        <v>0</v>
      </c>
      <c r="Q7" s="194">
        <f>IFERROR(VLOOKUP(A7,[1]Energiindhold!$A$2:$C$11,3,FALSE),IFERROR(VLOOKUP(A7,[1]Biogasudbytte!$A$2:$B$18,2,FALSE)*[1]Energiindhold!$C$10,0))*O7</f>
        <v>0</v>
      </c>
      <c r="R7" s="194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4">
        <f>IFERROR(VLOOKUP(A7,[1]Biogasudbytte!$A$2:$B$18,2,FALSE)*[1]Energiindhold!$C$10,0)*J7*IFERROR(VLOOKUP(A7,Biogasanlæg!$F$3:$G$8,2,FALSE),1)</f>
        <v>0</v>
      </c>
      <c r="T7" s="195">
        <f t="shared" si="6"/>
        <v>0</v>
      </c>
      <c r="U7" s="193">
        <f>O7*IFERROR(VLOOKUP(A7,[1]Tørstofindhold!A$2:B$25,2,FALSE),0)</f>
        <v>0</v>
      </c>
      <c r="V7" s="194">
        <f>IF(D7=År1,P7,SUM(O7,P7))*IFERROR(VLOOKUP(A7,[1]Tørstofindhold!A$2:B$25,2,FALSE),0)</f>
        <v>0</v>
      </c>
      <c r="W7" s="194">
        <f>J7*IFERROR(VLOOKUP(A7,[1]Tørstofindhold!A$2:B$25,2,FALSE),0)</f>
        <v>0</v>
      </c>
      <c r="X7" s="195">
        <f t="shared" si="7"/>
        <v>0</v>
      </c>
      <c r="Y7" s="173">
        <f t="shared" ca="1" si="2"/>
        <v>0</v>
      </c>
      <c r="Z7" s="104">
        <f t="shared" ca="1" si="3"/>
        <v>1</v>
      </c>
    </row>
    <row r="8" spans="1:26" x14ac:dyDescent="0.25">
      <c r="A8" s="196" t="s">
        <v>217</v>
      </c>
      <c r="B8" s="196" t="s">
        <v>242</v>
      </c>
      <c r="C8" s="196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6">
        <f t="shared" si="0"/>
        <v>2019</v>
      </c>
      <c r="E8" s="194" t="s">
        <v>24</v>
      </c>
      <c r="F8" s="197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4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7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9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6">
        <f t="shared" si="4"/>
        <v>0</v>
      </c>
      <c r="O8" s="197">
        <f t="shared" si="1"/>
        <v>0</v>
      </c>
      <c r="P8" s="207">
        <f t="shared" si="5"/>
        <v>0</v>
      </c>
      <c r="Q8" s="194">
        <f>IFERROR(VLOOKUP(A8,[1]Energiindhold!$A$2:$C$11,3,FALSE),IFERROR(VLOOKUP(A8,[1]Biogasudbytte!$A$2:$B$18,2,FALSE)*[1]Energiindhold!$C$10,0))*O8</f>
        <v>0</v>
      </c>
      <c r="R8" s="194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4">
        <f>IFERROR(VLOOKUP(A8,[1]Biogasudbytte!$A$2:$B$18,2,FALSE)*[1]Energiindhold!$C$10,0)*J8*IFERROR(VLOOKUP(A8,Biogasanlæg!$F$3:$G$8,2,FALSE),1)</f>
        <v>0</v>
      </c>
      <c r="T8" s="195">
        <f t="shared" si="6"/>
        <v>0</v>
      </c>
      <c r="U8" s="193">
        <f>O8*IFERROR(VLOOKUP(A8,[1]Tørstofindhold!A$2:B$25,2,FALSE),0)</f>
        <v>0</v>
      </c>
      <c r="V8" s="194">
        <f>IF(D8=År1,P8,SUM(O8,P8))*IFERROR(VLOOKUP(A8,[1]Tørstofindhold!A$2:B$25,2,FALSE),0)</f>
        <v>0</v>
      </c>
      <c r="W8" s="194">
        <f>J8*IFERROR(VLOOKUP(A8,[1]Tørstofindhold!A$2:B$25,2,FALSE),0)</f>
        <v>0</v>
      </c>
      <c r="X8" s="195">
        <f t="shared" si="7"/>
        <v>0</v>
      </c>
      <c r="Y8" s="173">
        <f t="shared" si="2"/>
        <v>0</v>
      </c>
      <c r="Z8" s="104">
        <f t="shared" si="3"/>
        <v>0</v>
      </c>
    </row>
    <row r="9" spans="1:26" x14ac:dyDescent="0.25">
      <c r="A9" s="194" t="s">
        <v>103</v>
      </c>
      <c r="B9" s="196" t="s">
        <v>234</v>
      </c>
      <c r="C9" s="196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6">
        <f t="shared" si="0"/>
        <v>2019</v>
      </c>
      <c r="E9" s="194" t="s">
        <v>24</v>
      </c>
      <c r="F9" s="197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4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7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9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6">
        <f t="shared" si="4"/>
        <v>1198807.4305444965</v>
      </c>
      <c r="O9" s="197">
        <f t="shared" si="1"/>
        <v>1198807.4305444965</v>
      </c>
      <c r="P9" s="207">
        <f>SUM(J9,L9)</f>
        <v>671194.67155029252</v>
      </c>
      <c r="Q9" s="194">
        <f>IFERROR(VLOOKUP(A9,[1]Energiindhold!$A$2:$C$11,3,FALSE),IFERROR(VLOOKUP(A9,[1]Biogasudbytte!$A$2:$B$18,2,FALSE)*[1]Energiindhold!$C$10,0))*O9</f>
        <v>2.5822312053928456</v>
      </c>
      <c r="R9" s="194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4">
        <f>IFERROR(VLOOKUP(A9,[1]Biogasudbytte!$A$2:$B$18,2,FALSE)*[1]Energiindhold!$C$10,0)*J9*IFERROR(VLOOKUP(A9,Biogasanlæg!$F$3:$G$8,2,FALSE),1)</f>
        <v>1.4457533225193302</v>
      </c>
      <c r="T9" s="195">
        <f t="shared" si="6"/>
        <v>0</v>
      </c>
      <c r="U9" s="193">
        <f>O9*IFERROR(VLOOKUP(A9,[1]Tørstofindhold!A$2:B$25,2,FALSE),0)</f>
        <v>359642.22916334897</v>
      </c>
      <c r="V9" s="194">
        <f>IF(D9=År1,P9,SUM(O9,P9))*IFERROR(VLOOKUP(A9,[1]Tørstofindhold!A$2:B$25,2,FALSE),0)</f>
        <v>201358.40146508775</v>
      </c>
      <c r="W9" s="194">
        <f>J9*IFERROR(VLOOKUP(A9,[1]Tørstofindhold!A$2:B$25,2,FALSE),0)</f>
        <v>201358.40146508775</v>
      </c>
      <c r="X9" s="195">
        <f t="shared" si="7"/>
        <v>0</v>
      </c>
      <c r="Y9" s="173">
        <f t="shared" si="2"/>
        <v>0</v>
      </c>
      <c r="Z9" s="104">
        <f t="shared" si="3"/>
        <v>1</v>
      </c>
    </row>
    <row r="10" spans="1:26" x14ac:dyDescent="0.25">
      <c r="A10" s="194" t="s">
        <v>213</v>
      </c>
      <c r="B10" s="196"/>
      <c r="C10" s="196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6">
        <f t="shared" si="0"/>
        <v>2019</v>
      </c>
      <c r="E10" s="194" t="s">
        <v>24</v>
      </c>
      <c r="F10" s="197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4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7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9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6">
        <f t="shared" si="4"/>
        <v>0</v>
      </c>
      <c r="O10" s="197">
        <f t="shared" si="1"/>
        <v>0</v>
      </c>
      <c r="P10" s="207">
        <f t="shared" si="5"/>
        <v>0</v>
      </c>
      <c r="Q10" s="194">
        <f>IFERROR(VLOOKUP(A10,[1]Energiindhold!$A$2:$C$11,3,FALSE),IFERROR(VLOOKUP(A10,[1]Biogasudbytte!$A$2:$B$18,2,FALSE)*[1]Energiindhold!$C$10,0))*O10</f>
        <v>0</v>
      </c>
      <c r="R10" s="194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4">
        <f>IFERROR(VLOOKUP(A10,[1]Biogasudbytte!$A$2:$B$18,2,FALSE)*[1]Energiindhold!$C$10,0)*J10*IFERROR(VLOOKUP(A10,Biogasanlæg!$F$3:$G$8,2,FALSE),1)</f>
        <v>0</v>
      </c>
      <c r="T10" s="195">
        <f t="shared" si="6"/>
        <v>0</v>
      </c>
      <c r="U10" s="193">
        <f>O10*IFERROR(VLOOKUP(A10,[1]Tørstofindhold!A$2:B$25,2,FALSE),0)</f>
        <v>0</v>
      </c>
      <c r="V10" s="194">
        <f>IF(D10=År1,P10,SUM(O10,P10))*IFERROR(VLOOKUP(A10,[1]Tørstofindhold!A$2:B$25,2,FALSE),0)</f>
        <v>0</v>
      </c>
      <c r="W10" s="194">
        <f>J10*IFERROR(VLOOKUP(A10,[1]Tørstofindhold!A$2:B$25,2,FALSE),0)</f>
        <v>0</v>
      </c>
      <c r="X10" s="195">
        <f t="shared" si="7"/>
        <v>0</v>
      </c>
      <c r="Y10" s="173">
        <f t="shared" si="2"/>
        <v>0</v>
      </c>
      <c r="Z10" s="104">
        <f t="shared" si="3"/>
        <v>0</v>
      </c>
    </row>
    <row r="11" spans="1:26" x14ac:dyDescent="0.25">
      <c r="A11" s="194" t="s">
        <v>143</v>
      </c>
      <c r="B11" s="196" t="s">
        <v>234</v>
      </c>
      <c r="C11" s="196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6">
        <f t="shared" si="0"/>
        <v>2019</v>
      </c>
      <c r="E11" s="194" t="s">
        <v>24</v>
      </c>
      <c r="F11" s="197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4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7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9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6">
        <f t="shared" si="4"/>
        <v>996.63864324012138</v>
      </c>
      <c r="O11" s="197">
        <f t="shared" si="1"/>
        <v>996.63864324012138</v>
      </c>
      <c r="P11" s="207">
        <f t="shared" si="5"/>
        <v>4103.8061780475591</v>
      </c>
      <c r="Q11" s="194">
        <f>IFERROR(VLOOKUP(A11,[1]Energiindhold!$A$2:$C$11,3,FALSE),IFERROR(VLOOKUP(A11,[1]Biogasudbytte!$A$2:$B$18,2,FALSE)*[1]Energiindhold!$C$10,0))*O11</f>
        <v>4.6870918752939668E-4</v>
      </c>
      <c r="R11" s="194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4">
        <f>IFERROR(VLOOKUP(A11,[1]Biogasudbytte!$A$2:$B$18,2,FALSE)*[1]Energiindhold!$C$10,0)*J11*IFERROR(VLOOKUP(A11,Biogasanlæg!$F$3:$G$8,2,FALSE),1)</f>
        <v>1.9299790074739866E-3</v>
      </c>
      <c r="T11" s="195">
        <f t="shared" si="6"/>
        <v>0</v>
      </c>
      <c r="U11" s="193">
        <f>O11*IFERROR(VLOOKUP(A11,[1]Tørstofindhold!A$2:B$25,2,FALSE),0)</f>
        <v>62.788234524127645</v>
      </c>
      <c r="V11" s="194">
        <f>IF(D11=År1,P11,SUM(O11,P11))*IFERROR(VLOOKUP(A11,[1]Tørstofindhold!A$2:B$25,2,FALSE),0)</f>
        <v>258.53978921699621</v>
      </c>
      <c r="W11" s="194">
        <f>J11*IFERROR(VLOOKUP(A11,[1]Tørstofindhold!A$2:B$25,2,FALSE),0)</f>
        <v>258.53978921699621</v>
      </c>
      <c r="X11" s="195">
        <f t="shared" si="7"/>
        <v>0</v>
      </c>
      <c r="Y11" s="173">
        <f t="shared" si="2"/>
        <v>0</v>
      </c>
      <c r="Z11" s="104">
        <f t="shared" si="3"/>
        <v>1</v>
      </c>
    </row>
    <row r="12" spans="1:26" x14ac:dyDescent="0.25">
      <c r="A12" s="194" t="s">
        <v>98</v>
      </c>
      <c r="B12" s="196"/>
      <c r="C12" s="196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6">
        <f t="shared" si="0"/>
        <v>2019</v>
      </c>
      <c r="E12" s="194" t="s">
        <v>24</v>
      </c>
      <c r="F12" s="197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4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7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9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6">
        <f t="shared" si="4"/>
        <v>151426.86140259454</v>
      </c>
      <c r="O12" s="197">
        <f t="shared" si="1"/>
        <v>0</v>
      </c>
      <c r="P12" s="207">
        <f t="shared" si="5"/>
        <v>0</v>
      </c>
      <c r="Q12" s="194">
        <f>IFERROR(VLOOKUP(A12,[1]Energiindhold!$A$2:$C$11,3,FALSE),IFERROR(VLOOKUP(A12,[1]Biogasudbytte!$A$2:$B$18,2,FALSE)*[1]Energiindhold!$C$10,0))*O12</f>
        <v>0</v>
      </c>
      <c r="R12" s="194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4">
        <f>IFERROR(VLOOKUP(A12,[1]Biogasudbytte!$A$2:$B$18,2,FALSE)*[1]Energiindhold!$C$10,0)*J12*IFERROR(VLOOKUP(A12,Biogasanlæg!$F$3:$G$8,2,FALSE),1)</f>
        <v>0</v>
      </c>
      <c r="T12" s="195">
        <f t="shared" si="6"/>
        <v>0</v>
      </c>
      <c r="U12" s="193">
        <f>O12*IFERROR(VLOOKUP(A12,[1]Tørstofindhold!A$2:B$25,2,FALSE),0)</f>
        <v>0</v>
      </c>
      <c r="V12" s="194">
        <f>IF(D12=År1,P12,SUM(O12,P12))*IFERROR(VLOOKUP(A12,[1]Tørstofindhold!A$2:B$25,2,FALSE),0)</f>
        <v>0</v>
      </c>
      <c r="W12" s="194">
        <f>J12*IFERROR(VLOOKUP(A12,[1]Tørstofindhold!A$2:B$25,2,FALSE),0)</f>
        <v>0</v>
      </c>
      <c r="X12" s="195">
        <f t="shared" si="7"/>
        <v>0</v>
      </c>
      <c r="Y12" s="173">
        <f t="shared" si="2"/>
        <v>0</v>
      </c>
      <c r="Z12" s="104">
        <f t="shared" si="3"/>
        <v>1</v>
      </c>
    </row>
    <row r="13" spans="1:26" x14ac:dyDescent="0.25">
      <c r="A13" s="194" t="s">
        <v>116</v>
      </c>
      <c r="B13" s="196"/>
      <c r="C13" s="196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6">
        <f t="shared" si="0"/>
        <v>2019</v>
      </c>
      <c r="E13" s="194" t="s">
        <v>24</v>
      </c>
      <c r="F13" s="197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4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7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9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6">
        <f t="shared" si="4"/>
        <v>890042.58416558511</v>
      </c>
      <c r="O13" s="197">
        <f t="shared" si="1"/>
        <v>0</v>
      </c>
      <c r="P13" s="207">
        <f t="shared" si="5"/>
        <v>0</v>
      </c>
      <c r="Q13" s="194">
        <f>IFERROR(VLOOKUP(A13,[1]Energiindhold!$A$2:$C$11,3,FALSE),IFERROR(VLOOKUP(A13,[1]Biogasudbytte!$A$2:$B$18,2,FALSE)*[1]Energiindhold!$C$10,0))*O13</f>
        <v>0</v>
      </c>
      <c r="R13" s="194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4">
        <f>IFERROR(VLOOKUP(A13,[1]Biogasudbytte!$A$2:$B$18,2,FALSE)*[1]Energiindhold!$C$10,0)*J13*IFERROR(VLOOKUP(A13,Biogasanlæg!$F$3:$G$8,2,FALSE),1)</f>
        <v>0</v>
      </c>
      <c r="T13" s="195">
        <f t="shared" si="6"/>
        <v>0</v>
      </c>
      <c r="U13" s="193">
        <f>O13*IFERROR(VLOOKUP(A13,[1]Tørstofindhold!A$2:B$25,2,FALSE),0)</f>
        <v>0</v>
      </c>
      <c r="V13" s="194">
        <f>IF(D13=År1,P13,SUM(O13,P13))*IFERROR(VLOOKUP(A13,[1]Tørstofindhold!A$2:B$25,2,FALSE),0)</f>
        <v>0</v>
      </c>
      <c r="W13" s="194">
        <f>J13*IFERROR(VLOOKUP(A13,[1]Tørstofindhold!A$2:B$25,2,FALSE),0)</f>
        <v>0</v>
      </c>
      <c r="X13" s="195">
        <f t="shared" si="7"/>
        <v>0</v>
      </c>
      <c r="Y13" s="173">
        <f t="shared" si="2"/>
        <v>0</v>
      </c>
      <c r="Z13" s="104">
        <f t="shared" si="3"/>
        <v>1</v>
      </c>
    </row>
    <row r="14" spans="1:26" x14ac:dyDescent="0.25">
      <c r="A14" s="194" t="s">
        <v>55</v>
      </c>
      <c r="B14" s="196"/>
      <c r="C14" s="196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6">
        <f t="shared" si="0"/>
        <v>2019</v>
      </c>
      <c r="E14" s="194" t="s">
        <v>24</v>
      </c>
      <c r="F14" s="197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4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7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9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6">
        <f t="shared" si="4"/>
        <v>-223630.22327361835</v>
      </c>
      <c r="O14" s="197">
        <f t="shared" si="1"/>
        <v>0</v>
      </c>
      <c r="P14" s="207">
        <f t="shared" si="5"/>
        <v>0</v>
      </c>
      <c r="Q14" s="194">
        <f>IFERROR(VLOOKUP(A14,[1]Energiindhold!$A$2:$C$11,3,FALSE),IFERROR(VLOOKUP(A14,[1]Biogasudbytte!$A$2:$B$18,2,FALSE)*[1]Energiindhold!$C$10,0))*O14</f>
        <v>0</v>
      </c>
      <c r="R14" s="194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4">
        <f>IFERROR(VLOOKUP(A14,[1]Biogasudbytte!$A$2:$B$18,2,FALSE)*[1]Energiindhold!$C$10,0)*J14*IFERROR(VLOOKUP(A14,Biogasanlæg!$F$3:$G$8,2,FALSE),1)</f>
        <v>0</v>
      </c>
      <c r="T14" s="195">
        <f t="shared" si="6"/>
        <v>0</v>
      </c>
      <c r="U14" s="193">
        <f>O14*IFERROR(VLOOKUP(A14,[1]Tørstofindhold!A$2:B$25,2,FALSE),0)</f>
        <v>0</v>
      </c>
      <c r="V14" s="194">
        <f>IF(D14=År1,P14,SUM(O14,P14))*IFERROR(VLOOKUP(A14,[1]Tørstofindhold!A$2:B$25,2,FALSE),0)</f>
        <v>0</v>
      </c>
      <c r="W14" s="194">
        <f>J14*IFERROR(VLOOKUP(A14,[1]Tørstofindhold!A$2:B$25,2,FALSE),0)</f>
        <v>0</v>
      </c>
      <c r="X14" s="195">
        <f t="shared" si="7"/>
        <v>0</v>
      </c>
      <c r="Y14" s="173">
        <f t="shared" si="2"/>
        <v>1</v>
      </c>
      <c r="Z14" s="104">
        <f t="shared" si="3"/>
        <v>0</v>
      </c>
    </row>
    <row r="15" spans="1:26" x14ac:dyDescent="0.25">
      <c r="A15" s="196" t="s">
        <v>165</v>
      </c>
      <c r="B15" s="196" t="s">
        <v>165</v>
      </c>
      <c r="C15" s="196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6">
        <f t="shared" si="0"/>
        <v>2019</v>
      </c>
      <c r="E15" s="194" t="s">
        <v>24</v>
      </c>
      <c r="F15" s="197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4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7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9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6">
        <f t="shared" si="4"/>
        <v>-114193.60000000001</v>
      </c>
      <c r="O15" s="197">
        <f t="shared" si="1"/>
        <v>0</v>
      </c>
      <c r="P15" s="207">
        <f t="shared" si="5"/>
        <v>114193.60000000001</v>
      </c>
      <c r="Q15" s="194">
        <f>IFERROR(VLOOKUP(A15,[1]Energiindhold!$A$2:$C$11,3,FALSE),IFERROR(VLOOKUP(A15,[1]Biogasudbytte!$A$2:$B$18,2,FALSE)*[1]Energiindhold!$C$10,0))*O15</f>
        <v>0</v>
      </c>
      <c r="R15" s="194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4">
        <f>IFERROR(VLOOKUP(A15,[1]Biogasudbytte!$A$2:$B$18,2,FALSE)*[1]Energiindhold!$C$10,0)*J15*IFERROR(VLOOKUP(A15,Biogasanlæg!$F$3:$G$8,2,FALSE),1)</f>
        <v>1.7355855896064003</v>
      </c>
      <c r="T15" s="195">
        <f t="shared" si="6"/>
        <v>0</v>
      </c>
      <c r="U15" s="193">
        <f>O15*IFERROR(VLOOKUP(A15,[1]Tørstofindhold!A$2:B$25,2,FALSE),0)</f>
        <v>0</v>
      </c>
      <c r="V15" s="194">
        <f>IF(D15=År1,P15,SUM(O15,P15))*IFERROR(VLOOKUP(A15,[1]Tørstofindhold!A$2:B$25,2,FALSE),0)</f>
        <v>102774.24</v>
      </c>
      <c r="W15" s="194">
        <f>J15*IFERROR(VLOOKUP(A15,[1]Tørstofindhold!A$2:B$25,2,FALSE),0)</f>
        <v>102774.24</v>
      </c>
      <c r="X15" s="195">
        <f t="shared" si="7"/>
        <v>0</v>
      </c>
      <c r="Y15" s="173">
        <f t="shared" si="2"/>
        <v>1</v>
      </c>
      <c r="Z15" s="104">
        <f t="shared" si="3"/>
        <v>0</v>
      </c>
    </row>
    <row r="16" spans="1:26" x14ac:dyDescent="0.25">
      <c r="A16" s="196" t="s">
        <v>52</v>
      </c>
      <c r="B16" s="196" t="s">
        <v>236</v>
      </c>
      <c r="C16" s="196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6">
        <f t="shared" ref="D16:D50" si="8">År1</f>
        <v>2019</v>
      </c>
      <c r="E16" s="194" t="s">
        <v>24</v>
      </c>
      <c r="F16" s="197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4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7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9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6">
        <f t="shared" ref="N16:N81" si="9">F16-SUM(G16:M16)</f>
        <v>3550175.4953867961</v>
      </c>
      <c r="O16" s="197">
        <f t="shared" si="1"/>
        <v>3550175.4953867961</v>
      </c>
      <c r="P16" s="207">
        <f t="shared" ref="P16:P81" si="10">SUM(J16,L16)</f>
        <v>75746.163899662715</v>
      </c>
      <c r="Q16" s="194">
        <f>IFERROR(VLOOKUP(A16,[1]Energiindhold!$A$2:$C$11,3,FALSE),IFERROR(VLOOKUP(A16,[1]Biogasudbytte!$A$2:$B$18,2,FALSE)*[1]Energiindhold!$C$10,0))*O16</f>
        <v>6.5318791395747819</v>
      </c>
      <c r="R16" s="194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4">
        <f>IFERROR(VLOOKUP(A16,[1]Biogasudbytte!$A$2:$B$18,2,FALSE)*[1]Energiindhold!$C$10,0)*J16*IFERROR(VLOOKUP(A16,Biogasanlæg!$F$3:$G$8,2,FALSE),1)</f>
        <v>0.13936347330489193</v>
      </c>
      <c r="T16" s="195">
        <f t="shared" ref="T16:T81" si="11">R16-S16</f>
        <v>0</v>
      </c>
      <c r="U16" s="193">
        <f>O16*IFERROR(VLOOKUP(A16,[1]Tørstofindhold!A$2:B$25,2,FALSE),0)</f>
        <v>994049.13870830298</v>
      </c>
      <c r="V16" s="194">
        <f>IF(D16=År1,P16,SUM(O16,P16))*IFERROR(VLOOKUP(A16,[1]Tørstofindhold!A$2:B$25,2,FALSE),0)</f>
        <v>21208.925891905561</v>
      </c>
      <c r="W16" s="194">
        <f>J16*IFERROR(VLOOKUP(A16,[1]Tørstofindhold!A$2:B$25,2,FALSE),0)</f>
        <v>21208.925891905561</v>
      </c>
      <c r="X16" s="195">
        <f t="shared" ref="X16:X81" si="12">V16-W16</f>
        <v>0</v>
      </c>
      <c r="Y16" s="173">
        <f t="shared" si="2"/>
        <v>0</v>
      </c>
      <c r="Z16" s="104">
        <f t="shared" si="3"/>
        <v>1</v>
      </c>
    </row>
    <row r="17" spans="1:26" x14ac:dyDescent="0.25">
      <c r="A17" s="196" t="s">
        <v>212</v>
      </c>
      <c r="B17" s="196"/>
      <c r="C17" s="196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6">
        <f t="shared" si="8"/>
        <v>2019</v>
      </c>
      <c r="E17" s="194" t="s">
        <v>24</v>
      </c>
      <c r="F17" s="197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4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7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9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6">
        <f t="shared" si="9"/>
        <v>0</v>
      </c>
      <c r="O17" s="197">
        <f t="shared" si="1"/>
        <v>0</v>
      </c>
      <c r="P17" s="207">
        <f t="shared" si="10"/>
        <v>0</v>
      </c>
      <c r="Q17" s="194">
        <f>IFERROR(VLOOKUP(A17,[1]Energiindhold!$A$2:$C$11,3,FALSE),IFERROR(VLOOKUP(A17,[1]Biogasudbytte!$A$2:$B$18,2,FALSE)*[1]Energiindhold!$C$10,0))*O17</f>
        <v>0</v>
      </c>
      <c r="R17" s="194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4">
        <f>IFERROR(VLOOKUP(A17,[1]Biogasudbytte!$A$2:$B$18,2,FALSE)*[1]Energiindhold!$C$10,0)*J17*IFERROR(VLOOKUP(A17,Biogasanlæg!$F$3:$G$8,2,FALSE),1)</f>
        <v>0</v>
      </c>
      <c r="T17" s="195">
        <f t="shared" si="11"/>
        <v>0</v>
      </c>
      <c r="U17" s="193">
        <f>O17*IFERROR(VLOOKUP(A17,[1]Tørstofindhold!A$2:B$25,2,FALSE),0)</f>
        <v>0</v>
      </c>
      <c r="V17" s="194">
        <f>IF(D17=År1,P17,SUM(O17,P17))*IFERROR(VLOOKUP(A17,[1]Tørstofindhold!A$2:B$25,2,FALSE),0)</f>
        <v>0</v>
      </c>
      <c r="W17" s="194">
        <f>J17*IFERROR(VLOOKUP(A17,[1]Tørstofindhold!A$2:B$25,2,FALSE),0)</f>
        <v>0</v>
      </c>
      <c r="X17" s="195">
        <f t="shared" si="12"/>
        <v>0</v>
      </c>
      <c r="Y17" s="173">
        <f t="shared" si="2"/>
        <v>0</v>
      </c>
      <c r="Z17" s="104">
        <f t="shared" si="3"/>
        <v>0</v>
      </c>
    </row>
    <row r="18" spans="1:26" x14ac:dyDescent="0.25">
      <c r="A18" s="196" t="s">
        <v>6</v>
      </c>
      <c r="B18" s="196"/>
      <c r="C18" s="196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6">
        <f t="shared" si="8"/>
        <v>2019</v>
      </c>
      <c r="E18" s="194" t="s">
        <v>24</v>
      </c>
      <c r="F18" s="197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4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7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9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6">
        <f t="shared" si="9"/>
        <v>-76844.925452788419</v>
      </c>
      <c r="O18" s="197">
        <f t="shared" si="1"/>
        <v>0</v>
      </c>
      <c r="P18" s="207">
        <f t="shared" si="10"/>
        <v>0</v>
      </c>
      <c r="Q18" s="194">
        <f>IFERROR(VLOOKUP(A18,[1]Energiindhold!$A$2:$C$11,3,FALSE),IFERROR(VLOOKUP(A18,[1]Biogasudbytte!$A$2:$B$18,2,FALSE)*[1]Energiindhold!$C$10,0))*O18</f>
        <v>0</v>
      </c>
      <c r="R18" s="194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4">
        <f>IFERROR(VLOOKUP(A18,[1]Biogasudbytte!$A$2:$B$18,2,FALSE)*[1]Energiindhold!$C$10,0)*J18*IFERROR(VLOOKUP(A18,Biogasanlæg!$F$3:$G$8,2,FALSE),1)</f>
        <v>0</v>
      </c>
      <c r="T18" s="195">
        <f t="shared" si="11"/>
        <v>0</v>
      </c>
      <c r="U18" s="193">
        <f>O18*IFERROR(VLOOKUP(A18,[1]Tørstofindhold!A$2:B$25,2,FALSE),0)</f>
        <v>0</v>
      </c>
      <c r="V18" s="194">
        <f>IF(D18=År1,P18,SUM(O18,P18))*IFERROR(VLOOKUP(A18,[1]Tørstofindhold!A$2:B$25,2,FALSE),0)</f>
        <v>0</v>
      </c>
      <c r="W18" s="194">
        <f>J18*IFERROR(VLOOKUP(A18,[1]Tørstofindhold!A$2:B$25,2,FALSE),0)</f>
        <v>0</v>
      </c>
      <c r="X18" s="195">
        <f t="shared" si="12"/>
        <v>0</v>
      </c>
      <c r="Y18" s="173">
        <f t="shared" si="2"/>
        <v>1</v>
      </c>
      <c r="Z18" s="104">
        <f t="shared" si="3"/>
        <v>0</v>
      </c>
    </row>
    <row r="19" spans="1:26" x14ac:dyDescent="0.25">
      <c r="A19" s="196" t="s">
        <v>69</v>
      </c>
      <c r="B19" s="196" t="s">
        <v>239</v>
      </c>
      <c r="C19" s="196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6">
        <f t="shared" si="8"/>
        <v>2019</v>
      </c>
      <c r="E19" s="194" t="s">
        <v>24</v>
      </c>
      <c r="F19" s="197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4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7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9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6">
        <f t="shared" si="9"/>
        <v>0</v>
      </c>
      <c r="O19" s="197">
        <f t="shared" si="1"/>
        <v>0</v>
      </c>
      <c r="P19" s="207">
        <f t="shared" si="10"/>
        <v>1212729.2061799087</v>
      </c>
      <c r="Q19" s="194">
        <f>IFERROR(VLOOKUP(A19,[1]Energiindhold!$A$2:$C$11,3,FALSE),IFERROR(VLOOKUP(A19,[1]Biogasudbytte!$A$2:$B$18,2,FALSE)*[1]Energiindhold!$C$10,0))*O19</f>
        <v>0</v>
      </c>
      <c r="R19" s="194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4">
        <f>IFERROR(VLOOKUP(A19,[1]Biogasudbytte!$A$2:$B$18,2,FALSE)*[1]Energiindhold!$C$10,0)*J19*IFERROR(VLOOKUP(A19,Biogasanlæg!$F$3:$G$8,2,FALSE),1)</f>
        <v>0.3063744116894675</v>
      </c>
      <c r="T19" s="195">
        <f t="shared" si="11"/>
        <v>11.985300912376998</v>
      </c>
      <c r="U19" s="193">
        <f>O19*IFERROR(VLOOKUP(A19,[1]Tørstofindhold!A$2:B$25,2,FALSE),0)</f>
        <v>0</v>
      </c>
      <c r="V19" s="194">
        <f>IF(D19=År1,P19,SUM(O19,P19))*IFERROR(VLOOKUP(A19,[1]Tørstofindhold!A$2:B$25,2,FALSE),0)</f>
        <v>1030819.8252529224</v>
      </c>
      <c r="W19" s="194">
        <f>J19*IFERROR(VLOOKUP(A19,[1]Tørstofindhold!A$2:B$25,2,FALSE),0)</f>
        <v>45168.058835086973</v>
      </c>
      <c r="X19" s="195">
        <f t="shared" si="12"/>
        <v>985651.76641783537</v>
      </c>
      <c r="Y19" s="173">
        <f t="shared" si="2"/>
        <v>0</v>
      </c>
      <c r="Z19" s="104">
        <f t="shared" si="3"/>
        <v>0</v>
      </c>
    </row>
    <row r="20" spans="1:26" x14ac:dyDescent="0.25">
      <c r="A20" s="196" t="s">
        <v>169</v>
      </c>
      <c r="B20" s="196" t="s">
        <v>242</v>
      </c>
      <c r="C20" s="196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6">
        <f t="shared" si="8"/>
        <v>2019</v>
      </c>
      <c r="E20" s="194" t="s">
        <v>24</v>
      </c>
      <c r="F20" s="197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4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7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9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6">
        <f t="shared" si="9"/>
        <v>0</v>
      </c>
      <c r="O20" s="197">
        <f t="shared" si="1"/>
        <v>0</v>
      </c>
      <c r="P20" s="207">
        <f t="shared" si="10"/>
        <v>530462.48766233202</v>
      </c>
      <c r="Q20" s="194">
        <f>IFERROR(VLOOKUP(A20,[1]Energiindhold!$A$2:$C$11,3,FALSE),IFERROR(VLOOKUP(A20,[1]Biogasudbytte!$A$2:$B$18,2,FALSE)*[1]Energiindhold!$C$10,0))*O20</f>
        <v>0</v>
      </c>
      <c r="R20" s="194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4">
        <f>IFERROR(VLOOKUP(A20,[1]Biogasudbytte!$A$2:$B$18,2,FALSE)*[1]Energiindhold!$C$10,0)*J20*IFERROR(VLOOKUP(A20,Biogasanlæg!$F$3:$G$8,2,FALSE),1)</f>
        <v>7.148842760000421E-5</v>
      </c>
      <c r="T20" s="195">
        <f t="shared" si="11"/>
        <v>9.4691817325671721</v>
      </c>
      <c r="U20" s="193">
        <f>O20*IFERROR(VLOOKUP(A20,[1]Tørstofindhold!A$2:B$25,2,FALSE),0)</f>
        <v>0</v>
      </c>
      <c r="V20" s="194">
        <f>IF(D20=År1,P20,SUM(O20,P20))*IFERROR(VLOOKUP(A20,[1]Tørstofindhold!A$2:B$25,2,FALSE),0)</f>
        <v>159138.74629869961</v>
      </c>
      <c r="W20" s="194">
        <f>J20*IFERROR(VLOOKUP(A20,[1]Tørstofindhold!A$2:B$25,2,FALSE),0)</f>
        <v>12.629943571231609</v>
      </c>
      <c r="X20" s="195">
        <f t="shared" si="12"/>
        <v>159126.11635512838</v>
      </c>
      <c r="Y20" s="173">
        <f t="shared" si="2"/>
        <v>0</v>
      </c>
      <c r="Z20" s="104">
        <f t="shared" si="3"/>
        <v>0</v>
      </c>
    </row>
    <row r="21" spans="1:26" x14ac:dyDescent="0.25">
      <c r="A21" s="194" t="s">
        <v>166</v>
      </c>
      <c r="B21" s="196"/>
      <c r="C21" s="196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6">
        <f t="shared" si="8"/>
        <v>2019</v>
      </c>
      <c r="E21" s="194" t="s">
        <v>24</v>
      </c>
      <c r="F21" s="197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4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7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9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6">
        <f t="shared" si="9"/>
        <v>-4828427.5390456235</v>
      </c>
      <c r="O21" s="197">
        <f t="shared" si="1"/>
        <v>0</v>
      </c>
      <c r="P21" s="207">
        <f t="shared" si="10"/>
        <v>0</v>
      </c>
      <c r="Q21" s="194">
        <f>IFERROR(VLOOKUP(A21,[1]Energiindhold!$A$2:$C$11,3,FALSE),IFERROR(VLOOKUP(A21,[1]Biogasudbytte!$A$2:$B$18,2,FALSE)*[1]Energiindhold!$C$10,0))*O21</f>
        <v>0</v>
      </c>
      <c r="R21" s="194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4">
        <f>IFERROR(VLOOKUP(A21,[1]Biogasudbytte!$A$2:$B$18,2,FALSE)*[1]Energiindhold!$C$10,0)*J21*IFERROR(VLOOKUP(A21,Biogasanlæg!$F$3:$G$8,2,FALSE),1)</f>
        <v>0</v>
      </c>
      <c r="T21" s="195">
        <f t="shared" si="11"/>
        <v>0</v>
      </c>
      <c r="U21" s="193">
        <f>O21*IFERROR(VLOOKUP(A21,[1]Tørstofindhold!A$2:B$25,2,FALSE),0)</f>
        <v>0</v>
      </c>
      <c r="V21" s="194">
        <f>IF(D21=År1,P21,SUM(O21,P21))*IFERROR(VLOOKUP(A21,[1]Tørstofindhold!A$2:B$25,2,FALSE),0)</f>
        <v>0</v>
      </c>
      <c r="W21" s="194">
        <f>J21*IFERROR(VLOOKUP(A21,[1]Tørstofindhold!A$2:B$25,2,FALSE),0)</f>
        <v>0</v>
      </c>
      <c r="X21" s="195">
        <f t="shared" si="12"/>
        <v>0</v>
      </c>
      <c r="Y21" s="173">
        <f t="shared" si="2"/>
        <v>1</v>
      </c>
      <c r="Z21" s="104">
        <f t="shared" si="3"/>
        <v>0</v>
      </c>
    </row>
    <row r="22" spans="1:26" x14ac:dyDescent="0.25">
      <c r="A22" s="196" t="s">
        <v>105</v>
      </c>
      <c r="B22" s="196" t="s">
        <v>242</v>
      </c>
      <c r="C22" s="196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6">
        <f t="shared" si="8"/>
        <v>2019</v>
      </c>
      <c r="E22" s="194" t="s">
        <v>24</v>
      </c>
      <c r="F22" s="197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4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7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9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6">
        <f t="shared" si="9"/>
        <v>-203061.53166372905</v>
      </c>
      <c r="O22" s="197">
        <f t="shared" si="1"/>
        <v>0</v>
      </c>
      <c r="P22" s="207">
        <f t="shared" si="10"/>
        <v>716103.75203569303</v>
      </c>
      <c r="Q22" s="194">
        <f>IFERROR(VLOOKUP(A22,[1]Energiindhold!$A$2:$C$11,3,FALSE),IFERROR(VLOOKUP(A22,[1]Biogasudbytte!$A$2:$B$18,2,FALSE)*[1]Energiindhold!$C$10,0))*O22</f>
        <v>0</v>
      </c>
      <c r="R22" s="194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4">
        <f>IFERROR(VLOOKUP(A22,[1]Biogasudbytte!$A$2:$B$18,2,FALSE)*[1]Energiindhold!$C$10,0)*J22*IFERROR(VLOOKUP(A22,Biogasanlæg!$F$3:$G$8,2,FALSE),1)</f>
        <v>2.7926735859525804</v>
      </c>
      <c r="T22" s="195">
        <f t="shared" si="11"/>
        <v>0</v>
      </c>
      <c r="U22" s="193">
        <f>O22*IFERROR(VLOOKUP(A22,[1]Tørstofindhold!A$2:B$25,2,FALSE),0)</f>
        <v>0</v>
      </c>
      <c r="V22" s="194">
        <f>IF(D22=År1,P22,SUM(O22,P22))*IFERROR(VLOOKUP(A22,[1]Tørstofindhold!A$2:B$25,2,FALSE),0)</f>
        <v>300763.57585499104</v>
      </c>
      <c r="W22" s="194">
        <f>J22*IFERROR(VLOOKUP(A22,[1]Tørstofindhold!A$2:B$25,2,FALSE),0)</f>
        <v>300763.57585499104</v>
      </c>
      <c r="X22" s="195">
        <f t="shared" si="12"/>
        <v>0</v>
      </c>
      <c r="Y22" s="173">
        <f t="shared" si="2"/>
        <v>1</v>
      </c>
      <c r="Z22" s="104">
        <f t="shared" si="3"/>
        <v>0</v>
      </c>
    </row>
    <row r="23" spans="1:26" x14ac:dyDescent="0.25">
      <c r="A23" s="196" t="s">
        <v>57</v>
      </c>
      <c r="B23" s="196"/>
      <c r="C23" s="196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6">
        <f t="shared" si="8"/>
        <v>2019</v>
      </c>
      <c r="E23" s="194" t="s">
        <v>24</v>
      </c>
      <c r="F23" s="197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4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7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9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6">
        <f t="shared" si="9"/>
        <v>765723.03528474667</v>
      </c>
      <c r="O23" s="197">
        <f t="shared" si="1"/>
        <v>0</v>
      </c>
      <c r="P23" s="207">
        <f t="shared" si="10"/>
        <v>0</v>
      </c>
      <c r="Q23" s="194">
        <f>IFERROR(VLOOKUP(A23,[1]Energiindhold!$A$2:$C$11,3,FALSE),IFERROR(VLOOKUP(A23,[1]Biogasudbytte!$A$2:$B$18,2,FALSE)*[1]Energiindhold!$C$10,0))*O23</f>
        <v>0</v>
      </c>
      <c r="R23" s="194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4">
        <f>IFERROR(VLOOKUP(A23,[1]Biogasudbytte!$A$2:$B$18,2,FALSE)*[1]Energiindhold!$C$10,0)*J23*IFERROR(VLOOKUP(A23,Biogasanlæg!$F$3:$G$8,2,FALSE),1)</f>
        <v>0</v>
      </c>
      <c r="T23" s="195">
        <f t="shared" si="11"/>
        <v>0</v>
      </c>
      <c r="U23" s="193">
        <f>O23*IFERROR(VLOOKUP(A23,[1]Tørstofindhold!A$2:B$25,2,FALSE),0)</f>
        <v>0</v>
      </c>
      <c r="V23" s="194">
        <f>IF(D23=År1,P23,SUM(O23,P23))*IFERROR(VLOOKUP(A23,[1]Tørstofindhold!A$2:B$25,2,FALSE),0)</f>
        <v>0</v>
      </c>
      <c r="W23" s="194">
        <f>J23*IFERROR(VLOOKUP(A23,[1]Tørstofindhold!A$2:B$25,2,FALSE),0)</f>
        <v>0</v>
      </c>
      <c r="X23" s="195">
        <f t="shared" si="12"/>
        <v>0</v>
      </c>
      <c r="Y23" s="173">
        <f t="shared" si="2"/>
        <v>0</v>
      </c>
      <c r="Z23" s="104">
        <f t="shared" si="3"/>
        <v>1</v>
      </c>
    </row>
    <row r="24" spans="1:26" x14ac:dyDescent="0.25">
      <c r="A24" s="196" t="s">
        <v>12</v>
      </c>
      <c r="B24" s="196"/>
      <c r="C24" s="196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6">
        <f t="shared" si="8"/>
        <v>2019</v>
      </c>
      <c r="E24" s="194" t="s">
        <v>24</v>
      </c>
      <c r="F24" s="197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4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7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9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6">
        <f t="shared" si="9"/>
        <v>2026381.0153085976</v>
      </c>
      <c r="O24" s="197">
        <f t="shared" si="1"/>
        <v>0</v>
      </c>
      <c r="P24" s="207">
        <f t="shared" si="10"/>
        <v>0</v>
      </c>
      <c r="Q24" s="194">
        <f>IFERROR(VLOOKUP(A24,[1]Energiindhold!$A$2:$C$11,3,FALSE),IFERROR(VLOOKUP(A24,[1]Biogasudbytte!$A$2:$B$18,2,FALSE)*[1]Energiindhold!$C$10,0))*O24</f>
        <v>0</v>
      </c>
      <c r="R24" s="194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4">
        <f>IFERROR(VLOOKUP(A24,[1]Biogasudbytte!$A$2:$B$18,2,FALSE)*[1]Energiindhold!$C$10,0)*J24*IFERROR(VLOOKUP(A24,Biogasanlæg!$F$3:$G$8,2,FALSE),1)</f>
        <v>0</v>
      </c>
      <c r="T24" s="195">
        <f t="shared" si="11"/>
        <v>0</v>
      </c>
      <c r="U24" s="193">
        <f>O24*IFERROR(VLOOKUP(A24,[1]Tørstofindhold!A$2:B$25,2,FALSE),0)</f>
        <v>0</v>
      </c>
      <c r="V24" s="194">
        <f>IF(D24=År1,P24,SUM(O24,P24))*IFERROR(VLOOKUP(A24,[1]Tørstofindhold!A$2:B$25,2,FALSE),0)</f>
        <v>0</v>
      </c>
      <c r="W24" s="194">
        <f>J24*IFERROR(VLOOKUP(A24,[1]Tørstofindhold!A$2:B$25,2,FALSE),0)</f>
        <v>0</v>
      </c>
      <c r="X24" s="195">
        <f t="shared" si="12"/>
        <v>0</v>
      </c>
      <c r="Y24" s="173">
        <f t="shared" si="2"/>
        <v>0</v>
      </c>
      <c r="Z24" s="104">
        <f t="shared" si="3"/>
        <v>1</v>
      </c>
    </row>
    <row r="25" spans="1:26" x14ac:dyDescent="0.25">
      <c r="A25" s="196" t="s">
        <v>49</v>
      </c>
      <c r="B25" s="196" t="s">
        <v>239</v>
      </c>
      <c r="C25" s="196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6">
        <f t="shared" si="8"/>
        <v>2019</v>
      </c>
      <c r="E25" s="194" t="s">
        <v>24</v>
      </c>
      <c r="F25" s="197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4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7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9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6">
        <f t="shared" si="9"/>
        <v>665604.70837060641</v>
      </c>
      <c r="O25" s="197">
        <f t="shared" si="1"/>
        <v>665604.70837060641</v>
      </c>
      <c r="P25" s="207">
        <f t="shared" si="10"/>
        <v>2840.1853290986264</v>
      </c>
      <c r="Q25" s="194">
        <f>IFERROR(VLOOKUP(A25,[1]Energiindhold!$A$2:$C$11,3,FALSE),IFERROR(VLOOKUP(A25,[1]Biogasudbytte!$A$2:$B$18,2,FALSE)*[1]Energiindhold!$C$10,0))*O25</f>
        <v>2.2796029415101553</v>
      </c>
      <c r="R25" s="194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4">
        <f>IFERROR(VLOOKUP(A25,[1]Biogasudbytte!$A$2:$B$18,2,FALSE)*[1]Energiindhold!$C$10,0)*J25*IFERROR(VLOOKUP(A25,Biogasanlæg!$F$3:$G$8,2,FALSE),1)</f>
        <v>9.7272371262167243E-3</v>
      </c>
      <c r="T25" s="195">
        <f t="shared" si="11"/>
        <v>0</v>
      </c>
      <c r="U25" s="193">
        <f>O25*IFERROR(VLOOKUP(A25,[1]Tørstofindhold!A$2:B$25,2,FALSE),0)</f>
        <v>206337.459594888</v>
      </c>
      <c r="V25" s="194">
        <f>IF(D25=År1,P25,SUM(O25,P25))*IFERROR(VLOOKUP(A25,[1]Tørstofindhold!A$2:B$25,2,FALSE),0)</f>
        <v>880.45745202057424</v>
      </c>
      <c r="W25" s="194">
        <f>J25*IFERROR(VLOOKUP(A25,[1]Tørstofindhold!A$2:B$25,2,FALSE),0)</f>
        <v>880.45745202057424</v>
      </c>
      <c r="X25" s="195">
        <f t="shared" si="12"/>
        <v>0</v>
      </c>
      <c r="Y25" s="173">
        <f t="shared" si="2"/>
        <v>0</v>
      </c>
      <c r="Z25" s="104">
        <f t="shared" si="3"/>
        <v>1</v>
      </c>
    </row>
    <row r="26" spans="1:26" x14ac:dyDescent="0.25">
      <c r="A26" s="196" t="s">
        <v>118</v>
      </c>
      <c r="B26" s="196"/>
      <c r="C26" s="196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6">
        <f t="shared" si="8"/>
        <v>2019</v>
      </c>
      <c r="E26" s="194" t="s">
        <v>24</v>
      </c>
      <c r="F26" s="197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4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7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7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9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6">
        <f t="shared" ca="1" si="9"/>
        <v>-720643.40546424</v>
      </c>
      <c r="O26" s="197">
        <f t="shared" si="1"/>
        <v>0</v>
      </c>
      <c r="P26" s="207">
        <f t="shared" si="10"/>
        <v>0</v>
      </c>
      <c r="Q26" s="194">
        <f>IFERROR(VLOOKUP(A26,[1]Energiindhold!$A$2:$C$11,3,FALSE),IFERROR(VLOOKUP(A26,[1]Biogasudbytte!$A$2:$B$18,2,FALSE)*[1]Energiindhold!$C$10,0))*O26</f>
        <v>0</v>
      </c>
      <c r="R26" s="194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4">
        <f>IFERROR(VLOOKUP(A26,[1]Biogasudbytte!$A$2:$B$18,2,FALSE)*[1]Energiindhold!$C$10,0)*J26*IFERROR(VLOOKUP(A26,Biogasanlæg!$F$3:$G$8,2,FALSE),1)</f>
        <v>0</v>
      </c>
      <c r="T26" s="195">
        <f t="shared" si="11"/>
        <v>0</v>
      </c>
      <c r="U26" s="193">
        <f>O26*IFERROR(VLOOKUP(A26,[1]Tørstofindhold!A$2:B$25,2,FALSE),0)</f>
        <v>0</v>
      </c>
      <c r="V26" s="194">
        <f>IF(D26=År1,P26,SUM(O26,P26))*IFERROR(VLOOKUP(A26,[1]Tørstofindhold!A$2:B$25,2,FALSE),0)</f>
        <v>0</v>
      </c>
      <c r="W26" s="194">
        <f>J26*IFERROR(VLOOKUP(A26,[1]Tørstofindhold!A$2:B$25,2,FALSE),0)</f>
        <v>0</v>
      </c>
      <c r="X26" s="195">
        <f t="shared" si="12"/>
        <v>0</v>
      </c>
      <c r="Y26" s="173">
        <f t="shared" ca="1" si="2"/>
        <v>1</v>
      </c>
      <c r="Z26" s="104">
        <f t="shared" ca="1" si="3"/>
        <v>0</v>
      </c>
    </row>
    <row r="27" spans="1:26" x14ac:dyDescent="0.25">
      <c r="A27" s="196" t="s">
        <v>142</v>
      </c>
      <c r="B27" s="196" t="s">
        <v>234</v>
      </c>
      <c r="C27" s="196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6">
        <f t="shared" si="8"/>
        <v>2019</v>
      </c>
      <c r="E27" s="194" t="s">
        <v>24</v>
      </c>
      <c r="F27" s="197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4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7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9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6">
        <f t="shared" si="9"/>
        <v>3057092.2712095287</v>
      </c>
      <c r="O27" s="197">
        <f t="shared" si="1"/>
        <v>3057092.2712095287</v>
      </c>
      <c r="P27" s="207">
        <f t="shared" si="10"/>
        <v>4066864.6068164087</v>
      </c>
      <c r="Q27" s="194">
        <f>IFERROR(VLOOKUP(A27,[1]Energiindhold!$A$2:$C$11,3,FALSE),IFERROR(VLOOKUP(A27,[1]Biogasudbytte!$A$2:$B$18,2,FALSE)*[1]Energiindhold!$C$10,0))*O27</f>
        <v>1.5474695367635516</v>
      </c>
      <c r="R27" s="194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4">
        <f>IFERROR(VLOOKUP(A27,[1]Biogasudbytte!$A$2:$B$18,2,FALSE)*[1]Energiindhold!$C$10,0)*J27*IFERROR(VLOOKUP(A27,Biogasanlæg!$F$3:$G$8,2,FALSE),1)</f>
        <v>2.0586061953243981</v>
      </c>
      <c r="T27" s="195">
        <f t="shared" si="11"/>
        <v>0</v>
      </c>
      <c r="U27" s="193">
        <f>O27*IFERROR(VLOOKUP(A27,[1]Tørstofindhold!A$2:B$25,2,FALSE),0)</f>
        <v>232339.01261192418</v>
      </c>
      <c r="V27" s="194">
        <f>IF(D27=År1,P27,SUM(O27,P27))*IFERROR(VLOOKUP(A27,[1]Tørstofindhold!A$2:B$25,2,FALSE),0)</f>
        <v>309081.71011804708</v>
      </c>
      <c r="W27" s="194">
        <f>J27*IFERROR(VLOOKUP(A27,[1]Tørstofindhold!A$2:B$25,2,FALSE),0)</f>
        <v>309081.71011804708</v>
      </c>
      <c r="X27" s="195">
        <f t="shared" si="12"/>
        <v>0</v>
      </c>
      <c r="Y27" s="173">
        <f t="shared" si="2"/>
        <v>0</v>
      </c>
      <c r="Z27" s="104">
        <f t="shared" si="3"/>
        <v>1</v>
      </c>
    </row>
    <row r="28" spans="1:26" x14ac:dyDescent="0.25">
      <c r="A28" s="196" t="s">
        <v>111</v>
      </c>
      <c r="B28" s="196"/>
      <c r="C28" s="196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6">
        <f t="shared" si="8"/>
        <v>2019</v>
      </c>
      <c r="E28" s="194" t="s">
        <v>24</v>
      </c>
      <c r="F28" s="197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4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7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9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6">
        <f t="shared" si="9"/>
        <v>122443.54553678865</v>
      </c>
      <c r="O28" s="197">
        <f t="shared" si="1"/>
        <v>0</v>
      </c>
      <c r="P28" s="207">
        <f t="shared" si="10"/>
        <v>0</v>
      </c>
      <c r="Q28" s="194">
        <f>IFERROR(VLOOKUP(A28,[1]Energiindhold!$A$2:$C$11,3,FALSE),IFERROR(VLOOKUP(A28,[1]Biogasudbytte!$A$2:$B$18,2,FALSE)*[1]Energiindhold!$C$10,0))*O28</f>
        <v>0</v>
      </c>
      <c r="R28" s="194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4">
        <f>IFERROR(VLOOKUP(A28,[1]Biogasudbytte!$A$2:$B$18,2,FALSE)*[1]Energiindhold!$C$10,0)*J28*IFERROR(VLOOKUP(A28,Biogasanlæg!$F$3:$G$8,2,FALSE),1)</f>
        <v>0</v>
      </c>
      <c r="T28" s="195">
        <f t="shared" si="11"/>
        <v>0</v>
      </c>
      <c r="U28" s="193">
        <f>O28*IFERROR(VLOOKUP(A28,[1]Tørstofindhold!A$2:B$25,2,FALSE),0)</f>
        <v>0</v>
      </c>
      <c r="V28" s="194">
        <f>IF(D28=År1,P28,SUM(O28,P28))*IFERROR(VLOOKUP(A28,[1]Tørstofindhold!A$2:B$25,2,FALSE),0)</f>
        <v>0</v>
      </c>
      <c r="W28" s="194">
        <f>J28*IFERROR(VLOOKUP(A28,[1]Tørstofindhold!A$2:B$25,2,FALSE),0)</f>
        <v>0</v>
      </c>
      <c r="X28" s="195">
        <f t="shared" si="12"/>
        <v>0</v>
      </c>
      <c r="Y28" s="173">
        <f t="shared" si="2"/>
        <v>0</v>
      </c>
      <c r="Z28" s="104">
        <f t="shared" si="3"/>
        <v>1</v>
      </c>
    </row>
    <row r="29" spans="1:26" x14ac:dyDescent="0.25">
      <c r="A29" s="194" t="s">
        <v>54</v>
      </c>
      <c r="B29" s="196" t="s">
        <v>236</v>
      </c>
      <c r="C29" s="196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6">
        <f t="shared" si="8"/>
        <v>2019</v>
      </c>
      <c r="E29" s="194" t="s">
        <v>24</v>
      </c>
      <c r="F29" s="197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4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7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9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6">
        <f t="shared" si="9"/>
        <v>1609663.314373374</v>
      </c>
      <c r="O29" s="197">
        <f t="shared" si="1"/>
        <v>1266262.2462674922</v>
      </c>
      <c r="P29" s="207">
        <f t="shared" si="10"/>
        <v>314821.43493156106</v>
      </c>
      <c r="Q29" s="194">
        <f>IFERROR(VLOOKUP(A29,[1]Energiindhold!$A$2:$C$11,3,FALSE),IFERROR(VLOOKUP(A29,[1]Biogasudbytte!$A$2:$B$18,2,FALSE)*[1]Energiindhold!$C$10,0))*O29</f>
        <v>4.5458814641002974</v>
      </c>
      <c r="R29" s="194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4">
        <f>IFERROR(VLOOKUP(A29,[1]Biogasudbytte!$A$2:$B$18,2,FALSE)*[1]Energiindhold!$C$10,0)*J29*IFERROR(VLOOKUP(A29,Biogasanlæg!$F$3:$G$8,2,FALSE),1)</f>
        <v>1.1302089514043043</v>
      </c>
      <c r="T29" s="195">
        <f t="shared" si="11"/>
        <v>0</v>
      </c>
      <c r="U29" s="193">
        <f>O29*IFERROR(VLOOKUP(A29,[1]Tørstofindhold!A$2:B$25,2,FALSE),0)</f>
        <v>379878.67388024763</v>
      </c>
      <c r="V29" s="194">
        <f>IF(D29=År1,P29,SUM(O29,P29))*IFERROR(VLOOKUP(A29,[1]Tørstofindhold!A$2:B$25,2,FALSE),0)</f>
        <v>94446.430479468312</v>
      </c>
      <c r="W29" s="194">
        <f>J29*IFERROR(VLOOKUP(A29,[1]Tørstofindhold!A$2:B$25,2,FALSE),0)</f>
        <v>94446.430479468312</v>
      </c>
      <c r="X29" s="195">
        <f t="shared" si="12"/>
        <v>0</v>
      </c>
      <c r="Y29" s="173">
        <f t="shared" si="2"/>
        <v>0</v>
      </c>
      <c r="Z29" s="104">
        <f t="shared" si="3"/>
        <v>1</v>
      </c>
    </row>
    <row r="30" spans="1:26" x14ac:dyDescent="0.25">
      <c r="A30" s="196" t="s">
        <v>119</v>
      </c>
      <c r="B30" s="196"/>
      <c r="C30" s="196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6">
        <f t="shared" si="8"/>
        <v>2019</v>
      </c>
      <c r="E30" s="194" t="s">
        <v>24</v>
      </c>
      <c r="F30" s="197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4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7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9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6">
        <f t="shared" si="9"/>
        <v>2703717.1158706988</v>
      </c>
      <c r="O30" s="197">
        <f t="shared" si="1"/>
        <v>0</v>
      </c>
      <c r="P30" s="207">
        <f t="shared" si="10"/>
        <v>0</v>
      </c>
      <c r="Q30" s="194">
        <f>IFERROR(VLOOKUP(A30,[1]Energiindhold!$A$2:$C$11,3,FALSE),IFERROR(VLOOKUP(A30,[1]Biogasudbytte!$A$2:$B$18,2,FALSE)*[1]Energiindhold!$C$10,0))*O30</f>
        <v>0</v>
      </c>
      <c r="R30" s="194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4">
        <f>IFERROR(VLOOKUP(A30,[1]Biogasudbytte!$A$2:$B$18,2,FALSE)*[1]Energiindhold!$C$10,0)*J30*IFERROR(VLOOKUP(A30,Biogasanlæg!$F$3:$G$8,2,FALSE),1)</f>
        <v>0</v>
      </c>
      <c r="T30" s="195">
        <f t="shared" si="11"/>
        <v>0</v>
      </c>
      <c r="U30" s="193">
        <f>O30*IFERROR(VLOOKUP(A30,[1]Tørstofindhold!A$2:B$25,2,FALSE),0)</f>
        <v>0</v>
      </c>
      <c r="V30" s="194">
        <f>IF(D30=År1,P30,SUM(O30,P30))*IFERROR(VLOOKUP(A30,[1]Tørstofindhold!A$2:B$25,2,FALSE),0)</f>
        <v>0</v>
      </c>
      <c r="W30" s="194">
        <f>J30*IFERROR(VLOOKUP(A30,[1]Tørstofindhold!A$2:B$25,2,FALSE),0)</f>
        <v>0</v>
      </c>
      <c r="X30" s="195">
        <f t="shared" si="12"/>
        <v>0</v>
      </c>
      <c r="Y30" s="173">
        <f t="shared" si="2"/>
        <v>0</v>
      </c>
      <c r="Z30" s="104">
        <f t="shared" si="3"/>
        <v>1</v>
      </c>
    </row>
    <row r="31" spans="1:26" x14ac:dyDescent="0.25">
      <c r="A31" s="196" t="s">
        <v>109</v>
      </c>
      <c r="B31" s="196" t="s">
        <v>238</v>
      </c>
      <c r="C31" s="196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6">
        <f t="shared" si="8"/>
        <v>2019</v>
      </c>
      <c r="E31" s="194" t="s">
        <v>24</v>
      </c>
      <c r="F31" s="197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4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7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9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6">
        <f t="shared" si="9"/>
        <v>878.90231344976189</v>
      </c>
      <c r="O31" s="197">
        <f t="shared" si="1"/>
        <v>878.90231344976189</v>
      </c>
      <c r="P31" s="207">
        <f t="shared" si="10"/>
        <v>0</v>
      </c>
      <c r="Q31" s="194">
        <f>IFERROR(VLOOKUP(A31,[1]Energiindhold!$A$2:$C$11,3,FALSE),IFERROR(VLOOKUP(A31,[1]Biogasudbytte!$A$2:$B$18,2,FALSE)*[1]Energiindhold!$C$10,0))*O31</f>
        <v>7.8881482632116133E-4</v>
      </c>
      <c r="R31" s="194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4">
        <f>IFERROR(VLOOKUP(A31,[1]Biogasudbytte!$A$2:$B$18,2,FALSE)*[1]Energiindhold!$C$10,0)*J31*IFERROR(VLOOKUP(A31,Biogasanlæg!$F$3:$G$8,2,FALSE),1)</f>
        <v>0</v>
      </c>
      <c r="T31" s="195">
        <f t="shared" si="11"/>
        <v>0</v>
      </c>
      <c r="U31" s="193">
        <f>O31*IFERROR(VLOOKUP(A31,[1]Tørstofindhold!A$2:B$25,2,FALSE),0)</f>
        <v>131.83534701746427</v>
      </c>
      <c r="V31" s="194">
        <f>IF(D31=År1,P31,SUM(O31,P31))*IFERROR(VLOOKUP(A31,[1]Tørstofindhold!A$2:B$25,2,FALSE),0)</f>
        <v>0</v>
      </c>
      <c r="W31" s="194">
        <f>J31*IFERROR(VLOOKUP(A31,[1]Tørstofindhold!A$2:B$25,2,FALSE),0)</f>
        <v>0</v>
      </c>
      <c r="X31" s="195">
        <f t="shared" si="12"/>
        <v>0</v>
      </c>
      <c r="Y31" s="173">
        <f t="shared" si="2"/>
        <v>0</v>
      </c>
      <c r="Z31" s="104">
        <f t="shared" si="3"/>
        <v>1</v>
      </c>
    </row>
    <row r="32" spans="1:26" x14ac:dyDescent="0.25">
      <c r="A32" s="196" t="s">
        <v>14</v>
      </c>
      <c r="B32" s="196"/>
      <c r="C32" s="196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6">
        <f t="shared" si="8"/>
        <v>2019</v>
      </c>
      <c r="E32" s="194" t="s">
        <v>24</v>
      </c>
      <c r="F32" s="197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4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7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9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6">
        <f t="shared" si="9"/>
        <v>50014.542046090508</v>
      </c>
      <c r="O32" s="197">
        <f t="shared" si="1"/>
        <v>0</v>
      </c>
      <c r="P32" s="207">
        <f t="shared" si="10"/>
        <v>0</v>
      </c>
      <c r="Q32" s="194">
        <f>IFERROR(VLOOKUP(A32,[1]Energiindhold!$A$2:$C$11,3,FALSE),IFERROR(VLOOKUP(A32,[1]Biogasudbytte!$A$2:$B$18,2,FALSE)*[1]Energiindhold!$C$10,0))*O32</f>
        <v>0</v>
      </c>
      <c r="R32" s="194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4">
        <f>IFERROR(VLOOKUP(A32,[1]Biogasudbytte!$A$2:$B$18,2,FALSE)*[1]Energiindhold!$C$10,0)*J32*IFERROR(VLOOKUP(A32,Biogasanlæg!$F$3:$G$8,2,FALSE),1)</f>
        <v>0</v>
      </c>
      <c r="T32" s="195">
        <f t="shared" si="11"/>
        <v>0</v>
      </c>
      <c r="U32" s="193">
        <f>O32*IFERROR(VLOOKUP(A32,[1]Tørstofindhold!A$2:B$25,2,FALSE),0)</f>
        <v>0</v>
      </c>
      <c r="V32" s="194">
        <f>IF(D32=År1,P32,SUM(O32,P32))*IFERROR(VLOOKUP(A32,[1]Tørstofindhold!A$2:B$25,2,FALSE),0)</f>
        <v>0</v>
      </c>
      <c r="W32" s="194">
        <f>J32*IFERROR(VLOOKUP(A32,[1]Tørstofindhold!A$2:B$25,2,FALSE),0)</f>
        <v>0</v>
      </c>
      <c r="X32" s="195">
        <f t="shared" si="12"/>
        <v>0</v>
      </c>
      <c r="Y32" s="173">
        <f t="shared" si="2"/>
        <v>0</v>
      </c>
      <c r="Z32" s="104">
        <f t="shared" si="3"/>
        <v>1</v>
      </c>
    </row>
    <row r="33" spans="1:26" x14ac:dyDescent="0.25">
      <c r="A33" s="196" t="s">
        <v>56</v>
      </c>
      <c r="B33" s="196"/>
      <c r="C33" s="196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6">
        <f t="shared" si="8"/>
        <v>2019</v>
      </c>
      <c r="E33" s="194" t="s">
        <v>24</v>
      </c>
      <c r="F33" s="197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4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7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9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6">
        <f t="shared" si="9"/>
        <v>1609044.2994914718</v>
      </c>
      <c r="O33" s="197">
        <f t="shared" si="1"/>
        <v>0</v>
      </c>
      <c r="P33" s="207">
        <f t="shared" si="10"/>
        <v>0</v>
      </c>
      <c r="Q33" s="194">
        <f>IFERROR(VLOOKUP(A33,[1]Energiindhold!$A$2:$C$11,3,FALSE),IFERROR(VLOOKUP(A33,[1]Biogasudbytte!$A$2:$B$18,2,FALSE)*[1]Energiindhold!$C$10,0))*O33</f>
        <v>0</v>
      </c>
      <c r="R33" s="194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4">
        <f>IFERROR(VLOOKUP(A33,[1]Biogasudbytte!$A$2:$B$18,2,FALSE)*[1]Energiindhold!$C$10,0)*J33*IFERROR(VLOOKUP(A33,Biogasanlæg!$F$3:$G$8,2,FALSE),1)</f>
        <v>0</v>
      </c>
      <c r="T33" s="195">
        <f t="shared" si="11"/>
        <v>0</v>
      </c>
      <c r="U33" s="193">
        <f>O33*IFERROR(VLOOKUP(A33,[1]Tørstofindhold!A$2:B$25,2,FALSE),0)</f>
        <v>0</v>
      </c>
      <c r="V33" s="194">
        <f>IF(D33=År1,P33,SUM(O33,P33))*IFERROR(VLOOKUP(A33,[1]Tørstofindhold!A$2:B$25,2,FALSE),0)</f>
        <v>0</v>
      </c>
      <c r="W33" s="194">
        <f>J33*IFERROR(VLOOKUP(A33,[1]Tørstofindhold!A$2:B$25,2,FALSE),0)</f>
        <v>0</v>
      </c>
      <c r="X33" s="195">
        <f t="shared" si="12"/>
        <v>0</v>
      </c>
      <c r="Y33" s="173">
        <f t="shared" si="2"/>
        <v>0</v>
      </c>
      <c r="Z33" s="104">
        <f t="shared" si="3"/>
        <v>1</v>
      </c>
    </row>
    <row r="34" spans="1:26" x14ac:dyDescent="0.25">
      <c r="A34" s="196" t="s">
        <v>97</v>
      </c>
      <c r="B34" s="196" t="s">
        <v>237</v>
      </c>
      <c r="C34" s="196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6">
        <f t="shared" si="8"/>
        <v>2019</v>
      </c>
      <c r="E34" s="194" t="s">
        <v>24</v>
      </c>
      <c r="F34" s="197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4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7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9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6">
        <f t="shared" si="9"/>
        <v>0</v>
      </c>
      <c r="O34" s="197">
        <f t="shared" si="1"/>
        <v>0</v>
      </c>
      <c r="P34" s="207">
        <f t="shared" si="10"/>
        <v>172205.06744997756</v>
      </c>
      <c r="Q34" s="194">
        <f>IFERROR(VLOOKUP(A34,[1]Energiindhold!$A$2:$C$11,3,FALSE),IFERROR(VLOOKUP(A34,[1]Biogasudbytte!$A$2:$B$18,2,FALSE)*[1]Energiindhold!$C$10,0))*O34</f>
        <v>0</v>
      </c>
      <c r="R34" s="194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4">
        <f>IFERROR(VLOOKUP(A34,[1]Biogasudbytte!$A$2:$B$18,2,FALSE)*[1]Energiindhold!$C$10,0)*J34*IFERROR(VLOOKUP(A34,Biogasanlæg!$F$3:$G$8,2,FALSE),1)</f>
        <v>0</v>
      </c>
      <c r="T34" s="195">
        <f t="shared" si="11"/>
        <v>3.1685732410795864</v>
      </c>
      <c r="U34" s="193">
        <f>O34*IFERROR(VLOOKUP(A34,[1]Tørstofindhold!A$2:B$25,2,FALSE),0)</f>
        <v>0</v>
      </c>
      <c r="V34" s="194">
        <f>IF(D34=År1,P34,SUM(O34,P34))*IFERROR(VLOOKUP(A34,[1]Tørstofindhold!A$2:B$25,2,FALSE),0)</f>
        <v>71465.1029917407</v>
      </c>
      <c r="W34" s="194">
        <f>J34*IFERROR(VLOOKUP(A34,[1]Tørstofindhold!A$2:B$25,2,FALSE),0)</f>
        <v>0</v>
      </c>
      <c r="X34" s="195">
        <f t="shared" si="12"/>
        <v>71465.1029917407</v>
      </c>
      <c r="Y34" s="173">
        <f t="shared" si="2"/>
        <v>0</v>
      </c>
      <c r="Z34" s="104">
        <f t="shared" si="3"/>
        <v>0</v>
      </c>
    </row>
    <row r="35" spans="1:26" x14ac:dyDescent="0.25">
      <c r="A35" s="196" t="s">
        <v>336</v>
      </c>
      <c r="B35" s="196" t="s">
        <v>342</v>
      </c>
      <c r="C35" s="196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6">
        <f t="shared" si="8"/>
        <v>2019</v>
      </c>
      <c r="E35" s="194" t="s">
        <v>24</v>
      </c>
      <c r="F35" s="197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4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7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9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6">
        <f t="shared" ref="N35:N36" si="13">F35-SUM(G35:M35)</f>
        <v>0</v>
      </c>
      <c r="O35" s="197">
        <f t="shared" si="1"/>
        <v>0</v>
      </c>
      <c r="P35" s="207">
        <f t="shared" ref="P35:P36" si="14">SUM(J35,L35)</f>
        <v>0</v>
      </c>
      <c r="Q35" s="194">
        <f>IFERROR(VLOOKUP(A35,[1]Energiindhold!$A$2:$C$11,3,FALSE),IFERROR(VLOOKUP(A35,[1]Biogasudbytte!$A$2:$B$18,2,FALSE)*[1]Energiindhold!$C$10,0))*O35</f>
        <v>0</v>
      </c>
      <c r="R35" s="194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4">
        <f>IFERROR(VLOOKUP(A35,[1]Biogasudbytte!$A$2:$B$18,2,FALSE)*[1]Energiindhold!$C$10,0)*J35*IFERROR(VLOOKUP(A35,Biogasanlæg!$F$3:$G$8,2,FALSE),1)</f>
        <v>0</v>
      </c>
      <c r="T35" s="195">
        <f t="shared" ref="T35:T36" si="15">R35-S35</f>
        <v>0</v>
      </c>
      <c r="U35" s="193">
        <f>O35*IFERROR(VLOOKUP(A35,[1]Tørstofindhold!A$2:B$25,2,FALSE),0)</f>
        <v>0</v>
      </c>
      <c r="V35" s="194">
        <f>IF(D35=År1,P35,SUM(O35,P35))*IFERROR(VLOOKUP(A35,[1]Tørstofindhold!A$2:B$25,2,FALSE),0)</f>
        <v>0</v>
      </c>
      <c r="W35" s="194">
        <f>J35*IFERROR(VLOOKUP(A35,[1]Tørstofindhold!A$2:B$25,2,FALSE),0)</f>
        <v>0</v>
      </c>
      <c r="X35" s="195">
        <f t="shared" ref="X35:X36" si="16">V35-W35</f>
        <v>0</v>
      </c>
      <c r="Y35" s="173">
        <f t="shared" si="2"/>
        <v>0</v>
      </c>
      <c r="Z35" s="104">
        <f t="shared" si="3"/>
        <v>0</v>
      </c>
    </row>
    <row r="36" spans="1:26" x14ac:dyDescent="0.25">
      <c r="A36" s="196" t="s">
        <v>337</v>
      </c>
      <c r="B36" s="196" t="s">
        <v>342</v>
      </c>
      <c r="C36" s="196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6">
        <f t="shared" si="8"/>
        <v>2019</v>
      </c>
      <c r="E36" s="194" t="s">
        <v>24</v>
      </c>
      <c r="F36" s="197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4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7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9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6">
        <f t="shared" si="13"/>
        <v>0</v>
      </c>
      <c r="O36" s="197">
        <f t="shared" si="1"/>
        <v>0</v>
      </c>
      <c r="P36" s="207">
        <f t="shared" si="14"/>
        <v>0</v>
      </c>
      <c r="Q36" s="194">
        <f>IFERROR(VLOOKUP(A36,[1]Energiindhold!$A$2:$C$11,3,FALSE),IFERROR(VLOOKUP(A36,[1]Biogasudbytte!$A$2:$B$18,2,FALSE)*[1]Energiindhold!$C$10,0))*O36</f>
        <v>0</v>
      </c>
      <c r="R36" s="194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4">
        <f>IFERROR(VLOOKUP(A36,[1]Biogasudbytte!$A$2:$B$18,2,FALSE)*[1]Energiindhold!$C$10,0)*J36*IFERROR(VLOOKUP(A36,Biogasanlæg!$F$3:$G$8,2,FALSE),1)</f>
        <v>0</v>
      </c>
      <c r="T36" s="195">
        <f t="shared" si="15"/>
        <v>0</v>
      </c>
      <c r="U36" s="193">
        <f>O36*IFERROR(VLOOKUP(A36,[1]Tørstofindhold!A$2:B$25,2,FALSE),0)</f>
        <v>0</v>
      </c>
      <c r="V36" s="194">
        <f>IF(D36=År1,P36,SUM(O36,P36))*IFERROR(VLOOKUP(A36,[1]Tørstofindhold!A$2:B$25,2,FALSE),0)</f>
        <v>0</v>
      </c>
      <c r="W36" s="194">
        <f>J36*IFERROR(VLOOKUP(A36,[1]Tørstofindhold!A$2:B$25,2,FALSE),0)</f>
        <v>0</v>
      </c>
      <c r="X36" s="195">
        <f t="shared" si="16"/>
        <v>0</v>
      </c>
      <c r="Y36" s="173">
        <f t="shared" si="2"/>
        <v>0</v>
      </c>
      <c r="Z36" s="104">
        <f t="shared" si="3"/>
        <v>0</v>
      </c>
    </row>
    <row r="37" spans="1:26" x14ac:dyDescent="0.25">
      <c r="A37" s="196" t="s">
        <v>120</v>
      </c>
      <c r="B37" s="196"/>
      <c r="C37" s="196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6">
        <f t="shared" si="8"/>
        <v>2019</v>
      </c>
      <c r="E37" s="194" t="s">
        <v>24</v>
      </c>
      <c r="F37" s="197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4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7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9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6">
        <f t="shared" si="9"/>
        <v>4922001.9803787302</v>
      </c>
      <c r="O37" s="197">
        <f t="shared" si="1"/>
        <v>0</v>
      </c>
      <c r="P37" s="207">
        <f t="shared" si="10"/>
        <v>0</v>
      </c>
      <c r="Q37" s="194">
        <f>IFERROR(VLOOKUP(A37,[1]Energiindhold!$A$2:$C$11,3,FALSE),IFERROR(VLOOKUP(A37,[1]Biogasudbytte!$A$2:$B$18,2,FALSE)*[1]Energiindhold!$C$10,0))*O37</f>
        <v>0</v>
      </c>
      <c r="R37" s="194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4">
        <f>IFERROR(VLOOKUP(A37,[1]Biogasudbytte!$A$2:$B$18,2,FALSE)*[1]Energiindhold!$C$10,0)*J37*IFERROR(VLOOKUP(A37,Biogasanlæg!$F$3:$G$8,2,FALSE),1)</f>
        <v>0</v>
      </c>
      <c r="T37" s="195">
        <f t="shared" si="11"/>
        <v>0</v>
      </c>
      <c r="U37" s="193">
        <f>O37*IFERROR(VLOOKUP(A37,[1]Tørstofindhold!A$2:B$25,2,FALSE),0)</f>
        <v>0</v>
      </c>
      <c r="V37" s="194">
        <f>IF(D37=År1,P37,SUM(O37,P37))*IFERROR(VLOOKUP(A37,[1]Tørstofindhold!A$2:B$25,2,FALSE),0)</f>
        <v>0</v>
      </c>
      <c r="W37" s="194">
        <f>J37*IFERROR(VLOOKUP(A37,[1]Tørstofindhold!A$2:B$25,2,FALSE),0)</f>
        <v>0</v>
      </c>
      <c r="X37" s="195">
        <f t="shared" si="12"/>
        <v>0</v>
      </c>
      <c r="Y37" s="173">
        <f t="shared" si="2"/>
        <v>0</v>
      </c>
      <c r="Z37" s="104">
        <f t="shared" si="3"/>
        <v>1</v>
      </c>
    </row>
    <row r="38" spans="1:26" x14ac:dyDescent="0.25">
      <c r="A38" s="194" t="s">
        <v>51</v>
      </c>
      <c r="B38" s="196"/>
      <c r="C38" s="196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6">
        <f t="shared" si="8"/>
        <v>2019</v>
      </c>
      <c r="E38" s="194" t="s">
        <v>24</v>
      </c>
      <c r="F38" s="197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4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7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9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6">
        <f t="shared" si="9"/>
        <v>0</v>
      </c>
      <c r="O38" s="197">
        <f t="shared" si="1"/>
        <v>0</v>
      </c>
      <c r="P38" s="207">
        <f t="shared" si="10"/>
        <v>0</v>
      </c>
      <c r="Q38" s="194">
        <f>IFERROR(VLOOKUP(A38,[1]Energiindhold!$A$2:$C$11,3,FALSE),IFERROR(VLOOKUP(A38,[1]Biogasudbytte!$A$2:$B$18,2,FALSE)*[1]Energiindhold!$C$10,0))*O38</f>
        <v>0</v>
      </c>
      <c r="R38" s="194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4">
        <f>IFERROR(VLOOKUP(A38,[1]Biogasudbytte!$A$2:$B$18,2,FALSE)*[1]Energiindhold!$C$10,0)*J38*IFERROR(VLOOKUP(A38,Biogasanlæg!$F$3:$G$8,2,FALSE),1)</f>
        <v>0</v>
      </c>
      <c r="T38" s="195">
        <f t="shared" si="11"/>
        <v>0</v>
      </c>
      <c r="U38" s="193">
        <f>O38*IFERROR(VLOOKUP(A38,[1]Tørstofindhold!A$2:B$25,2,FALSE),0)</f>
        <v>0</v>
      </c>
      <c r="V38" s="194">
        <f>IF(D38=År1,P38,SUM(O38,P38))*IFERROR(VLOOKUP(A38,[1]Tørstofindhold!A$2:B$25,2,FALSE),0)</f>
        <v>0</v>
      </c>
      <c r="W38" s="194">
        <f>J38*IFERROR(VLOOKUP(A38,[1]Tørstofindhold!A$2:B$25,2,FALSE),0)</f>
        <v>0</v>
      </c>
      <c r="X38" s="195">
        <f t="shared" si="12"/>
        <v>0</v>
      </c>
      <c r="Y38" s="173">
        <f t="shared" si="2"/>
        <v>0</v>
      </c>
      <c r="Z38" s="104">
        <f t="shared" si="3"/>
        <v>0</v>
      </c>
    </row>
    <row r="39" spans="1:26" x14ac:dyDescent="0.25">
      <c r="A39" s="194" t="s">
        <v>250</v>
      </c>
      <c r="B39" s="196"/>
      <c r="C39" s="196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6">
        <f t="shared" si="8"/>
        <v>2019</v>
      </c>
      <c r="E39" s="194" t="s">
        <v>24</v>
      </c>
      <c r="F39" s="197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4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7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9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6">
        <f t="shared" si="9"/>
        <v>28317.736356098671</v>
      </c>
      <c r="O39" s="197">
        <f t="shared" si="1"/>
        <v>0</v>
      </c>
      <c r="P39" s="207">
        <f t="shared" si="10"/>
        <v>0</v>
      </c>
      <c r="Q39" s="194">
        <f>IFERROR(VLOOKUP(A39,[1]Energiindhold!$A$2:$C$11,3,FALSE),IFERROR(VLOOKUP(A39,[1]Biogasudbytte!$A$2:$B$18,2,FALSE)*[1]Energiindhold!$C$10,0))*O39</f>
        <v>0</v>
      </c>
      <c r="R39" s="194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4">
        <f>IFERROR(VLOOKUP(A39,[1]Biogasudbytte!$A$2:$B$18,2,FALSE)*[1]Energiindhold!$C$10,0)*J39*IFERROR(VLOOKUP(A39,Biogasanlæg!$F$3:$G$8,2,FALSE),1)</f>
        <v>0</v>
      </c>
      <c r="T39" s="195">
        <f t="shared" si="11"/>
        <v>0</v>
      </c>
      <c r="U39" s="193">
        <f>O39*IFERROR(VLOOKUP(A39,[1]Tørstofindhold!A$2:B$25,2,FALSE),0)</f>
        <v>0</v>
      </c>
      <c r="V39" s="194">
        <f>IF(D39=År1,P39,SUM(O39,P39))*IFERROR(VLOOKUP(A39,[1]Tørstofindhold!A$2:B$25,2,FALSE),0)</f>
        <v>0</v>
      </c>
      <c r="W39" s="194">
        <f>J39*IFERROR(VLOOKUP(A39,[1]Tørstofindhold!A$2:B$25,2,FALSE),0)</f>
        <v>0</v>
      </c>
      <c r="X39" s="195">
        <f t="shared" si="12"/>
        <v>0</v>
      </c>
      <c r="Y39" s="173">
        <f t="shared" si="2"/>
        <v>0</v>
      </c>
      <c r="Z39" s="104">
        <f t="shared" si="3"/>
        <v>1</v>
      </c>
    </row>
    <row r="40" spans="1:26" x14ac:dyDescent="0.25">
      <c r="A40" s="194" t="s">
        <v>243</v>
      </c>
      <c r="B40" s="196" t="s">
        <v>243</v>
      </c>
      <c r="C40" s="196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6">
        <f t="shared" si="8"/>
        <v>2019</v>
      </c>
      <c r="E40" s="194" t="s">
        <v>24</v>
      </c>
      <c r="F40" s="197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4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7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155146.779166311</v>
      </c>
      <c r="M40" s="159">
        <f>SUMIFS('Forbrug af biomasse'!E:E,'Forbrug af biomasse'!C:C,'Resultat-Produktion &amp; forbrug'!$A40,'Forbrug af biomasse'!D:D,'Resultat-Produktion &amp; forbrug'!$D40,'Forbrug af biomasse'!G:G,1,'Forbrug af biomasse'!B:B,$E40)</f>
        <v>0</v>
      </c>
      <c r="N40" s="206">
        <f t="shared" si="9"/>
        <v>0</v>
      </c>
      <c r="O40" s="197">
        <f t="shared" si="1"/>
        <v>0</v>
      </c>
      <c r="P40" s="207">
        <f t="shared" si="10"/>
        <v>155146.779166311</v>
      </c>
      <c r="Q40" s="194">
        <f>IFERROR(VLOOKUP(A40,[1]Energiindhold!$A$2:$C$11,3,FALSE),IFERROR(VLOOKUP(A40,[1]Biogasudbytte!$A$2:$B$18,2,FALSE)*[1]Energiindhold!$C$10,0))*O40</f>
        <v>0</v>
      </c>
      <c r="R40" s="194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5.4301372708208842</v>
      </c>
      <c r="S40" s="194">
        <f>IFERROR(VLOOKUP(A40,[1]Biogasudbytte!$A$2:$B$18,2,FALSE)*[1]Energiindhold!$C$10,0)*J40*IFERROR(VLOOKUP(A40,Biogasanlæg!$F$3:$G$8,2,FALSE),1)</f>
        <v>0</v>
      </c>
      <c r="T40" s="195">
        <f t="shared" si="11"/>
        <v>5.4301372708208842</v>
      </c>
      <c r="U40" s="193">
        <f>O40*IFERROR(VLOOKUP(A40,[1]Tørstofindhold!A$2:B$25,2,FALSE),0)</f>
        <v>0</v>
      </c>
      <c r="V40" s="194">
        <f>IF(D40=År1,P40,SUM(O40,P40))*IFERROR(VLOOKUP(A40,[1]Tørstofindhold!A$2:B$25,2,FALSE),0)</f>
        <v>141183.569041343</v>
      </c>
      <c r="W40" s="194">
        <f>J40*IFERROR(VLOOKUP(A40,[1]Tørstofindhold!A$2:B$25,2,FALSE),0)</f>
        <v>0</v>
      </c>
      <c r="X40" s="195">
        <f t="shared" si="12"/>
        <v>141183.569041343</v>
      </c>
      <c r="Y40" s="173">
        <f t="shared" si="2"/>
        <v>0</v>
      </c>
      <c r="Z40" s="104">
        <f t="shared" si="3"/>
        <v>0</v>
      </c>
    </row>
    <row r="41" spans="1:26" x14ac:dyDescent="0.25">
      <c r="A41" s="194" t="s">
        <v>53</v>
      </c>
      <c r="B41" s="196" t="s">
        <v>236</v>
      </c>
      <c r="C41" s="196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6">
        <f t="shared" si="8"/>
        <v>2019</v>
      </c>
      <c r="E41" s="194" t="s">
        <v>24</v>
      </c>
      <c r="F41" s="197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4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7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9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6">
        <f t="shared" si="9"/>
        <v>-468819.27146385383</v>
      </c>
      <c r="O41" s="197">
        <f t="shared" si="1"/>
        <v>0</v>
      </c>
      <c r="P41" s="207">
        <f t="shared" si="10"/>
        <v>4101.0489241972273</v>
      </c>
      <c r="Q41" s="194">
        <f>IFERROR(VLOOKUP(A41,[1]Energiindhold!$A$2:$C$11,3,FALSE),IFERROR(VLOOKUP(A41,[1]Biogasudbytte!$A$2:$B$18,2,FALSE)*[1]Energiindhold!$C$10,0))*O41</f>
        <v>0</v>
      </c>
      <c r="R41" s="194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4">
        <f>IFERROR(VLOOKUP(A41,[1]Biogasudbytte!$A$2:$B$18,2,FALSE)*[1]Energiindhold!$C$10,0)*J41*IFERROR(VLOOKUP(A41,Biogasanlæg!$F$3:$G$8,2,FALSE),1)</f>
        <v>1.1130410822228242E-2</v>
      </c>
      <c r="T41" s="195">
        <f t="shared" si="11"/>
        <v>0</v>
      </c>
      <c r="U41" s="193">
        <f>O41*IFERROR(VLOOKUP(A41,[1]Tørstofindhold!A$2:B$25,2,FALSE),0)</f>
        <v>0</v>
      </c>
      <c r="V41" s="194">
        <f>IF(D41=År1,P41,SUM(O41,P41))*IFERROR(VLOOKUP(A41,[1]Tørstofindhold!A$2:B$25,2,FALSE),0)</f>
        <v>820.20978483944555</v>
      </c>
      <c r="W41" s="194">
        <f>J41*IFERROR(VLOOKUP(A41,[1]Tørstofindhold!A$2:B$25,2,FALSE),0)</f>
        <v>820.20978483944555</v>
      </c>
      <c r="X41" s="195">
        <f t="shared" si="12"/>
        <v>0</v>
      </c>
      <c r="Y41" s="173">
        <f t="shared" si="2"/>
        <v>0</v>
      </c>
      <c r="Z41" s="104">
        <f t="shared" si="3"/>
        <v>1</v>
      </c>
    </row>
    <row r="42" spans="1:26" x14ac:dyDescent="0.25">
      <c r="A42" s="194" t="s">
        <v>124</v>
      </c>
      <c r="B42" s="196"/>
      <c r="C42" s="196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6">
        <f t="shared" si="8"/>
        <v>2019</v>
      </c>
      <c r="E42" s="194" t="s">
        <v>24</v>
      </c>
      <c r="F42" s="197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4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7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9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6">
        <f t="shared" si="9"/>
        <v>193830.89221723122</v>
      </c>
      <c r="O42" s="197">
        <f t="shared" si="1"/>
        <v>0</v>
      </c>
      <c r="P42" s="207">
        <f t="shared" si="10"/>
        <v>0</v>
      </c>
      <c r="Q42" s="194">
        <f>IFERROR(VLOOKUP(A42,[1]Energiindhold!$A$2:$C$11,3,FALSE),IFERROR(VLOOKUP(A42,[1]Biogasudbytte!$A$2:$B$18,2,FALSE)*[1]Energiindhold!$C$10,0))*O42</f>
        <v>0</v>
      </c>
      <c r="R42" s="194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4">
        <f>IFERROR(VLOOKUP(A42,[1]Biogasudbytte!$A$2:$B$18,2,FALSE)*[1]Energiindhold!$C$10,0)*J42*IFERROR(VLOOKUP(A42,Biogasanlæg!$F$3:$G$8,2,FALSE),1)</f>
        <v>0</v>
      </c>
      <c r="T42" s="195">
        <f t="shared" si="11"/>
        <v>0</v>
      </c>
      <c r="U42" s="193">
        <f>O42*IFERROR(VLOOKUP(A42,[1]Tørstofindhold!A$2:B$25,2,FALSE),0)</f>
        <v>0</v>
      </c>
      <c r="V42" s="194">
        <f>IF(D42=År1,P42,SUM(O42,P42))*IFERROR(VLOOKUP(A42,[1]Tørstofindhold!A$2:B$25,2,FALSE),0)</f>
        <v>0</v>
      </c>
      <c r="W42" s="194">
        <f>J42*IFERROR(VLOOKUP(A42,[1]Tørstofindhold!A$2:B$25,2,FALSE),0)</f>
        <v>0</v>
      </c>
      <c r="X42" s="195">
        <f t="shared" si="12"/>
        <v>0</v>
      </c>
      <c r="Y42" s="173">
        <f t="shared" si="2"/>
        <v>0</v>
      </c>
      <c r="Z42" s="104">
        <f t="shared" si="3"/>
        <v>1</v>
      </c>
    </row>
    <row r="43" spans="1:26" x14ac:dyDescent="0.25">
      <c r="A43" s="194" t="s">
        <v>110</v>
      </c>
      <c r="B43" s="196"/>
      <c r="C43" s="196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6">
        <f t="shared" si="8"/>
        <v>2019</v>
      </c>
      <c r="E43" s="194" t="s">
        <v>24</v>
      </c>
      <c r="F43" s="197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4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7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9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6">
        <f t="shared" si="9"/>
        <v>91860.340866184866</v>
      </c>
      <c r="O43" s="197">
        <f t="shared" si="1"/>
        <v>0</v>
      </c>
      <c r="P43" s="207">
        <f t="shared" si="10"/>
        <v>0</v>
      </c>
      <c r="Q43" s="194">
        <f>IFERROR(VLOOKUP(A43,[1]Energiindhold!$A$2:$C$11,3,FALSE),IFERROR(VLOOKUP(A43,[1]Biogasudbytte!$A$2:$B$18,2,FALSE)*[1]Energiindhold!$C$10,0))*O43</f>
        <v>0</v>
      </c>
      <c r="R43" s="194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4">
        <f>IFERROR(VLOOKUP(A43,[1]Biogasudbytte!$A$2:$B$18,2,FALSE)*[1]Energiindhold!$C$10,0)*J43*IFERROR(VLOOKUP(A43,Biogasanlæg!$F$3:$G$8,2,FALSE),1)</f>
        <v>0</v>
      </c>
      <c r="T43" s="195">
        <f t="shared" si="11"/>
        <v>0</v>
      </c>
      <c r="U43" s="193">
        <f>O43*IFERROR(VLOOKUP(A43,[1]Tørstofindhold!A$2:B$25,2,FALSE),0)</f>
        <v>0</v>
      </c>
      <c r="V43" s="194">
        <f>IF(D43=År1,P43,SUM(O43,P43))*IFERROR(VLOOKUP(A43,[1]Tørstofindhold!A$2:B$25,2,FALSE),0)</f>
        <v>0</v>
      </c>
      <c r="W43" s="194">
        <f>J43*IFERROR(VLOOKUP(A43,[1]Tørstofindhold!A$2:B$25,2,FALSE),0)</f>
        <v>0</v>
      </c>
      <c r="X43" s="195">
        <f t="shared" si="12"/>
        <v>0</v>
      </c>
      <c r="Y43" s="173">
        <f t="shared" si="2"/>
        <v>0</v>
      </c>
      <c r="Z43" s="104">
        <f t="shared" si="3"/>
        <v>1</v>
      </c>
    </row>
    <row r="44" spans="1:26" x14ac:dyDescent="0.25">
      <c r="A44" s="196" t="s">
        <v>146</v>
      </c>
      <c r="B44" s="196" t="s">
        <v>242</v>
      </c>
      <c r="C44" s="196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6">
        <f t="shared" si="8"/>
        <v>2019</v>
      </c>
      <c r="E44" s="194" t="s">
        <v>24</v>
      </c>
      <c r="F44" s="197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4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7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9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6">
        <f t="shared" si="9"/>
        <v>2390013.9527756004</v>
      </c>
      <c r="O44" s="197">
        <f t="shared" si="1"/>
        <v>2390013.9527756004</v>
      </c>
      <c r="P44" s="207">
        <f t="shared" si="10"/>
        <v>1460182.5874658169</v>
      </c>
      <c r="Q44" s="194">
        <f>IFERROR(VLOOKUP(A44,[1]Energiindhold!$A$2:$C$11,3,FALSE),IFERROR(VLOOKUP(A44,[1]Biogasudbytte!$A$2:$B$18,2,FALSE)*[1]Energiindhold!$C$10,0))*O44</f>
        <v>1.1926408625745526</v>
      </c>
      <c r="R44" s="194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4">
        <f>IFERROR(VLOOKUP(A44,[1]Biogasudbytte!$A$2:$B$18,2,FALSE)*[1]Energiindhold!$C$10,0)*J44*IFERROR(VLOOKUP(A44,Biogasanlæg!$F$3:$G$8,2,FALSE),1)</f>
        <v>0.72864571297131742</v>
      </c>
      <c r="T44" s="195">
        <f t="shared" si="11"/>
        <v>0</v>
      </c>
      <c r="U44" s="193">
        <f>O44*IFERROR(VLOOKUP(A44,[1]Tørstofindhold!A$2:B$25,2,FALSE),0)</f>
        <v>143400.83716653602</v>
      </c>
      <c r="V44" s="194">
        <f>IF(D44=År1,P44,SUM(O44,P44))*IFERROR(VLOOKUP(A44,[1]Tørstofindhold!A$2:B$25,2,FALSE),0)</f>
        <v>87610.955247949008</v>
      </c>
      <c r="W44" s="194">
        <f>J44*IFERROR(VLOOKUP(A44,[1]Tørstofindhold!A$2:B$25,2,FALSE),0)</f>
        <v>87610.955247949008</v>
      </c>
      <c r="X44" s="195">
        <f t="shared" si="12"/>
        <v>0</v>
      </c>
      <c r="Y44" s="173">
        <f t="shared" si="2"/>
        <v>0</v>
      </c>
      <c r="Z44" s="104">
        <f t="shared" si="3"/>
        <v>1</v>
      </c>
    </row>
    <row r="45" spans="1:26" x14ac:dyDescent="0.25">
      <c r="A45" s="196" t="s">
        <v>141</v>
      </c>
      <c r="B45" s="196" t="s">
        <v>234</v>
      </c>
      <c r="C45" s="196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6">
        <f t="shared" si="8"/>
        <v>2019</v>
      </c>
      <c r="E45" s="194" t="s">
        <v>24</v>
      </c>
      <c r="F45" s="197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4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7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9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6">
        <f t="shared" si="9"/>
        <v>0</v>
      </c>
      <c r="O45" s="197">
        <f t="shared" si="1"/>
        <v>0</v>
      </c>
      <c r="P45" s="207">
        <f t="shared" si="10"/>
        <v>2534442.072977222</v>
      </c>
      <c r="Q45" s="194">
        <f>IFERROR(VLOOKUP(A45,[1]Energiindhold!$A$2:$C$11,3,FALSE),IFERROR(VLOOKUP(A45,[1]Biogasudbytte!$A$2:$B$18,2,FALSE)*[1]Energiindhold!$C$10,0))*O45</f>
        <v>0</v>
      </c>
      <c r="R45" s="194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4">
        <f>IFERROR(VLOOKUP(A45,[1]Biogasudbytte!$A$2:$B$18,2,FALSE)*[1]Energiindhold!$C$10,0)*J45*IFERROR(VLOOKUP(A45,Biogasanlæg!$F$3:$G$8,2,FALSE),1)</f>
        <v>1.0918376450385874</v>
      </c>
      <c r="T45" s="195">
        <f t="shared" si="11"/>
        <v>0</v>
      </c>
      <c r="U45" s="193">
        <f>O45*IFERROR(VLOOKUP(A45,[1]Tørstofindhold!A$2:B$25,2,FALSE),0)</f>
        <v>0</v>
      </c>
      <c r="V45" s="194">
        <f>IF(D45=År1,P45,SUM(O45,P45))*IFERROR(VLOOKUP(A45,[1]Tørstofindhold!A$2:B$25,2,FALSE),0)</f>
        <v>126722.10364886111</v>
      </c>
      <c r="W45" s="194">
        <f>J45*IFERROR(VLOOKUP(A45,[1]Tørstofindhold!A$2:B$25,2,FALSE),0)</f>
        <v>126722.10364886111</v>
      </c>
      <c r="X45" s="195">
        <f t="shared" si="12"/>
        <v>0</v>
      </c>
      <c r="Y45" s="173">
        <f t="shared" si="2"/>
        <v>0</v>
      </c>
      <c r="Z45" s="104">
        <f t="shared" si="3"/>
        <v>0</v>
      </c>
    </row>
    <row r="46" spans="1:26" x14ac:dyDescent="0.25">
      <c r="A46" s="196" t="s">
        <v>13</v>
      </c>
      <c r="B46" s="196"/>
      <c r="C46" s="196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6">
        <f t="shared" si="8"/>
        <v>2019</v>
      </c>
      <c r="E46" s="194" t="s">
        <v>24</v>
      </c>
      <c r="F46" s="197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4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7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9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6">
        <f t="shared" si="9"/>
        <v>1276456.3476501952</v>
      </c>
      <c r="O46" s="197">
        <f t="shared" si="1"/>
        <v>0</v>
      </c>
      <c r="P46" s="207">
        <f t="shared" si="10"/>
        <v>0</v>
      </c>
      <c r="Q46" s="194">
        <f>IFERROR(VLOOKUP(A46,[1]Energiindhold!$A$2:$C$11,3,FALSE),IFERROR(VLOOKUP(A46,[1]Biogasudbytte!$A$2:$B$18,2,FALSE)*[1]Energiindhold!$C$10,0))*O46</f>
        <v>0</v>
      </c>
      <c r="R46" s="194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4">
        <f>IFERROR(VLOOKUP(A46,[1]Biogasudbytte!$A$2:$B$18,2,FALSE)*[1]Energiindhold!$C$10,0)*J46*IFERROR(VLOOKUP(A46,Biogasanlæg!$F$3:$G$8,2,FALSE),1)</f>
        <v>0</v>
      </c>
      <c r="T46" s="195">
        <f t="shared" si="11"/>
        <v>0</v>
      </c>
      <c r="U46" s="193">
        <f>O46*IFERROR(VLOOKUP(A46,[1]Tørstofindhold!A$2:B$25,2,FALSE),0)</f>
        <v>0</v>
      </c>
      <c r="V46" s="194">
        <f>IF(D46=År1,P46,SUM(O46,P46))*IFERROR(VLOOKUP(A46,[1]Tørstofindhold!A$2:B$25,2,FALSE),0)</f>
        <v>0</v>
      </c>
      <c r="W46" s="194">
        <f>J46*IFERROR(VLOOKUP(A46,[1]Tørstofindhold!A$2:B$25,2,FALSE),0)</f>
        <v>0</v>
      </c>
      <c r="X46" s="195">
        <f t="shared" si="12"/>
        <v>0</v>
      </c>
      <c r="Y46" s="173">
        <f t="shared" si="2"/>
        <v>0</v>
      </c>
      <c r="Z46" s="104">
        <f t="shared" si="3"/>
        <v>1</v>
      </c>
    </row>
    <row r="47" spans="1:26" x14ac:dyDescent="0.25">
      <c r="A47" s="196" t="s">
        <v>101</v>
      </c>
      <c r="B47" s="196" t="s">
        <v>238</v>
      </c>
      <c r="C47" s="196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6">
        <f t="shared" si="8"/>
        <v>2019</v>
      </c>
      <c r="E47" s="194" t="s">
        <v>24</v>
      </c>
      <c r="F47" s="197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4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7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9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6">
        <f t="shared" si="9"/>
        <v>76.5</v>
      </c>
      <c r="O47" s="197">
        <f t="shared" si="1"/>
        <v>76.5</v>
      </c>
      <c r="P47" s="207">
        <f t="shared" si="10"/>
        <v>0</v>
      </c>
      <c r="Q47" s="194">
        <f>IFERROR(VLOOKUP(A47,[1]Energiindhold!$A$2:$C$11,3,FALSE),IFERROR(VLOOKUP(A47,[1]Biogasudbytte!$A$2:$B$18,2,FALSE)*[1]Energiindhold!$C$10,0))*O47</f>
        <v>6.8658750000000004E-5</v>
      </c>
      <c r="R47" s="194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4">
        <f>IFERROR(VLOOKUP(A47,[1]Biogasudbytte!$A$2:$B$18,2,FALSE)*[1]Energiindhold!$C$10,0)*J47*IFERROR(VLOOKUP(A47,Biogasanlæg!$F$3:$G$8,2,FALSE),1)</f>
        <v>0</v>
      </c>
      <c r="T47" s="195">
        <f t="shared" si="11"/>
        <v>0</v>
      </c>
      <c r="U47" s="193">
        <f>O47*IFERROR(VLOOKUP(A47,[1]Tørstofindhold!A$2:B$25,2,FALSE),0)</f>
        <v>11.475</v>
      </c>
      <c r="V47" s="194">
        <f>IF(D47=År1,P47,SUM(O47,P47))*IFERROR(VLOOKUP(A47,[1]Tørstofindhold!A$2:B$25,2,FALSE),0)</f>
        <v>0</v>
      </c>
      <c r="W47" s="194">
        <f>J47*IFERROR(VLOOKUP(A47,[1]Tørstofindhold!A$2:B$25,2,FALSE),0)</f>
        <v>0</v>
      </c>
      <c r="X47" s="195">
        <f t="shared" si="12"/>
        <v>0</v>
      </c>
      <c r="Y47" s="173">
        <f t="shared" si="2"/>
        <v>0</v>
      </c>
      <c r="Z47" s="104">
        <f t="shared" si="3"/>
        <v>1</v>
      </c>
    </row>
    <row r="48" spans="1:26" x14ac:dyDescent="0.25">
      <c r="A48" s="196" t="s">
        <v>106</v>
      </c>
      <c r="B48" s="196"/>
      <c r="C48" s="196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6">
        <f t="shared" si="8"/>
        <v>2019</v>
      </c>
      <c r="E48" s="194" t="s">
        <v>24</v>
      </c>
      <c r="F48" s="197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4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7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9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6">
        <f t="shared" si="9"/>
        <v>0</v>
      </c>
      <c r="O48" s="197">
        <f t="shared" si="1"/>
        <v>0</v>
      </c>
      <c r="P48" s="207">
        <f t="shared" si="10"/>
        <v>0</v>
      </c>
      <c r="Q48" s="194">
        <f>IFERROR(VLOOKUP(A48,[1]Energiindhold!$A$2:$C$11,3,FALSE),IFERROR(VLOOKUP(A48,[1]Biogasudbytte!$A$2:$B$18,2,FALSE)*[1]Energiindhold!$C$10,0))*O48</f>
        <v>0</v>
      </c>
      <c r="R48" s="194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4">
        <f>IFERROR(VLOOKUP(A48,[1]Biogasudbytte!$A$2:$B$18,2,FALSE)*[1]Energiindhold!$C$10,0)*J48*IFERROR(VLOOKUP(A48,Biogasanlæg!$F$3:$G$8,2,FALSE),1)</f>
        <v>0</v>
      </c>
      <c r="T48" s="195">
        <f t="shared" si="11"/>
        <v>0</v>
      </c>
      <c r="U48" s="193">
        <f>O48*IFERROR(VLOOKUP(A48,[1]Tørstofindhold!A$2:B$25,2,FALSE),0)</f>
        <v>0</v>
      </c>
      <c r="V48" s="194">
        <f>IF(D48=År1,P48,SUM(O48,P48))*IFERROR(VLOOKUP(A48,[1]Tørstofindhold!A$2:B$25,2,FALSE),0)</f>
        <v>0</v>
      </c>
      <c r="W48" s="194">
        <f>J48*IFERROR(VLOOKUP(A48,[1]Tørstofindhold!A$2:B$25,2,FALSE),0)</f>
        <v>0</v>
      </c>
      <c r="X48" s="195">
        <f t="shared" si="12"/>
        <v>0</v>
      </c>
      <c r="Y48" s="173">
        <f t="shared" si="2"/>
        <v>0</v>
      </c>
      <c r="Z48" s="104">
        <f t="shared" si="3"/>
        <v>0</v>
      </c>
    </row>
    <row r="49" spans="1:26" x14ac:dyDescent="0.25">
      <c r="A49" s="196" t="s">
        <v>122</v>
      </c>
      <c r="B49" s="196" t="s">
        <v>237</v>
      </c>
      <c r="C49" s="196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6">
        <f t="shared" si="8"/>
        <v>2019</v>
      </c>
      <c r="E49" s="194" t="s">
        <v>24</v>
      </c>
      <c r="F49" s="197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4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7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9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6">
        <f t="shared" si="9"/>
        <v>0</v>
      </c>
      <c r="O49" s="197">
        <f t="shared" si="1"/>
        <v>0</v>
      </c>
      <c r="P49" s="207">
        <f t="shared" si="10"/>
        <v>2328635.6388303456</v>
      </c>
      <c r="Q49" s="194">
        <f>IFERROR(VLOOKUP(A49,[1]Energiindhold!$A$2:$C$11,3,FALSE),IFERROR(VLOOKUP(A49,[1]Biogasudbytte!$A$2:$B$18,2,FALSE)*[1]Energiindhold!$C$10,0))*O49</f>
        <v>0</v>
      </c>
      <c r="R49" s="194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4">
        <f>IFERROR(VLOOKUP(A49,[1]Biogasudbytte!$A$2:$B$18,2,FALSE)*[1]Energiindhold!$C$10,0)*J49*IFERROR(VLOOKUP(A49,Biogasanlæg!$F$3:$G$8,2,FALSE),1)</f>
        <v>0</v>
      </c>
      <c r="T49" s="195">
        <f t="shared" si="11"/>
        <v>33.750241076188566</v>
      </c>
      <c r="U49" s="193">
        <f>O49*IFERROR(VLOOKUP(A49,[1]Tørstofindhold!A$2:B$25,2,FALSE),0)</f>
        <v>0</v>
      </c>
      <c r="V49" s="194">
        <f>IF(D49=År1,P49,SUM(O49,P49))*IFERROR(VLOOKUP(A49,[1]Tørstofindhold!A$2:B$25,2,FALSE),0)</f>
        <v>1151704.3763715085</v>
      </c>
      <c r="W49" s="194">
        <f>J49*IFERROR(VLOOKUP(A49,[1]Tørstofindhold!A$2:B$25,2,FALSE),0)</f>
        <v>0</v>
      </c>
      <c r="X49" s="195">
        <f t="shared" si="12"/>
        <v>1151704.3763715085</v>
      </c>
      <c r="Y49" s="173">
        <f t="shared" si="2"/>
        <v>0</v>
      </c>
      <c r="Z49" s="104">
        <f t="shared" si="3"/>
        <v>0</v>
      </c>
    </row>
    <row r="50" spans="1:26" x14ac:dyDescent="0.25">
      <c r="A50" s="196" t="s">
        <v>121</v>
      </c>
      <c r="B50" s="196"/>
      <c r="C50" s="196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6">
        <f t="shared" si="8"/>
        <v>2019</v>
      </c>
      <c r="E50" s="194" t="s">
        <v>24</v>
      </c>
      <c r="F50" s="197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4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7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9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6">
        <f t="shared" si="9"/>
        <v>640280.13059892249</v>
      </c>
      <c r="O50" s="197">
        <f t="shared" si="1"/>
        <v>0</v>
      </c>
      <c r="P50" s="207">
        <f t="shared" si="10"/>
        <v>0</v>
      </c>
      <c r="Q50" s="194">
        <f>IFERROR(VLOOKUP(A50,[1]Energiindhold!$A$2:$C$11,3,FALSE),IFERROR(VLOOKUP(A50,[1]Biogasudbytte!$A$2:$B$18,2,FALSE)*[1]Energiindhold!$C$10,0))*O50</f>
        <v>0</v>
      </c>
      <c r="R50" s="194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4">
        <f>IFERROR(VLOOKUP(A50,[1]Biogasudbytte!$A$2:$B$18,2,FALSE)*[1]Energiindhold!$C$10,0)*J50*IFERROR(VLOOKUP(A50,Biogasanlæg!$F$3:$G$8,2,FALSE),1)</f>
        <v>0</v>
      </c>
      <c r="T50" s="195">
        <f t="shared" si="11"/>
        <v>0</v>
      </c>
      <c r="U50" s="193">
        <f>O50*IFERROR(VLOOKUP(A50,[1]Tørstofindhold!A$2:B$25,2,FALSE),0)</f>
        <v>0</v>
      </c>
      <c r="V50" s="194">
        <f>IF(D50=År1,P50,SUM(O50,P50))*IFERROR(VLOOKUP(A50,[1]Tørstofindhold!A$2:B$25,2,FALSE),0)</f>
        <v>0</v>
      </c>
      <c r="W50" s="194">
        <f>J50*IFERROR(VLOOKUP(A50,[1]Tørstofindhold!A$2:B$25,2,FALSE),0)</f>
        <v>0</v>
      </c>
      <c r="X50" s="195">
        <f t="shared" si="12"/>
        <v>0</v>
      </c>
      <c r="Y50" s="173">
        <f t="shared" si="2"/>
        <v>0</v>
      </c>
      <c r="Z50" s="104">
        <f t="shared" si="3"/>
        <v>1</v>
      </c>
    </row>
    <row r="51" spans="1:26" x14ac:dyDescent="0.25">
      <c r="A51" s="196" t="str">
        <f t="shared" ref="A51:A82" si="17">A3</f>
        <v>Æg</v>
      </c>
      <c r="B51" s="196" t="str">
        <f t="shared" ref="B51:B82" si="18">IF(B3&lt;&gt;"",B3,"")</f>
        <v/>
      </c>
      <c r="C51" s="196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6">
        <f t="shared" ref="D51:D98" si="19">År2</f>
        <v>2030</v>
      </c>
      <c r="E51" s="194" t="s">
        <v>24</v>
      </c>
      <c r="F51" s="197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4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7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9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6">
        <f t="shared" si="9"/>
        <v>181212.16529988745</v>
      </c>
      <c r="O51" s="197">
        <f t="shared" si="1"/>
        <v>0</v>
      </c>
      <c r="P51" s="207">
        <f t="shared" si="10"/>
        <v>0</v>
      </c>
      <c r="Q51" s="194">
        <f>IFERROR(VLOOKUP(A51,[1]Energiindhold!$A$2:$C$11,3,FALSE),IFERROR(VLOOKUP(A51,[1]Biogasudbytte!$A$2:$B$18,2,FALSE)*[1]Energiindhold!$C$10,0))*O51</f>
        <v>0</v>
      </c>
      <c r="R51" s="194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4">
        <f>IFERROR(VLOOKUP(A51,[1]Biogasudbytte!$A$2:$B$18,2,FALSE)*[1]Energiindhold!$C$10,0)*J51*IFERROR(VLOOKUP(A51,Biogasanlæg!$F$3:$G$8,2,FALSE),1)</f>
        <v>0</v>
      </c>
      <c r="T51" s="195">
        <f t="shared" si="11"/>
        <v>0</v>
      </c>
      <c r="U51" s="193">
        <f>O51*IFERROR(VLOOKUP(A51,[1]Tørstofindhold!A$2:B$25,2,FALSE),0)</f>
        <v>0</v>
      </c>
      <c r="V51" s="194">
        <f>IF(D51=År1,P51,SUM(O51,P51))*IFERROR(VLOOKUP(A51,[1]Tørstofindhold!A$2:B$25,2,FALSE),0)</f>
        <v>0</v>
      </c>
      <c r="W51" s="194">
        <f>J51*IFERROR(VLOOKUP(A51,[1]Tørstofindhold!A$2:B$25,2,FALSE),0)</f>
        <v>0</v>
      </c>
      <c r="X51" s="195">
        <f t="shared" si="12"/>
        <v>0</v>
      </c>
      <c r="Y51" s="173">
        <f t="shared" si="2"/>
        <v>0</v>
      </c>
      <c r="Z51" s="104">
        <f t="shared" si="3"/>
        <v>1</v>
      </c>
    </row>
    <row r="52" spans="1:26" x14ac:dyDescent="0.25">
      <c r="A52" s="196" t="str">
        <f t="shared" si="17"/>
        <v>Bælgsæd</v>
      </c>
      <c r="B52" s="196" t="str">
        <f t="shared" si="18"/>
        <v/>
      </c>
      <c r="C52" s="196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6">
        <f t="shared" si="19"/>
        <v>2030</v>
      </c>
      <c r="E52" s="194" t="s">
        <v>24</v>
      </c>
      <c r="F52" s="197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184407.26877936258</v>
      </c>
      <c r="G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4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7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9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6">
        <f t="shared" si="9"/>
        <v>119908.7933041706</v>
      </c>
      <c r="O52" s="197">
        <f t="shared" si="1"/>
        <v>0</v>
      </c>
      <c r="P52" s="207">
        <f t="shared" si="10"/>
        <v>0</v>
      </c>
      <c r="Q52" s="194">
        <f>IFERROR(VLOOKUP(A52,[1]Energiindhold!$A$2:$C$11,3,FALSE),IFERROR(VLOOKUP(A52,[1]Biogasudbytte!$A$2:$B$18,2,FALSE)*[1]Energiindhold!$C$10,0))*O52</f>
        <v>0</v>
      </c>
      <c r="R52" s="194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4">
        <f>IFERROR(VLOOKUP(A52,[1]Biogasudbytte!$A$2:$B$18,2,FALSE)*[1]Energiindhold!$C$10,0)*J52*IFERROR(VLOOKUP(A52,Biogasanlæg!$F$3:$G$8,2,FALSE),1)</f>
        <v>0</v>
      </c>
      <c r="T52" s="195">
        <f t="shared" si="11"/>
        <v>0</v>
      </c>
      <c r="U52" s="193">
        <f>O52*IFERROR(VLOOKUP(A52,[1]Tørstofindhold!A$2:B$25,2,FALSE),0)</f>
        <v>0</v>
      </c>
      <c r="V52" s="194">
        <f>IF(D52=År1,P52,SUM(O52,P52))*IFERROR(VLOOKUP(A52,[1]Tørstofindhold!A$2:B$25,2,FALSE),0)</f>
        <v>0</v>
      </c>
      <c r="W52" s="194">
        <f>J52*IFERROR(VLOOKUP(A52,[1]Tørstofindhold!A$2:B$25,2,FALSE),0)</f>
        <v>0</v>
      </c>
      <c r="X52" s="195">
        <f t="shared" si="12"/>
        <v>0</v>
      </c>
      <c r="Y52" s="173">
        <f t="shared" si="2"/>
        <v>0</v>
      </c>
      <c r="Z52" s="104">
        <f t="shared" si="3"/>
        <v>1</v>
      </c>
    </row>
    <row r="53" spans="1:26" x14ac:dyDescent="0.25">
      <c r="A53" s="196" t="str">
        <f t="shared" si="17"/>
        <v>Bioaffald</v>
      </c>
      <c r="B53" s="196" t="str">
        <f t="shared" si="18"/>
        <v>Bionedbrydeligt affald</v>
      </c>
      <c r="C53" s="196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6">
        <f t="shared" si="19"/>
        <v>2030</v>
      </c>
      <c r="E53" s="194" t="s">
        <v>24</v>
      </c>
      <c r="F53" s="197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4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7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7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9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6">
        <f t="shared" ca="1" si="9"/>
        <v>-1.5144408156629652E-2</v>
      </c>
      <c r="O53" s="197">
        <f t="shared" ca="1" si="1"/>
        <v>0</v>
      </c>
      <c r="P53" s="207">
        <f t="shared" ca="1" si="10"/>
        <v>195082.24112879002</v>
      </c>
      <c r="Q53" s="194">
        <f ca="1">IFERROR(VLOOKUP(A53,[1]Energiindhold!$A$2:$C$11,3,FALSE),IFERROR(VLOOKUP(A53,[1]Biogasudbytte!$A$2:$B$18,2,FALSE)*[1]Energiindhold!$C$10,0))*O53</f>
        <v>0</v>
      </c>
      <c r="R53" s="194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4">
        <f ca="1">IFERROR(VLOOKUP(A53,[1]Biogasudbytte!$A$2:$B$18,2,FALSE)*[1]Energiindhold!$C$10,0)*J53*IFERROR(VLOOKUP(A53,Biogasanlæg!$F$3:$G$8,2,FALSE),1)</f>
        <v>0.59816487431167753</v>
      </c>
      <c r="T53" s="195">
        <f t="shared" ca="1" si="11"/>
        <v>0</v>
      </c>
      <c r="U53" s="193">
        <f ca="1">O53*IFERROR(VLOOKUP(A53,[1]Tørstofindhold!A$2:B$25,2,FALSE),0)</f>
        <v>0</v>
      </c>
      <c r="V53" s="194">
        <f ca="1">IF(D53=År1,P53,SUM(O53,P53))*IFERROR(VLOOKUP(A53,[1]Tørstofindhold!A$2:B$25,2,FALSE),0)</f>
        <v>54623.027516061207</v>
      </c>
      <c r="W53" s="194">
        <f ca="1">J53*IFERROR(VLOOKUP(A53,[1]Tørstofindhold!A$2:B$25,2,FALSE),0)</f>
        <v>54623.027516061207</v>
      </c>
      <c r="X53" s="195">
        <f t="shared" ca="1" si="12"/>
        <v>0</v>
      </c>
      <c r="Y53" s="173">
        <f t="shared" ca="1" si="2"/>
        <v>1</v>
      </c>
      <c r="Z53" s="104">
        <f t="shared" ca="1" si="3"/>
        <v>0</v>
      </c>
    </row>
    <row r="54" spans="1:26" x14ac:dyDescent="0.25">
      <c r="A54" s="196" t="str">
        <f t="shared" si="17"/>
        <v>Biogas</v>
      </c>
      <c r="B54" s="196" t="str">
        <f t="shared" si="18"/>
        <v/>
      </c>
      <c r="C54" s="196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6">
        <f t="shared" si="19"/>
        <v>2030</v>
      </c>
      <c r="E54" s="194" t="s">
        <v>24</v>
      </c>
      <c r="F54" s="197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538346468.17502034</v>
      </c>
      <c r="G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4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7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538346468.17502034</v>
      </c>
      <c r="M54" s="159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6">
        <f t="shared" ca="1" si="9"/>
        <v>0</v>
      </c>
      <c r="O54" s="197">
        <f t="shared" ca="1" si="1"/>
        <v>0</v>
      </c>
      <c r="P54" s="207">
        <f t="shared" ca="1" si="10"/>
        <v>538346468.17502034</v>
      </c>
      <c r="Q54" s="194">
        <f ca="1">IFERROR(VLOOKUP(A54,[1]Energiindhold!$A$2:$C$11,3,FALSE),IFERROR(VLOOKUP(A54,[1]Biogasudbytte!$A$2:$B$18,2,FALSE)*[1]Energiindhold!$C$10,0))*O54</f>
        <v>0</v>
      </c>
      <c r="R54" s="194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4">
        <f>IFERROR(VLOOKUP(A54,[1]Biogasudbytte!$A$2:$B$18,2,FALSE)*[1]Energiindhold!$C$10,0)*J54*IFERROR(VLOOKUP(A54,Biogasanlæg!$F$3:$G$8,2,FALSE),1)</f>
        <v>0</v>
      </c>
      <c r="T54" s="195">
        <f t="shared" si="11"/>
        <v>0</v>
      </c>
      <c r="U54" s="193">
        <f ca="1">O54*IFERROR(VLOOKUP(A54,[1]Tørstofindhold!A$2:B$25,2,FALSE),0)</f>
        <v>0</v>
      </c>
      <c r="V54" s="194">
        <f ca="1">IF(D54=År1,P54,SUM(O54,P54))*IFERROR(VLOOKUP(A54,[1]Tørstofindhold!A$2:B$25,2,FALSE),0)</f>
        <v>0</v>
      </c>
      <c r="W54" s="194">
        <f>J54*IFERROR(VLOOKUP(A54,[1]Tørstofindhold!A$2:B$25,2,FALSE),0)</f>
        <v>0</v>
      </c>
      <c r="X54" s="195">
        <f t="shared" ca="1" si="12"/>
        <v>0</v>
      </c>
      <c r="Y54" s="173">
        <f t="shared" ca="1" si="2"/>
        <v>0</v>
      </c>
      <c r="Z54" s="104">
        <f t="shared" ca="1" si="3"/>
        <v>0</v>
      </c>
    </row>
    <row r="55" spans="1:26" x14ac:dyDescent="0.25">
      <c r="A55" s="196" t="str">
        <f t="shared" si="17"/>
        <v>Biogasgylle</v>
      </c>
      <c r="B55" s="196" t="str">
        <f t="shared" si="18"/>
        <v/>
      </c>
      <c r="C55" s="196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6">
        <f t="shared" si="19"/>
        <v>2030</v>
      </c>
      <c r="E55" s="194" t="s">
        <v>24</v>
      </c>
      <c r="F55" s="197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22754669.572022874</v>
      </c>
      <c r="G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4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7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19483465.104424868</v>
      </c>
      <c r="L55" s="197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9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6">
        <f t="shared" ca="1" si="9"/>
        <v>3271204.4675980061</v>
      </c>
      <c r="O55" s="197">
        <f t="shared" si="1"/>
        <v>0</v>
      </c>
      <c r="P55" s="207">
        <f t="shared" si="10"/>
        <v>0</v>
      </c>
      <c r="Q55" s="194">
        <f>IFERROR(VLOOKUP(A55,[1]Energiindhold!$A$2:$C$11,3,FALSE),IFERROR(VLOOKUP(A55,[1]Biogasudbytte!$A$2:$B$18,2,FALSE)*[1]Energiindhold!$C$10,0))*O55</f>
        <v>0</v>
      </c>
      <c r="R55" s="194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4">
        <f>IFERROR(VLOOKUP(A55,[1]Biogasudbytte!$A$2:$B$18,2,FALSE)*[1]Energiindhold!$C$10,0)*J55*IFERROR(VLOOKUP(A55,Biogasanlæg!$F$3:$G$8,2,FALSE),1)</f>
        <v>0</v>
      </c>
      <c r="T55" s="195">
        <f t="shared" si="11"/>
        <v>0</v>
      </c>
      <c r="U55" s="193">
        <f>O55*IFERROR(VLOOKUP(A55,[1]Tørstofindhold!A$2:B$25,2,FALSE),0)</f>
        <v>0</v>
      </c>
      <c r="V55" s="194">
        <f>IF(D55=År1,P55,SUM(O55,P55))*IFERROR(VLOOKUP(A55,[1]Tørstofindhold!A$2:B$25,2,FALSE),0)</f>
        <v>0</v>
      </c>
      <c r="W55" s="194">
        <f>J55*IFERROR(VLOOKUP(A55,[1]Tørstofindhold!A$2:B$25,2,FALSE),0)</f>
        <v>0</v>
      </c>
      <c r="X55" s="195">
        <f t="shared" si="12"/>
        <v>0</v>
      </c>
      <c r="Y55" s="173">
        <f t="shared" ca="1" si="2"/>
        <v>0</v>
      </c>
      <c r="Z55" s="104">
        <f t="shared" ca="1" si="3"/>
        <v>1</v>
      </c>
    </row>
    <row r="56" spans="1:26" x14ac:dyDescent="0.25">
      <c r="A56" s="196" t="str">
        <f t="shared" si="17"/>
        <v>Brun saft</v>
      </c>
      <c r="B56" s="196" t="str">
        <f t="shared" si="18"/>
        <v>Bionedbrydeligt affald</v>
      </c>
      <c r="C56" s="196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6">
        <f t="shared" si="19"/>
        <v>2030</v>
      </c>
      <c r="E56" s="194" t="s">
        <v>24</v>
      </c>
      <c r="F56" s="197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7382.3997257789451</v>
      </c>
      <c r="G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4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3691.1998628894726</v>
      </c>
      <c r="K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7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9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6">
        <f t="shared" si="9"/>
        <v>3691.1998628894726</v>
      </c>
      <c r="O56" s="197">
        <f t="shared" si="1"/>
        <v>3691.1998628894726</v>
      </c>
      <c r="P56" s="207">
        <f t="shared" si="10"/>
        <v>3691.1998628894726</v>
      </c>
      <c r="Q56" s="194">
        <f>IFERROR(VLOOKUP(A56,[1]Energiindhold!$A$2:$C$11,3,FALSE),IFERROR(VLOOKUP(A56,[1]Biogasudbytte!$A$2:$B$18,2,FALSE)*[1]Energiindhold!$C$10,0))*O56</f>
        <v>2.0966977773155789E-3</v>
      </c>
      <c r="R56" s="194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4.1933955546311578E-3</v>
      </c>
      <c r="S56" s="194">
        <f>IFERROR(VLOOKUP(A56,[1]Biogasudbytte!$A$2:$B$18,2,FALSE)*[1]Energiindhold!$C$10,0)*J56*IFERROR(VLOOKUP(A56,Biogasanlæg!$F$3:$G$8,2,FALSE),1)</f>
        <v>2.0966977773155789E-3</v>
      </c>
      <c r="T56" s="195">
        <f t="shared" si="11"/>
        <v>2.0966977773155789E-3</v>
      </c>
      <c r="U56" s="193">
        <f>O56*IFERROR(VLOOKUP(A56,[1]Tørstofindhold!A$2:B$25,2,FALSE),0)</f>
        <v>157.84821029252265</v>
      </c>
      <c r="V56" s="194">
        <f>IF(D56=År1,P56,SUM(O56,P56))*IFERROR(VLOOKUP(A56,[1]Tørstofindhold!A$2:B$25,2,FALSE),0)</f>
        <v>315.6964205850453</v>
      </c>
      <c r="W56" s="194">
        <f>J56*IFERROR(VLOOKUP(A56,[1]Tørstofindhold!A$2:B$25,2,FALSE),0)</f>
        <v>157.84821029252265</v>
      </c>
      <c r="X56" s="195">
        <f t="shared" si="12"/>
        <v>157.84821029252265</v>
      </c>
      <c r="Y56" s="173">
        <f t="shared" si="2"/>
        <v>0</v>
      </c>
      <c r="Z56" s="104">
        <f t="shared" si="3"/>
        <v>1</v>
      </c>
    </row>
    <row r="57" spans="1:26" x14ac:dyDescent="0.25">
      <c r="A57" s="196" t="str">
        <f t="shared" si="17"/>
        <v>Dybstrøelse</v>
      </c>
      <c r="B57" s="196" t="str">
        <f t="shared" si="18"/>
        <v>Husdyrgødning</v>
      </c>
      <c r="C57" s="196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6">
        <f t="shared" si="19"/>
        <v>2030</v>
      </c>
      <c r="E57" s="194" t="s">
        <v>24</v>
      </c>
      <c r="F57" s="197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4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1989694.3638441348</v>
      </c>
      <c r="K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251080.47924699794</v>
      </c>
      <c r="L57" s="197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9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6">
        <f t="shared" si="9"/>
        <v>412150.97536771372</v>
      </c>
      <c r="O57" s="197">
        <f t="shared" si="1"/>
        <v>412150.97536771372</v>
      </c>
      <c r="P57" s="207">
        <f t="shared" si="10"/>
        <v>1989694.3638441348</v>
      </c>
      <c r="Q57" s="194">
        <f>IFERROR(VLOOKUP(A57,[1]Energiindhold!$A$2:$C$11,3,FALSE),IFERROR(VLOOKUP(A57,[1]Biogasudbytte!$A$2:$B$18,2,FALSE)*[1]Energiindhold!$C$10,0))*O57</f>
        <v>0.88777320094205536</v>
      </c>
      <c r="R57" s="194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5.1735748606623213</v>
      </c>
      <c r="S57" s="194">
        <f>IFERROR(VLOOKUP(A57,[1]Biogasudbytte!$A$2:$B$18,2,FALSE)*[1]Energiindhold!$C$10,0)*J57*IFERROR(VLOOKUP(A57,Biogasanlæg!$F$3:$G$8,2,FALSE),1)</f>
        <v>4.2858016597202662</v>
      </c>
      <c r="T57" s="195">
        <f t="shared" si="11"/>
        <v>0.88777320094205514</v>
      </c>
      <c r="U57" s="193">
        <f>O57*IFERROR(VLOOKUP(A57,[1]Tørstofindhold!A$2:B$25,2,FALSE),0)</f>
        <v>123645.29261031411</v>
      </c>
      <c r="V57" s="194">
        <f>IF(D57=År1,P57,SUM(O57,P57))*IFERROR(VLOOKUP(A57,[1]Tørstofindhold!A$2:B$25,2,FALSE),0)</f>
        <v>720553.6017635545</v>
      </c>
      <c r="W57" s="194">
        <f>J57*IFERROR(VLOOKUP(A57,[1]Tørstofindhold!A$2:B$25,2,FALSE),0)</f>
        <v>596908.30915324041</v>
      </c>
      <c r="X57" s="195">
        <f t="shared" si="12"/>
        <v>123645.29261031409</v>
      </c>
      <c r="Y57" s="173">
        <f t="shared" si="2"/>
        <v>0</v>
      </c>
      <c r="Z57" s="104">
        <f t="shared" si="3"/>
        <v>1</v>
      </c>
    </row>
    <row r="58" spans="1:26" x14ac:dyDescent="0.25">
      <c r="A58" s="196" t="str">
        <f t="shared" si="17"/>
        <v>Fiberfraktion</v>
      </c>
      <c r="B58" s="196" t="str">
        <f t="shared" si="18"/>
        <v/>
      </c>
      <c r="C58" s="196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6">
        <f t="shared" si="19"/>
        <v>2030</v>
      </c>
      <c r="E58" s="194" t="s">
        <v>24</v>
      </c>
      <c r="F58" s="197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5199.7057508125108</v>
      </c>
      <c r="G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5201.2984929347494</v>
      </c>
      <c r="H58" s="194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7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9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6">
        <f t="shared" si="9"/>
        <v>-1.5927421222386329</v>
      </c>
      <c r="O58" s="197">
        <f t="shared" si="1"/>
        <v>0</v>
      </c>
      <c r="P58" s="207">
        <f t="shared" si="10"/>
        <v>0</v>
      </c>
      <c r="Q58" s="194">
        <f>IFERROR(VLOOKUP(A58,[1]Energiindhold!$A$2:$C$11,3,FALSE),IFERROR(VLOOKUP(A58,[1]Biogasudbytte!$A$2:$B$18,2,FALSE)*[1]Energiindhold!$C$10,0))*O58</f>
        <v>0</v>
      </c>
      <c r="R58" s="194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4">
        <f>IFERROR(VLOOKUP(A58,[1]Biogasudbytte!$A$2:$B$18,2,FALSE)*[1]Energiindhold!$C$10,0)*J58*IFERROR(VLOOKUP(A58,Biogasanlæg!$F$3:$G$8,2,FALSE),1)</f>
        <v>0</v>
      </c>
      <c r="T58" s="195">
        <f t="shared" si="11"/>
        <v>0</v>
      </c>
      <c r="U58" s="193">
        <f>O58*IFERROR(VLOOKUP(A58,[1]Tørstofindhold!A$2:B$25,2,FALSE),0)</f>
        <v>0</v>
      </c>
      <c r="V58" s="194">
        <f>IF(D58=År1,P58,SUM(O58,P58))*IFERROR(VLOOKUP(A58,[1]Tørstofindhold!A$2:B$25,2,FALSE),0)</f>
        <v>0</v>
      </c>
      <c r="W58" s="194">
        <f>J58*IFERROR(VLOOKUP(A58,[1]Tørstofindhold!A$2:B$25,2,FALSE),0)</f>
        <v>0</v>
      </c>
      <c r="X58" s="195">
        <f t="shared" si="12"/>
        <v>0</v>
      </c>
      <c r="Y58" s="173">
        <f t="shared" si="2"/>
        <v>1</v>
      </c>
      <c r="Z58" s="104">
        <f t="shared" si="3"/>
        <v>0</v>
      </c>
    </row>
    <row r="59" spans="1:26" x14ac:dyDescent="0.25">
      <c r="A59" s="196" t="str">
        <f t="shared" si="17"/>
        <v>Fjerkrægylle</v>
      </c>
      <c r="B59" s="196" t="str">
        <f t="shared" si="18"/>
        <v>Husdyrgødning</v>
      </c>
      <c r="C59" s="196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6">
        <f t="shared" si="19"/>
        <v>2030</v>
      </c>
      <c r="E59" s="194" t="s">
        <v>24</v>
      </c>
      <c r="F59" s="197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4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5422.7719881045641</v>
      </c>
      <c r="K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2210.8224259195526</v>
      </c>
      <c r="L59" s="197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9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6">
        <f t="shared" si="9"/>
        <v>709.13172152136576</v>
      </c>
      <c r="O59" s="197">
        <f t="shared" si="1"/>
        <v>709.13172152136576</v>
      </c>
      <c r="P59" s="207">
        <f t="shared" si="10"/>
        <v>5422.7719881045641</v>
      </c>
      <c r="Q59" s="194">
        <f>IFERROR(VLOOKUP(A59,[1]Energiindhold!$A$2:$C$11,3,FALSE),IFERROR(VLOOKUP(A59,[1]Biogasudbytte!$A$2:$B$18,2,FALSE)*[1]Energiindhold!$C$10,0))*O59</f>
        <v>3.3349755731428314E-4</v>
      </c>
      <c r="R59" s="194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2.8837729955999785E-3</v>
      </c>
      <c r="S59" s="194">
        <f>IFERROR(VLOOKUP(A59,[1]Biogasudbytte!$A$2:$B$18,2,FALSE)*[1]Energiindhold!$C$10,0)*J59*IFERROR(VLOOKUP(A59,Biogasanlæg!$F$3:$G$8,2,FALSE),1)</f>
        <v>2.5502754382856953E-3</v>
      </c>
      <c r="T59" s="195">
        <f t="shared" si="11"/>
        <v>3.3349755731428314E-4</v>
      </c>
      <c r="U59" s="193">
        <f>O59*IFERROR(VLOOKUP(A59,[1]Tørstofindhold!A$2:B$25,2,FALSE),0)</f>
        <v>44.675298455846047</v>
      </c>
      <c r="V59" s="194">
        <f>IF(D59=År1,P59,SUM(O59,P59))*IFERROR(VLOOKUP(A59,[1]Tørstofindhold!A$2:B$25,2,FALSE),0)</f>
        <v>386.30993370643358</v>
      </c>
      <c r="W59" s="194">
        <f>J59*IFERROR(VLOOKUP(A59,[1]Tørstofindhold!A$2:B$25,2,FALSE),0)</f>
        <v>341.63463525058756</v>
      </c>
      <c r="X59" s="195">
        <f t="shared" si="12"/>
        <v>44.675298455846018</v>
      </c>
      <c r="Y59" s="173">
        <f t="shared" si="2"/>
        <v>0</v>
      </c>
      <c r="Z59" s="104">
        <f t="shared" si="3"/>
        <v>1</v>
      </c>
    </row>
    <row r="60" spans="1:26" x14ac:dyDescent="0.25">
      <c r="A60" s="196" t="str">
        <f t="shared" si="17"/>
        <v>Fjerkrækød</v>
      </c>
      <c r="B60" s="196" t="str">
        <f t="shared" si="18"/>
        <v/>
      </c>
      <c r="C60" s="196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6">
        <f t="shared" si="19"/>
        <v>2030</v>
      </c>
      <c r="E60" s="194" t="s">
        <v>24</v>
      </c>
      <c r="F60" s="197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4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7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9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6">
        <f t="shared" si="9"/>
        <v>146334.12296443019</v>
      </c>
      <c r="O60" s="197">
        <f t="shared" si="1"/>
        <v>0</v>
      </c>
      <c r="P60" s="207">
        <f t="shared" si="10"/>
        <v>0</v>
      </c>
      <c r="Q60" s="194">
        <f>IFERROR(VLOOKUP(A60,[1]Energiindhold!$A$2:$C$11,3,FALSE),IFERROR(VLOOKUP(A60,[1]Biogasudbytte!$A$2:$B$18,2,FALSE)*[1]Energiindhold!$C$10,0))*O60</f>
        <v>0</v>
      </c>
      <c r="R60" s="194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4">
        <f>IFERROR(VLOOKUP(A60,[1]Biogasudbytte!$A$2:$B$18,2,FALSE)*[1]Energiindhold!$C$10,0)*J60*IFERROR(VLOOKUP(A60,Biogasanlæg!$F$3:$G$8,2,FALSE),1)</f>
        <v>0</v>
      </c>
      <c r="T60" s="195">
        <f t="shared" si="11"/>
        <v>0</v>
      </c>
      <c r="U60" s="193">
        <f>O60*IFERROR(VLOOKUP(A60,[1]Tørstofindhold!A$2:B$25,2,FALSE),0)</f>
        <v>0</v>
      </c>
      <c r="V60" s="194">
        <f>IF(D60=År1,P60,SUM(O60,P60))*IFERROR(VLOOKUP(A60,[1]Tørstofindhold!A$2:B$25,2,FALSE),0)</f>
        <v>0</v>
      </c>
      <c r="W60" s="194">
        <f>J60*IFERROR(VLOOKUP(A60,[1]Tørstofindhold!A$2:B$25,2,FALSE),0)</f>
        <v>0</v>
      </c>
      <c r="X60" s="195">
        <f t="shared" si="12"/>
        <v>0</v>
      </c>
      <c r="Y60" s="173">
        <f t="shared" si="2"/>
        <v>0</v>
      </c>
      <c r="Z60" s="104">
        <f t="shared" si="3"/>
        <v>1</v>
      </c>
    </row>
    <row r="61" spans="1:26" x14ac:dyDescent="0.25">
      <c r="A61" s="196" t="str">
        <f t="shared" si="17"/>
        <v>Frø</v>
      </c>
      <c r="B61" s="196" t="str">
        <f t="shared" si="18"/>
        <v/>
      </c>
      <c r="C61" s="196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6">
        <f t="shared" si="19"/>
        <v>2030</v>
      </c>
      <c r="E61" s="194" t="s">
        <v>24</v>
      </c>
      <c r="F61" s="197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576631.345963069</v>
      </c>
      <c r="G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4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7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9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6">
        <f t="shared" si="9"/>
        <v>576631.345963069</v>
      </c>
      <c r="O61" s="197">
        <f t="shared" si="1"/>
        <v>0</v>
      </c>
      <c r="P61" s="207">
        <f t="shared" si="10"/>
        <v>0</v>
      </c>
      <c r="Q61" s="194">
        <f>IFERROR(VLOOKUP(A61,[1]Energiindhold!$A$2:$C$11,3,FALSE),IFERROR(VLOOKUP(A61,[1]Biogasudbytte!$A$2:$B$18,2,FALSE)*[1]Energiindhold!$C$10,0))*O61</f>
        <v>0</v>
      </c>
      <c r="R61" s="194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4">
        <f>IFERROR(VLOOKUP(A61,[1]Biogasudbytte!$A$2:$B$18,2,FALSE)*[1]Energiindhold!$C$10,0)*J61*IFERROR(VLOOKUP(A61,Biogasanlæg!$F$3:$G$8,2,FALSE),1)</f>
        <v>0</v>
      </c>
      <c r="T61" s="195">
        <f t="shared" si="11"/>
        <v>0</v>
      </c>
      <c r="U61" s="193">
        <f>O61*IFERROR(VLOOKUP(A61,[1]Tørstofindhold!A$2:B$25,2,FALSE),0)</f>
        <v>0</v>
      </c>
      <c r="V61" s="194">
        <f>IF(D61=År1,P61,SUM(O61,P61))*IFERROR(VLOOKUP(A61,[1]Tørstofindhold!A$2:B$25,2,FALSE),0)</f>
        <v>0</v>
      </c>
      <c r="W61" s="194">
        <f>J61*IFERROR(VLOOKUP(A61,[1]Tørstofindhold!A$2:B$25,2,FALSE),0)</f>
        <v>0</v>
      </c>
      <c r="X61" s="195">
        <f t="shared" si="12"/>
        <v>0</v>
      </c>
      <c r="Y61" s="173">
        <f t="shared" si="2"/>
        <v>0</v>
      </c>
      <c r="Z61" s="104">
        <f t="shared" si="3"/>
        <v>1</v>
      </c>
    </row>
    <row r="62" spans="1:26" x14ac:dyDescent="0.25">
      <c r="A62" s="196" t="str">
        <f t="shared" si="17"/>
        <v>Frugt</v>
      </c>
      <c r="B62" s="196" t="str">
        <f t="shared" si="18"/>
        <v/>
      </c>
      <c r="C62" s="196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6">
        <f t="shared" si="19"/>
        <v>2030</v>
      </c>
      <c r="E62" s="194" t="s">
        <v>24</v>
      </c>
      <c r="F62" s="197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18416.271242773404</v>
      </c>
      <c r="G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4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7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9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6">
        <f t="shared" si="9"/>
        <v>-239507.02313514223</v>
      </c>
      <c r="O62" s="197">
        <f t="shared" si="1"/>
        <v>0</v>
      </c>
      <c r="P62" s="207">
        <f t="shared" si="10"/>
        <v>0</v>
      </c>
      <c r="Q62" s="194">
        <f>IFERROR(VLOOKUP(A62,[1]Energiindhold!$A$2:$C$11,3,FALSE),IFERROR(VLOOKUP(A62,[1]Biogasudbytte!$A$2:$B$18,2,FALSE)*[1]Energiindhold!$C$10,0))*O62</f>
        <v>0</v>
      </c>
      <c r="R62" s="194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4">
        <f>IFERROR(VLOOKUP(A62,[1]Biogasudbytte!$A$2:$B$18,2,FALSE)*[1]Energiindhold!$C$10,0)*J62*IFERROR(VLOOKUP(A62,Biogasanlæg!$F$3:$G$8,2,FALSE),1)</f>
        <v>0</v>
      </c>
      <c r="T62" s="195">
        <f t="shared" si="11"/>
        <v>0</v>
      </c>
      <c r="U62" s="193">
        <f>O62*IFERROR(VLOOKUP(A62,[1]Tørstofindhold!A$2:B$25,2,FALSE),0)</f>
        <v>0</v>
      </c>
      <c r="V62" s="194">
        <f>IF(D62=År1,P62,SUM(O62,P62))*IFERROR(VLOOKUP(A62,[1]Tørstofindhold!A$2:B$25,2,FALSE),0)</f>
        <v>0</v>
      </c>
      <c r="W62" s="194">
        <f>J62*IFERROR(VLOOKUP(A62,[1]Tørstofindhold!A$2:B$25,2,FALSE),0)</f>
        <v>0</v>
      </c>
      <c r="X62" s="195">
        <f t="shared" si="12"/>
        <v>0</v>
      </c>
      <c r="Y62" s="173">
        <f t="shared" si="2"/>
        <v>1</v>
      </c>
      <c r="Z62" s="104">
        <f t="shared" si="3"/>
        <v>0</v>
      </c>
    </row>
    <row r="63" spans="1:26" x14ac:dyDescent="0.25">
      <c r="A63" s="196" t="str">
        <f t="shared" si="17"/>
        <v>Glycerin</v>
      </c>
      <c r="B63" s="196" t="str">
        <f t="shared" si="18"/>
        <v>Glycerin</v>
      </c>
      <c r="C63" s="196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6">
        <f t="shared" si="19"/>
        <v>2030</v>
      </c>
      <c r="E63" s="194" t="s">
        <v>24</v>
      </c>
      <c r="F63" s="197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4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7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9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6">
        <f t="shared" si="9"/>
        <v>-114193.60000000001</v>
      </c>
      <c r="O63" s="197">
        <f t="shared" si="1"/>
        <v>0</v>
      </c>
      <c r="P63" s="207">
        <f t="shared" si="10"/>
        <v>114193.60000000001</v>
      </c>
      <c r="Q63" s="194">
        <f>IFERROR(VLOOKUP(A63,[1]Energiindhold!$A$2:$C$11,3,FALSE),IFERROR(VLOOKUP(A63,[1]Biogasudbytte!$A$2:$B$18,2,FALSE)*[1]Energiindhold!$C$10,0))*O63</f>
        <v>0</v>
      </c>
      <c r="R63" s="194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4">
        <f>IFERROR(VLOOKUP(A63,[1]Biogasudbytte!$A$2:$B$18,2,FALSE)*[1]Energiindhold!$C$10,0)*J63*IFERROR(VLOOKUP(A63,Biogasanlæg!$F$3:$G$8,2,FALSE),1)</f>
        <v>1.7355855896064003</v>
      </c>
      <c r="T63" s="195">
        <f t="shared" si="11"/>
        <v>0</v>
      </c>
      <c r="U63" s="193">
        <f>O63*IFERROR(VLOOKUP(A63,[1]Tørstofindhold!A$2:B$25,2,FALSE),0)</f>
        <v>0</v>
      </c>
      <c r="V63" s="194">
        <f>IF(D63=År1,P63,SUM(O63,P63))*IFERROR(VLOOKUP(A63,[1]Tørstofindhold!A$2:B$25,2,FALSE),0)</f>
        <v>102774.24</v>
      </c>
      <c r="W63" s="194">
        <f>J63*IFERROR(VLOOKUP(A63,[1]Tørstofindhold!A$2:B$25,2,FALSE),0)</f>
        <v>102774.24</v>
      </c>
      <c r="X63" s="195">
        <f t="shared" si="12"/>
        <v>0</v>
      </c>
      <c r="Y63" s="173">
        <f t="shared" si="2"/>
        <v>1</v>
      </c>
      <c r="Z63" s="104">
        <f t="shared" si="3"/>
        <v>0</v>
      </c>
    </row>
    <row r="64" spans="1:26" x14ac:dyDescent="0.25">
      <c r="A64" s="196" t="str">
        <f t="shared" si="17"/>
        <v>Græs</v>
      </c>
      <c r="B64" s="196" t="str">
        <f t="shared" si="18"/>
        <v>Græs og urter</v>
      </c>
      <c r="C64" s="196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6">
        <f t="shared" si="19"/>
        <v>2030</v>
      </c>
      <c r="E64" s="194" t="s">
        <v>24</v>
      </c>
      <c r="F64" s="197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10042259.647995874</v>
      </c>
      <c r="G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10578766.547699077</v>
      </c>
      <c r="H64" s="194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0</v>
      </c>
      <c r="K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7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9">
        <f>SUMIFS('Forbrug af biomasse'!E:E,'Forbrug af biomasse'!C:C,'Resultat-Produktion &amp; forbrug'!$A64,'Forbrug af biomasse'!D:D,'Resultat-Produktion &amp; forbrug'!$D64,'Forbrug af biomasse'!G:G,1,'Forbrug af biomasse'!B:B,$E64)</f>
        <v>15107.676841271819</v>
      </c>
      <c r="N64" s="206">
        <f t="shared" si="9"/>
        <v>-551614.57654447481</v>
      </c>
      <c r="O64" s="197">
        <f t="shared" si="1"/>
        <v>0</v>
      </c>
      <c r="P64" s="207">
        <f t="shared" si="10"/>
        <v>0</v>
      </c>
      <c r="Q64" s="194">
        <f>IFERROR(VLOOKUP(A64,[1]Energiindhold!$A$2:$C$11,3,FALSE),IFERROR(VLOOKUP(A64,[1]Biogasudbytte!$A$2:$B$18,2,FALSE)*[1]Energiindhold!$C$10,0))*O64</f>
        <v>0</v>
      </c>
      <c r="R64" s="194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0</v>
      </c>
      <c r="S64" s="194">
        <f>IFERROR(VLOOKUP(A64,[1]Biogasudbytte!$A$2:$B$18,2,FALSE)*[1]Energiindhold!$C$10,0)*J64*IFERROR(VLOOKUP(A64,Biogasanlæg!$F$3:$G$8,2,FALSE),1)</f>
        <v>0</v>
      </c>
      <c r="T64" s="195">
        <f t="shared" si="11"/>
        <v>0</v>
      </c>
      <c r="U64" s="193">
        <f>O64*IFERROR(VLOOKUP(A64,[1]Tørstofindhold!A$2:B$25,2,FALSE),0)</f>
        <v>0</v>
      </c>
      <c r="V64" s="194">
        <f>IF(D64=År1,P64,SUM(O64,P64))*IFERROR(VLOOKUP(A64,[1]Tørstofindhold!A$2:B$25,2,FALSE),0)</f>
        <v>0</v>
      </c>
      <c r="W64" s="194">
        <f>J64*IFERROR(VLOOKUP(A64,[1]Tørstofindhold!A$2:B$25,2,FALSE),0)</f>
        <v>0</v>
      </c>
      <c r="X64" s="195">
        <f t="shared" si="12"/>
        <v>0</v>
      </c>
      <c r="Y64" s="173">
        <f t="shared" si="2"/>
        <v>0</v>
      </c>
      <c r="Z64" s="104">
        <f t="shared" si="3"/>
        <v>1</v>
      </c>
    </row>
    <row r="65" spans="1:26" x14ac:dyDescent="0.25">
      <c r="A65" s="196" t="str">
        <f t="shared" si="17"/>
        <v>Græsprotein</v>
      </c>
      <c r="B65" s="196" t="str">
        <f t="shared" si="18"/>
        <v/>
      </c>
      <c r="C65" s="196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6">
        <f t="shared" si="19"/>
        <v>2030</v>
      </c>
      <c r="E65" s="194" t="s">
        <v>24</v>
      </c>
      <c r="F65" s="197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2525.5713646803624</v>
      </c>
      <c r="G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2525.5713646803624</v>
      </c>
      <c r="H65" s="194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7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9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6">
        <f t="shared" si="9"/>
        <v>0</v>
      </c>
      <c r="O65" s="197">
        <f t="shared" si="1"/>
        <v>0</v>
      </c>
      <c r="P65" s="207">
        <f t="shared" si="10"/>
        <v>0</v>
      </c>
      <c r="Q65" s="194">
        <f>IFERROR(VLOOKUP(A65,[1]Energiindhold!$A$2:$C$11,3,FALSE),IFERROR(VLOOKUP(A65,[1]Biogasudbytte!$A$2:$B$18,2,FALSE)*[1]Energiindhold!$C$10,0))*O65</f>
        <v>0</v>
      </c>
      <c r="R65" s="194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4">
        <f>IFERROR(VLOOKUP(A65,[1]Biogasudbytte!$A$2:$B$18,2,FALSE)*[1]Energiindhold!$C$10,0)*J65*IFERROR(VLOOKUP(A65,Biogasanlæg!$F$3:$G$8,2,FALSE),1)</f>
        <v>0</v>
      </c>
      <c r="T65" s="195">
        <f t="shared" si="11"/>
        <v>0</v>
      </c>
      <c r="U65" s="193">
        <f>O65*IFERROR(VLOOKUP(A65,[1]Tørstofindhold!A$2:B$25,2,FALSE),0)</f>
        <v>0</v>
      </c>
      <c r="V65" s="194">
        <f>IF(D65=År1,P65,SUM(O65,P65))*IFERROR(VLOOKUP(A65,[1]Tørstofindhold!A$2:B$25,2,FALSE),0)</f>
        <v>0</v>
      </c>
      <c r="W65" s="194">
        <f>J65*IFERROR(VLOOKUP(A65,[1]Tørstofindhold!A$2:B$25,2,FALSE),0)</f>
        <v>0</v>
      </c>
      <c r="X65" s="195">
        <f t="shared" si="12"/>
        <v>0</v>
      </c>
      <c r="Y65" s="173">
        <f t="shared" si="2"/>
        <v>0</v>
      </c>
      <c r="Z65" s="104">
        <f t="shared" si="3"/>
        <v>0</v>
      </c>
    </row>
    <row r="66" spans="1:26" x14ac:dyDescent="0.25">
      <c r="A66" s="196" t="str">
        <f t="shared" si="17"/>
        <v>Grøntsager</v>
      </c>
      <c r="B66" s="196" t="str">
        <f t="shared" si="18"/>
        <v/>
      </c>
      <c r="C66" s="196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6">
        <f t="shared" si="19"/>
        <v>2030</v>
      </c>
      <c r="E66" s="194" t="s">
        <v>24</v>
      </c>
      <c r="F66" s="197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135775.41565002408</v>
      </c>
      <c r="G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4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7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9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6">
        <f t="shared" si="9"/>
        <v>-134365.29793526651</v>
      </c>
      <c r="O66" s="197">
        <f t="shared" si="1"/>
        <v>0</v>
      </c>
      <c r="P66" s="207">
        <f t="shared" si="10"/>
        <v>0</v>
      </c>
      <c r="Q66" s="194">
        <f>IFERROR(VLOOKUP(A66,[1]Energiindhold!$A$2:$C$11,3,FALSE),IFERROR(VLOOKUP(A66,[1]Biogasudbytte!$A$2:$B$18,2,FALSE)*[1]Energiindhold!$C$10,0))*O66</f>
        <v>0</v>
      </c>
      <c r="R66" s="194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4">
        <f>IFERROR(VLOOKUP(A66,[1]Biogasudbytte!$A$2:$B$18,2,FALSE)*[1]Energiindhold!$C$10,0)*J66*IFERROR(VLOOKUP(A66,Biogasanlæg!$F$3:$G$8,2,FALSE),1)</f>
        <v>0</v>
      </c>
      <c r="T66" s="195">
        <f t="shared" si="11"/>
        <v>0</v>
      </c>
      <c r="U66" s="193">
        <f>O66*IFERROR(VLOOKUP(A66,[1]Tørstofindhold!A$2:B$25,2,FALSE),0)</f>
        <v>0</v>
      </c>
      <c r="V66" s="194">
        <f>IF(D66=År1,P66,SUM(O66,P66))*IFERROR(VLOOKUP(A66,[1]Tørstofindhold!A$2:B$25,2,FALSE),0)</f>
        <v>0</v>
      </c>
      <c r="W66" s="194">
        <f>J66*IFERROR(VLOOKUP(A66,[1]Tørstofindhold!A$2:B$25,2,FALSE),0)</f>
        <v>0</v>
      </c>
      <c r="X66" s="195">
        <f t="shared" si="12"/>
        <v>0</v>
      </c>
      <c r="Y66" s="173">
        <f t="shared" si="2"/>
        <v>1</v>
      </c>
      <c r="Z66" s="104">
        <f t="shared" si="3"/>
        <v>0</v>
      </c>
    </row>
    <row r="67" spans="1:26" x14ac:dyDescent="0.25">
      <c r="A67" s="196" t="str">
        <f t="shared" si="17"/>
        <v>Halm</v>
      </c>
      <c r="B67" s="196" t="str">
        <f t="shared" si="18"/>
        <v>Halm og strå</v>
      </c>
      <c r="C67" s="196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6">
        <f t="shared" si="19"/>
        <v>2030</v>
      </c>
      <c r="E67" s="194" t="s">
        <v>24</v>
      </c>
      <c r="F67" s="197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2012749.9397108331</v>
      </c>
      <c r="G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4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0</v>
      </c>
      <c r="K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7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0</v>
      </c>
      <c r="M67" s="159">
        <f>SUMIFS('Forbrug af biomasse'!E:E,'Forbrug af biomasse'!C:C,'Resultat-Produktion &amp; forbrug'!$A67,'Forbrug af biomasse'!D:D,'Resultat-Produktion &amp; forbrug'!$D67,'Forbrug af biomasse'!G:G,1,'Forbrug af biomasse'!B:B,$E67)</f>
        <v>744921.86156949028</v>
      </c>
      <c r="N67" s="206">
        <f t="shared" si="9"/>
        <v>-232232.76942537911</v>
      </c>
      <c r="O67" s="197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7">
        <f t="shared" si="10"/>
        <v>0</v>
      </c>
      <c r="Q67" s="194">
        <f>IFERROR(VLOOKUP(A67,[1]Energiindhold!$A$2:$C$11,3,FALSE),IFERROR(VLOOKUP(A67,[1]Biogasudbytte!$A$2:$B$18,2,FALSE)*[1]Energiindhold!$C$10,0))*O67</f>
        <v>0</v>
      </c>
      <c r="R67" s="194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0</v>
      </c>
      <c r="S67" s="194">
        <f>IFERROR(VLOOKUP(A67,[1]Biogasudbytte!$A$2:$B$18,2,FALSE)*[1]Energiindhold!$C$10,0)*J67*IFERROR(VLOOKUP(A67,Biogasanlæg!$F$3:$G$8,2,FALSE),1)</f>
        <v>0</v>
      </c>
      <c r="T67" s="195">
        <f t="shared" si="11"/>
        <v>0</v>
      </c>
      <c r="U67" s="193">
        <f>O67*IFERROR(VLOOKUP(A67,[1]Tørstofindhold!A$2:B$25,2,FALSE),0)</f>
        <v>0</v>
      </c>
      <c r="V67" s="194">
        <f>IF(D67=År1,P67,SUM(O67,P67))*IFERROR(VLOOKUP(A67,[1]Tørstofindhold!A$2:B$25,2,FALSE),0)</f>
        <v>0</v>
      </c>
      <c r="W67" s="194">
        <f>J67*IFERROR(VLOOKUP(A67,[1]Tørstofindhold!A$2:B$25,2,FALSE),0)</f>
        <v>0</v>
      </c>
      <c r="X67" s="195">
        <f t="shared" si="12"/>
        <v>0</v>
      </c>
      <c r="Y67" s="173">
        <f t="shared" ref="Y67:Y130" si="21">IF(SUMIFS($N$3:$N$290,$A$3:$A$290,A67,$D$3:$D$290,D67)&lt;0,1,0)</f>
        <v>1</v>
      </c>
      <c r="Z67" s="104">
        <f t="shared" ref="Z67:Z130" si="22">IF(SUMIFS($N$3:$N$290,$A$3:$A$290,A67,$D$3:$D$290,D67)&gt;0,1,0)</f>
        <v>0</v>
      </c>
    </row>
    <row r="68" spans="1:26" x14ac:dyDescent="0.25">
      <c r="A68" s="196" t="str">
        <f t="shared" si="17"/>
        <v>Have/parkaffald</v>
      </c>
      <c r="B68" s="196" t="str">
        <f t="shared" si="18"/>
        <v>Bionedbrydeligt affald</v>
      </c>
      <c r="C68" s="196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6">
        <f t="shared" si="19"/>
        <v>2030</v>
      </c>
      <c r="E68" s="194" t="s">
        <v>24</v>
      </c>
      <c r="F68" s="197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4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267973.79239933251</v>
      </c>
      <c r="K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7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258760.31746905867</v>
      </c>
      <c r="M68" s="159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6">
        <f t="shared" si="9"/>
        <v>0</v>
      </c>
      <c r="O68" s="197">
        <f t="shared" si="20"/>
        <v>0</v>
      </c>
      <c r="P68" s="207">
        <f t="shared" si="10"/>
        <v>526734.10986839118</v>
      </c>
      <c r="Q68" s="194">
        <f>IFERROR(VLOOKUP(A68,[1]Energiindhold!$A$2:$C$11,3,FALSE),IFERROR(VLOOKUP(A68,[1]Biogasudbytte!$A$2:$B$18,2,FALSE)*[1]Energiindhold!$C$10,0))*O68</f>
        <v>0</v>
      </c>
      <c r="R68" s="194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5.0744845071167353</v>
      </c>
      <c r="S68" s="194">
        <f>IFERROR(VLOOKUP(A68,[1]Biogasudbytte!$A$2:$B$18,2,FALSE)*[1]Energiindhold!$C$10,0)*J68*IFERROR(VLOOKUP(A68,Biogasanlæg!$F$3:$G$8,2,FALSE),1)</f>
        <v>0.4550382576595346</v>
      </c>
      <c r="T68" s="195">
        <f t="shared" si="11"/>
        <v>4.6194462494572006</v>
      </c>
      <c r="U68" s="193">
        <f>O68*IFERROR(VLOOKUP(A68,[1]Tørstofindhold!A$2:B$25,2,FALSE),0)</f>
        <v>0</v>
      </c>
      <c r="V68" s="194">
        <f>IF(D68=År1,P68,SUM(O68,P68))*IFERROR(VLOOKUP(A68,[1]Tørstofindhold!A$2:B$25,2,FALSE),0)</f>
        <v>158020.23296051734</v>
      </c>
      <c r="W68" s="194">
        <f>J68*IFERROR(VLOOKUP(A68,[1]Tørstofindhold!A$2:B$25,2,FALSE),0)</f>
        <v>80392.13771979975</v>
      </c>
      <c r="X68" s="195">
        <f t="shared" si="12"/>
        <v>77628.095240717594</v>
      </c>
      <c r="Y68" s="173">
        <f t="shared" si="21"/>
        <v>0</v>
      </c>
      <c r="Z68" s="104">
        <f t="shared" si="22"/>
        <v>0</v>
      </c>
    </row>
    <row r="69" spans="1:26" x14ac:dyDescent="0.25">
      <c r="A69" s="196" t="str">
        <f t="shared" si="17"/>
        <v>Import af foder</v>
      </c>
      <c r="B69" s="196" t="str">
        <f t="shared" si="18"/>
        <v/>
      </c>
      <c r="C69" s="196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6">
        <f t="shared" si="19"/>
        <v>2030</v>
      </c>
      <c r="E69" s="194" t="s">
        <v>24</v>
      </c>
      <c r="F69" s="197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4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7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9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6">
        <f t="shared" si="9"/>
        <v>-4828427.5390456226</v>
      </c>
      <c r="O69" s="197">
        <f t="shared" si="20"/>
        <v>0</v>
      </c>
      <c r="P69" s="207">
        <f t="shared" si="10"/>
        <v>0</v>
      </c>
      <c r="Q69" s="194">
        <f>IFERROR(VLOOKUP(A69,[1]Energiindhold!$A$2:$C$11,3,FALSE),IFERROR(VLOOKUP(A69,[1]Biogasudbytte!$A$2:$B$18,2,FALSE)*[1]Energiindhold!$C$10,0))*O69</f>
        <v>0</v>
      </c>
      <c r="R69" s="194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4">
        <f>IFERROR(VLOOKUP(A69,[1]Biogasudbytte!$A$2:$B$18,2,FALSE)*[1]Energiindhold!$C$10,0)*J69*IFERROR(VLOOKUP(A69,Biogasanlæg!$F$3:$G$8,2,FALSE),1)</f>
        <v>0</v>
      </c>
      <c r="T69" s="195">
        <f t="shared" si="11"/>
        <v>0</v>
      </c>
      <c r="U69" s="193">
        <f>O69*IFERROR(VLOOKUP(A69,[1]Tørstofindhold!A$2:B$25,2,FALSE),0)</f>
        <v>0</v>
      </c>
      <c r="V69" s="194">
        <f>IF(D69=År1,P69,SUM(O69,P69))*IFERROR(VLOOKUP(A69,[1]Tørstofindhold!A$2:B$25,2,FALSE),0)</f>
        <v>0</v>
      </c>
      <c r="W69" s="194">
        <f>J69*IFERROR(VLOOKUP(A69,[1]Tørstofindhold!A$2:B$25,2,FALSE),0)</f>
        <v>0</v>
      </c>
      <c r="X69" s="195">
        <f t="shared" si="12"/>
        <v>0</v>
      </c>
      <c r="Y69" s="173">
        <f t="shared" si="21"/>
        <v>1</v>
      </c>
      <c r="Z69" s="104">
        <f t="shared" si="22"/>
        <v>0</v>
      </c>
    </row>
    <row r="70" spans="1:26" x14ac:dyDescent="0.25">
      <c r="A70" s="196" t="str">
        <f t="shared" si="17"/>
        <v>Industriaffald</v>
      </c>
      <c r="B70" s="196" t="str">
        <f t="shared" si="18"/>
        <v>Bionedbrydeligt affald</v>
      </c>
      <c r="C70" s="196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6">
        <f t="shared" si="19"/>
        <v>2030</v>
      </c>
      <c r="E70" s="194" t="s">
        <v>24</v>
      </c>
      <c r="F70" s="197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4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7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9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6">
        <f t="shared" si="9"/>
        <v>0.29027753113768995</v>
      </c>
      <c r="O70" s="197">
        <f t="shared" si="20"/>
        <v>0.29027753113768995</v>
      </c>
      <c r="P70" s="207">
        <f t="shared" si="10"/>
        <v>523057.13098607323</v>
      </c>
      <c r="Q70" s="194">
        <f>IFERROR(VLOOKUP(A70,[1]Energiindhold!$A$2:$C$11,3,FALSE),IFERROR(VLOOKUP(A70,[1]Biogasudbytte!$A$2:$B$18,2,FALSE)*[1]Energiindhold!$C$10,0))*O70</f>
        <v>1.2578102784986585E-6</v>
      </c>
      <c r="R70" s="194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4">
        <f>IFERROR(VLOOKUP(A70,[1]Biogasudbytte!$A$2:$B$18,2,FALSE)*[1]Energiindhold!$C$10,0)*J70*IFERROR(VLOOKUP(A70,Biogasanlæg!$F$3:$G$8,2,FALSE),1)</f>
        <v>2.0398270913907153</v>
      </c>
      <c r="T70" s="195">
        <f t="shared" si="11"/>
        <v>1.2578102785987255E-6</v>
      </c>
      <c r="U70" s="193">
        <f>O70*IFERROR(VLOOKUP(A70,[1]Tørstofindhold!A$2:B$25,2,FALSE),0)</f>
        <v>0.12191656307782978</v>
      </c>
      <c r="V70" s="194">
        <f>IF(D70=År1,P70,SUM(O70,P70))*IFERROR(VLOOKUP(A70,[1]Tørstofindhold!A$2:B$25,2,FALSE),0)</f>
        <v>219684.11693071382</v>
      </c>
      <c r="W70" s="194">
        <f>J70*IFERROR(VLOOKUP(A70,[1]Tørstofindhold!A$2:B$25,2,FALSE),0)</f>
        <v>219683.99501415074</v>
      </c>
      <c r="X70" s="195">
        <f t="shared" si="12"/>
        <v>0.12191656307550147</v>
      </c>
      <c r="Y70" s="173">
        <f t="shared" si="21"/>
        <v>0</v>
      </c>
      <c r="Z70" s="104">
        <f t="shared" si="22"/>
        <v>1</v>
      </c>
    </row>
    <row r="71" spans="1:26" x14ac:dyDescent="0.25">
      <c r="A71" s="196" t="str">
        <f t="shared" si="17"/>
        <v>Juletræer</v>
      </c>
      <c r="B71" s="196" t="str">
        <f t="shared" si="18"/>
        <v/>
      </c>
      <c r="C71" s="196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6">
        <f t="shared" si="19"/>
        <v>2030</v>
      </c>
      <c r="E71" s="194" t="s">
        <v>24</v>
      </c>
      <c r="F71" s="197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543978.91341244674</v>
      </c>
      <c r="G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4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7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9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6">
        <f t="shared" si="9"/>
        <v>543978.91341244674</v>
      </c>
      <c r="O71" s="197">
        <f t="shared" si="20"/>
        <v>0</v>
      </c>
      <c r="P71" s="207">
        <f t="shared" si="10"/>
        <v>0</v>
      </c>
      <c r="Q71" s="194">
        <f>IFERROR(VLOOKUP(A71,[1]Energiindhold!$A$2:$C$11,3,FALSE),IFERROR(VLOOKUP(A71,[1]Biogasudbytte!$A$2:$B$18,2,FALSE)*[1]Energiindhold!$C$10,0))*O71</f>
        <v>0</v>
      </c>
      <c r="R71" s="194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4">
        <f>IFERROR(VLOOKUP(A71,[1]Biogasudbytte!$A$2:$B$18,2,FALSE)*[1]Energiindhold!$C$10,0)*J71*IFERROR(VLOOKUP(A71,Biogasanlæg!$F$3:$G$8,2,FALSE),1)</f>
        <v>0</v>
      </c>
      <c r="T71" s="195">
        <f t="shared" si="11"/>
        <v>0</v>
      </c>
      <c r="U71" s="193">
        <f>O71*IFERROR(VLOOKUP(A71,[1]Tørstofindhold!A$2:B$25,2,FALSE),0)</f>
        <v>0</v>
      </c>
      <c r="V71" s="194">
        <f>IF(D71=År1,P71,SUM(O71,P71))*IFERROR(VLOOKUP(A71,[1]Tørstofindhold!A$2:B$25,2,FALSE),0)</f>
        <v>0</v>
      </c>
      <c r="W71" s="194">
        <f>J71*IFERROR(VLOOKUP(A71,[1]Tørstofindhold!A$2:B$25,2,FALSE),0)</f>
        <v>0</v>
      </c>
      <c r="X71" s="195">
        <f t="shared" si="12"/>
        <v>0</v>
      </c>
      <c r="Y71" s="173">
        <f t="shared" si="21"/>
        <v>0</v>
      </c>
      <c r="Z71" s="104">
        <f t="shared" si="22"/>
        <v>1</v>
      </c>
    </row>
    <row r="72" spans="1:26" x14ac:dyDescent="0.25">
      <c r="A72" s="196" t="str">
        <f t="shared" si="17"/>
        <v>Kartofler</v>
      </c>
      <c r="B72" s="196" t="str">
        <f t="shared" si="18"/>
        <v/>
      </c>
      <c r="C72" s="196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6">
        <f t="shared" si="19"/>
        <v>2030</v>
      </c>
      <c r="E72" s="194" t="s">
        <v>24</v>
      </c>
      <c r="F72" s="197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0</v>
      </c>
      <c r="G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4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7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9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6">
        <f t="shared" si="9"/>
        <v>-123531.68309679118</v>
      </c>
      <c r="O72" s="197">
        <f t="shared" si="20"/>
        <v>0</v>
      </c>
      <c r="P72" s="207">
        <f t="shared" si="10"/>
        <v>0</v>
      </c>
      <c r="Q72" s="194">
        <f>IFERROR(VLOOKUP(A72,[1]Energiindhold!$A$2:$C$11,3,FALSE),IFERROR(VLOOKUP(A72,[1]Biogasudbytte!$A$2:$B$18,2,FALSE)*[1]Energiindhold!$C$10,0))*O72</f>
        <v>0</v>
      </c>
      <c r="R72" s="194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4">
        <f>IFERROR(VLOOKUP(A72,[1]Biogasudbytte!$A$2:$B$18,2,FALSE)*[1]Energiindhold!$C$10,0)*J72*IFERROR(VLOOKUP(A72,Biogasanlæg!$F$3:$G$8,2,FALSE),1)</f>
        <v>0</v>
      </c>
      <c r="T72" s="195">
        <f t="shared" si="11"/>
        <v>0</v>
      </c>
      <c r="U72" s="193">
        <f>O72*IFERROR(VLOOKUP(A72,[1]Tørstofindhold!A$2:B$25,2,FALSE),0)</f>
        <v>0</v>
      </c>
      <c r="V72" s="194">
        <f>IF(D72=År1,P72,SUM(O72,P72))*IFERROR(VLOOKUP(A72,[1]Tørstofindhold!A$2:B$25,2,FALSE),0)</f>
        <v>0</v>
      </c>
      <c r="W72" s="194">
        <f>J72*IFERROR(VLOOKUP(A72,[1]Tørstofindhold!A$2:B$25,2,FALSE),0)</f>
        <v>0</v>
      </c>
      <c r="X72" s="195">
        <f t="shared" si="12"/>
        <v>0</v>
      </c>
      <c r="Y72" s="173">
        <f t="shared" si="21"/>
        <v>1</v>
      </c>
      <c r="Z72" s="104">
        <f t="shared" si="22"/>
        <v>0</v>
      </c>
    </row>
    <row r="73" spans="1:26" x14ac:dyDescent="0.25">
      <c r="A73" s="196" t="str">
        <f t="shared" si="17"/>
        <v>Korn</v>
      </c>
      <c r="B73" s="196" t="str">
        <f t="shared" si="18"/>
        <v>Halm og strå</v>
      </c>
      <c r="C73" s="196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6">
        <f t="shared" si="19"/>
        <v>2030</v>
      </c>
      <c r="E73" s="194" t="s">
        <v>24</v>
      </c>
      <c r="F73" s="197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5176210.3236121144</v>
      </c>
      <c r="G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6085811.9789329367</v>
      </c>
      <c r="H73" s="194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0</v>
      </c>
      <c r="K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7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9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6">
        <f t="shared" si="9"/>
        <v>-1205534.6983439047</v>
      </c>
      <c r="O73" s="197">
        <f t="shared" si="20"/>
        <v>0</v>
      </c>
      <c r="P73" s="207">
        <f t="shared" si="10"/>
        <v>0</v>
      </c>
      <c r="Q73" s="194">
        <f>IFERROR(VLOOKUP(A73,[1]Energiindhold!$A$2:$C$11,3,FALSE),IFERROR(VLOOKUP(A73,[1]Biogasudbytte!$A$2:$B$18,2,FALSE)*[1]Energiindhold!$C$10,0))*O73</f>
        <v>0</v>
      </c>
      <c r="R73" s="194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0</v>
      </c>
      <c r="S73" s="194">
        <f>IFERROR(VLOOKUP(A73,[1]Biogasudbytte!$A$2:$B$18,2,FALSE)*[1]Energiindhold!$C$10,0)*J73*IFERROR(VLOOKUP(A73,Biogasanlæg!$F$3:$G$8,2,FALSE),1)</f>
        <v>0</v>
      </c>
      <c r="T73" s="195">
        <f t="shared" si="11"/>
        <v>0</v>
      </c>
      <c r="U73" s="193">
        <f>O73*IFERROR(VLOOKUP(A73,[1]Tørstofindhold!A$2:B$25,2,FALSE),0)</f>
        <v>0</v>
      </c>
      <c r="V73" s="194">
        <f>IF(D73=År1,P73,SUM(O73,P73))*IFERROR(VLOOKUP(A73,[1]Tørstofindhold!A$2:B$25,2,FALSE),0)</f>
        <v>0</v>
      </c>
      <c r="W73" s="194">
        <f>J73*IFERROR(VLOOKUP(A73,[1]Tørstofindhold!A$2:B$25,2,FALSE),0)</f>
        <v>0</v>
      </c>
      <c r="X73" s="195">
        <f t="shared" si="12"/>
        <v>0</v>
      </c>
      <c r="Y73" s="173">
        <f t="shared" si="21"/>
        <v>0</v>
      </c>
      <c r="Z73" s="104">
        <f t="shared" si="22"/>
        <v>1</v>
      </c>
    </row>
    <row r="74" spans="1:26" x14ac:dyDescent="0.25">
      <c r="A74" s="196" t="str">
        <f t="shared" si="17"/>
        <v>Kunstgødning</v>
      </c>
      <c r="B74" s="196" t="str">
        <f t="shared" si="18"/>
        <v/>
      </c>
      <c r="C74" s="196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6">
        <f t="shared" si="19"/>
        <v>2030</v>
      </c>
      <c r="E74" s="194" t="s">
        <v>24</v>
      </c>
      <c r="F74" s="197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4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7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55055.07188334316</v>
      </c>
      <c r="L74" s="197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9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6">
        <f t="shared" ca="1" si="9"/>
        <v>-55055.07188334316</v>
      </c>
      <c r="O74" s="197">
        <f t="shared" si="20"/>
        <v>0</v>
      </c>
      <c r="P74" s="207">
        <f t="shared" si="10"/>
        <v>0</v>
      </c>
      <c r="Q74" s="194">
        <f>IFERROR(VLOOKUP(A74,[1]Energiindhold!$A$2:$C$11,3,FALSE),IFERROR(VLOOKUP(A74,[1]Biogasudbytte!$A$2:$B$18,2,FALSE)*[1]Energiindhold!$C$10,0))*O74</f>
        <v>0</v>
      </c>
      <c r="R74" s="194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4">
        <f>IFERROR(VLOOKUP(A74,[1]Biogasudbytte!$A$2:$B$18,2,FALSE)*[1]Energiindhold!$C$10,0)*J74*IFERROR(VLOOKUP(A74,Biogasanlæg!$F$3:$G$8,2,FALSE),1)</f>
        <v>0</v>
      </c>
      <c r="T74" s="195">
        <f t="shared" si="11"/>
        <v>0</v>
      </c>
      <c r="U74" s="193">
        <f>O74*IFERROR(VLOOKUP(A74,[1]Tørstofindhold!A$2:B$25,2,FALSE),0)</f>
        <v>0</v>
      </c>
      <c r="V74" s="194">
        <f>IF(D74=År1,P74,SUM(O74,P74))*IFERROR(VLOOKUP(A74,[1]Tørstofindhold!A$2:B$25,2,FALSE),0)</f>
        <v>0</v>
      </c>
      <c r="W74" s="194">
        <f>J74*IFERROR(VLOOKUP(A74,[1]Tørstofindhold!A$2:B$25,2,FALSE),0)</f>
        <v>0</v>
      </c>
      <c r="X74" s="195">
        <f t="shared" si="12"/>
        <v>0</v>
      </c>
      <c r="Y74" s="173">
        <f t="shared" ca="1" si="21"/>
        <v>1</v>
      </c>
      <c r="Z74" s="104">
        <f t="shared" ca="1" si="22"/>
        <v>0</v>
      </c>
    </row>
    <row r="75" spans="1:26" x14ac:dyDescent="0.25">
      <c r="A75" s="196" t="str">
        <f t="shared" si="17"/>
        <v>Kvæggylle</v>
      </c>
      <c r="B75" s="196" t="str">
        <f t="shared" si="18"/>
        <v>Husdyrgødning</v>
      </c>
      <c r="C75" s="196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6">
        <f t="shared" si="19"/>
        <v>2030</v>
      </c>
      <c r="E75" s="194" t="s">
        <v>24</v>
      </c>
      <c r="F75" s="197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4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7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9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6">
        <f t="shared" si="9"/>
        <v>1051663.233618198</v>
      </c>
      <c r="O75" s="197">
        <f t="shared" si="20"/>
        <v>1051663.233618198</v>
      </c>
      <c r="P75" s="207">
        <f t="shared" si="10"/>
        <v>9867457.5006151944</v>
      </c>
      <c r="Q75" s="194">
        <f>IFERROR(VLOOKUP(A75,[1]Energiindhold!$A$2:$C$11,3,FALSE),IFERROR(VLOOKUP(A75,[1]Biogasudbytte!$A$2:$B$18,2,FALSE)*[1]Energiindhold!$C$10,0))*O75</f>
        <v>0.53234141222519571</v>
      </c>
      <c r="R75" s="194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4">
        <f>IFERROR(VLOOKUP(A75,[1]Biogasudbytte!$A$2:$B$18,2,FALSE)*[1]Energiindhold!$C$10,0)*J75*IFERROR(VLOOKUP(A75,Biogasanlæg!$F$3:$G$8,2,FALSE),1)</f>
        <v>4.9948083122364055</v>
      </c>
      <c r="T75" s="195">
        <f t="shared" si="11"/>
        <v>0.53234141222519593</v>
      </c>
      <c r="U75" s="193">
        <f>O75*IFERROR(VLOOKUP(A75,[1]Tørstofindhold!A$2:B$25,2,FALSE),0)</f>
        <v>79926.405754983047</v>
      </c>
      <c r="V75" s="194">
        <f>IF(D75=År1,P75,SUM(O75,P75))*IFERROR(VLOOKUP(A75,[1]Tørstofindhold!A$2:B$25,2,FALSE),0)</f>
        <v>829853.17580173782</v>
      </c>
      <c r="W75" s="194">
        <f>J75*IFERROR(VLOOKUP(A75,[1]Tørstofindhold!A$2:B$25,2,FALSE),0)</f>
        <v>749926.77004675474</v>
      </c>
      <c r="X75" s="195">
        <f t="shared" si="12"/>
        <v>79926.405754983076</v>
      </c>
      <c r="Y75" s="173">
        <f t="shared" si="21"/>
        <v>0</v>
      </c>
      <c r="Z75" s="104">
        <f t="shared" si="22"/>
        <v>1</v>
      </c>
    </row>
    <row r="76" spans="1:26" x14ac:dyDescent="0.25">
      <c r="A76" s="196" t="str">
        <f t="shared" si="17"/>
        <v>Mælk til foder</v>
      </c>
      <c r="B76" s="196" t="str">
        <f t="shared" si="18"/>
        <v/>
      </c>
      <c r="C76" s="196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6">
        <f t="shared" si="19"/>
        <v>2030</v>
      </c>
      <c r="E76" s="194" t="s">
        <v>24</v>
      </c>
      <c r="F76" s="197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4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7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9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6">
        <f t="shared" si="9"/>
        <v>105279.69169965154</v>
      </c>
      <c r="O76" s="197">
        <f t="shared" si="20"/>
        <v>0</v>
      </c>
      <c r="P76" s="207">
        <f t="shared" si="10"/>
        <v>0</v>
      </c>
      <c r="Q76" s="194">
        <f>IFERROR(VLOOKUP(A76,[1]Energiindhold!$A$2:$C$11,3,FALSE),IFERROR(VLOOKUP(A76,[1]Biogasudbytte!$A$2:$B$18,2,FALSE)*[1]Energiindhold!$C$10,0))*O76</f>
        <v>0</v>
      </c>
      <c r="R76" s="194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4">
        <f>IFERROR(VLOOKUP(A76,[1]Biogasudbytte!$A$2:$B$18,2,FALSE)*[1]Energiindhold!$C$10,0)*J76*IFERROR(VLOOKUP(A76,Biogasanlæg!$F$3:$G$8,2,FALSE),1)</f>
        <v>0</v>
      </c>
      <c r="T76" s="195">
        <f t="shared" si="11"/>
        <v>0</v>
      </c>
      <c r="U76" s="193">
        <f>O76*IFERROR(VLOOKUP(A76,[1]Tørstofindhold!A$2:B$25,2,FALSE),0)</f>
        <v>0</v>
      </c>
      <c r="V76" s="194">
        <f>IF(D76=År1,P76,SUM(O76,P76))*IFERROR(VLOOKUP(A76,[1]Tørstofindhold!A$2:B$25,2,FALSE),0)</f>
        <v>0</v>
      </c>
      <c r="W76" s="194">
        <f>J76*IFERROR(VLOOKUP(A76,[1]Tørstofindhold!A$2:B$25,2,FALSE),0)</f>
        <v>0</v>
      </c>
      <c r="X76" s="195">
        <f t="shared" si="12"/>
        <v>0</v>
      </c>
      <c r="Y76" s="173">
        <f t="shared" si="21"/>
        <v>0</v>
      </c>
      <c r="Z76" s="104">
        <f t="shared" si="22"/>
        <v>1</v>
      </c>
    </row>
    <row r="77" spans="1:26" x14ac:dyDescent="0.25">
      <c r="A77" s="196" t="str">
        <f t="shared" si="17"/>
        <v>Majs</v>
      </c>
      <c r="B77" s="196" t="str">
        <f t="shared" si="18"/>
        <v>Græs og urter</v>
      </c>
      <c r="C77" s="196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6">
        <f t="shared" si="19"/>
        <v>2030</v>
      </c>
      <c r="E77" s="194" t="s">
        <v>24</v>
      </c>
      <c r="F77" s="197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5450127.5876520872</v>
      </c>
      <c r="G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5659611.4645835822</v>
      </c>
      <c r="H77" s="194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0</v>
      </c>
      <c r="K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7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9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6">
        <f t="shared" si="9"/>
        <v>-209483.87693149503</v>
      </c>
      <c r="O77" s="197">
        <f t="shared" si="20"/>
        <v>0</v>
      </c>
      <c r="P77" s="207">
        <f t="shared" si="10"/>
        <v>0</v>
      </c>
      <c r="Q77" s="194">
        <f>IFERROR(VLOOKUP(A77,[1]Energiindhold!$A$2:$C$11,3,FALSE),IFERROR(VLOOKUP(A77,[1]Biogasudbytte!$A$2:$B$18,2,FALSE)*[1]Energiindhold!$C$10,0))*O77</f>
        <v>0</v>
      </c>
      <c r="R77" s="194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0</v>
      </c>
      <c r="S77" s="194">
        <f>IFERROR(VLOOKUP(A77,[1]Biogasudbytte!$A$2:$B$18,2,FALSE)*[1]Energiindhold!$C$10,0)*J77*IFERROR(VLOOKUP(A77,Biogasanlæg!$F$3:$G$8,2,FALSE),1)</f>
        <v>0</v>
      </c>
      <c r="T77" s="195">
        <f t="shared" si="11"/>
        <v>0</v>
      </c>
      <c r="U77" s="193">
        <f>O77*IFERROR(VLOOKUP(A77,[1]Tørstofindhold!A$2:B$25,2,FALSE),0)</f>
        <v>0</v>
      </c>
      <c r="V77" s="194">
        <f>IF(D77=År1,P77,SUM(O77,P77))*IFERROR(VLOOKUP(A77,[1]Tørstofindhold!A$2:B$25,2,FALSE),0)</f>
        <v>0</v>
      </c>
      <c r="W77" s="194">
        <f>J77*IFERROR(VLOOKUP(A77,[1]Tørstofindhold!A$2:B$25,2,FALSE),0)</f>
        <v>0</v>
      </c>
      <c r="X77" s="195">
        <f t="shared" si="12"/>
        <v>0</v>
      </c>
      <c r="Y77" s="173">
        <f t="shared" si="21"/>
        <v>1</v>
      </c>
      <c r="Z77" s="104">
        <f t="shared" si="22"/>
        <v>0</v>
      </c>
    </row>
    <row r="78" spans="1:26" x14ac:dyDescent="0.25">
      <c r="A78" s="196" t="str">
        <f t="shared" si="17"/>
        <v>Mejeriprodukter</v>
      </c>
      <c r="B78" s="196" t="str">
        <f t="shared" si="18"/>
        <v/>
      </c>
      <c r="C78" s="196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6">
        <f t="shared" si="19"/>
        <v>2030</v>
      </c>
      <c r="E78" s="194" t="s">
        <v>24</v>
      </c>
      <c r="F78" s="197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4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7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9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6">
        <f t="shared" si="9"/>
        <v>2655270.0055985088</v>
      </c>
      <c r="O78" s="197">
        <f t="shared" si="20"/>
        <v>0</v>
      </c>
      <c r="P78" s="207">
        <f t="shared" si="10"/>
        <v>0</v>
      </c>
      <c r="Q78" s="194">
        <f>IFERROR(VLOOKUP(A78,[1]Energiindhold!$A$2:$C$11,3,FALSE),IFERROR(VLOOKUP(A78,[1]Biogasudbytte!$A$2:$B$18,2,FALSE)*[1]Energiindhold!$C$10,0))*O78</f>
        <v>0</v>
      </c>
      <c r="R78" s="194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4">
        <f>IFERROR(VLOOKUP(A78,[1]Biogasudbytte!$A$2:$B$18,2,FALSE)*[1]Energiindhold!$C$10,0)*J78*IFERROR(VLOOKUP(A78,Biogasanlæg!$F$3:$G$8,2,FALSE),1)</f>
        <v>0</v>
      </c>
      <c r="T78" s="195">
        <f t="shared" si="11"/>
        <v>0</v>
      </c>
      <c r="U78" s="193">
        <f>O78*IFERROR(VLOOKUP(A78,[1]Tørstofindhold!A$2:B$25,2,FALSE),0)</f>
        <v>0</v>
      </c>
      <c r="V78" s="194">
        <f>IF(D78=År1,P78,SUM(O78,P78))*IFERROR(VLOOKUP(A78,[1]Tørstofindhold!A$2:B$25,2,FALSE),0)</f>
        <v>0</v>
      </c>
      <c r="W78" s="194">
        <f>J78*IFERROR(VLOOKUP(A78,[1]Tørstofindhold!A$2:B$25,2,FALSE),0)</f>
        <v>0</v>
      </c>
      <c r="X78" s="195">
        <f t="shared" si="12"/>
        <v>0</v>
      </c>
      <c r="Y78" s="173">
        <f t="shared" si="21"/>
        <v>0</v>
      </c>
      <c r="Z78" s="104">
        <f t="shared" si="22"/>
        <v>1</v>
      </c>
    </row>
    <row r="79" spans="1:26" x14ac:dyDescent="0.25">
      <c r="A79" s="196" t="str">
        <f t="shared" si="17"/>
        <v>Muslinger</v>
      </c>
      <c r="B79" s="196" t="str">
        <f t="shared" si="18"/>
        <v>Havbiomasse</v>
      </c>
      <c r="C79" s="196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6">
        <f t="shared" si="19"/>
        <v>2030</v>
      </c>
      <c r="E79" s="194" t="s">
        <v>24</v>
      </c>
      <c r="F79" s="197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46909.42609053191</v>
      </c>
      <c r="H79" s="194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7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9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6">
        <f t="shared" si="9"/>
        <v>97950.762160772298</v>
      </c>
      <c r="O79" s="197">
        <f t="shared" si="20"/>
        <v>95406.837717421964</v>
      </c>
      <c r="P79" s="207">
        <f t="shared" si="10"/>
        <v>0</v>
      </c>
      <c r="Q79" s="194">
        <f>IFERROR(VLOOKUP(A79,[1]Energiindhold!$A$2:$C$11,3,FALSE),IFERROR(VLOOKUP(A79,[1]Biogasudbytte!$A$2:$B$18,2,FALSE)*[1]Energiindhold!$C$10,0))*O79</f>
        <v>8.5627636851386218E-2</v>
      </c>
      <c r="R79" s="194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8.5627636851386218E-2</v>
      </c>
      <c r="S79" s="194">
        <f>IFERROR(VLOOKUP(A79,[1]Biogasudbytte!$A$2:$B$18,2,FALSE)*[1]Energiindhold!$C$10,0)*J79*IFERROR(VLOOKUP(A79,Biogasanlæg!$F$3:$G$8,2,FALSE),1)</f>
        <v>0</v>
      </c>
      <c r="T79" s="195">
        <f t="shared" si="11"/>
        <v>8.5627636851386218E-2</v>
      </c>
      <c r="U79" s="193">
        <f>O79*IFERROR(VLOOKUP(A79,[1]Tørstofindhold!A$2:B$25,2,FALSE),0)</f>
        <v>14311.025657613294</v>
      </c>
      <c r="V79" s="194">
        <f>IF(D79=År1,P79,SUM(O79,P79))*IFERROR(VLOOKUP(A79,[1]Tørstofindhold!A$2:B$25,2,FALSE),0)</f>
        <v>14311.025657613294</v>
      </c>
      <c r="W79" s="194">
        <f>J79*IFERROR(VLOOKUP(A79,[1]Tørstofindhold!A$2:B$25,2,FALSE),0)</f>
        <v>0</v>
      </c>
      <c r="X79" s="195">
        <f t="shared" si="12"/>
        <v>14311.025657613294</v>
      </c>
      <c r="Y79" s="173">
        <f t="shared" si="21"/>
        <v>0</v>
      </c>
      <c r="Z79" s="104">
        <f t="shared" si="22"/>
        <v>1</v>
      </c>
    </row>
    <row r="80" spans="1:26" x14ac:dyDescent="0.25">
      <c r="A80" s="196" t="str">
        <f t="shared" si="17"/>
        <v>Oksekød</v>
      </c>
      <c r="B80" s="196" t="str">
        <f t="shared" si="18"/>
        <v/>
      </c>
      <c r="C80" s="196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6">
        <f t="shared" si="19"/>
        <v>2030</v>
      </c>
      <c r="E80" s="194" t="s">
        <v>24</v>
      </c>
      <c r="F80" s="197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4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7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9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6">
        <f t="shared" si="9"/>
        <v>46139.885502582598</v>
      </c>
      <c r="O80" s="197">
        <f t="shared" si="20"/>
        <v>0</v>
      </c>
      <c r="P80" s="207">
        <f t="shared" si="10"/>
        <v>0</v>
      </c>
      <c r="Q80" s="194">
        <f>IFERROR(VLOOKUP(A80,[1]Energiindhold!$A$2:$C$11,3,FALSE),IFERROR(VLOOKUP(A80,[1]Biogasudbytte!$A$2:$B$18,2,FALSE)*[1]Energiindhold!$C$10,0))*O80</f>
        <v>0</v>
      </c>
      <c r="R80" s="194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4">
        <f>IFERROR(VLOOKUP(A80,[1]Biogasudbytte!$A$2:$B$18,2,FALSE)*[1]Energiindhold!$C$10,0)*J80*IFERROR(VLOOKUP(A80,Biogasanlæg!$F$3:$G$8,2,FALSE),1)</f>
        <v>0</v>
      </c>
      <c r="T80" s="195">
        <f t="shared" si="11"/>
        <v>0</v>
      </c>
      <c r="U80" s="193">
        <f>O80*IFERROR(VLOOKUP(A80,[1]Tørstofindhold!A$2:B$25,2,FALSE),0)</f>
        <v>0</v>
      </c>
      <c r="V80" s="194">
        <f>IF(D80=År1,P80,SUM(O80,P80))*IFERROR(VLOOKUP(A80,[1]Tørstofindhold!A$2:B$25,2,FALSE),0)</f>
        <v>0</v>
      </c>
      <c r="W80" s="194">
        <f>J80*IFERROR(VLOOKUP(A80,[1]Tørstofindhold!A$2:B$25,2,FALSE),0)</f>
        <v>0</v>
      </c>
      <c r="X80" s="195">
        <f t="shared" si="12"/>
        <v>0</v>
      </c>
      <c r="Y80" s="173">
        <f t="shared" si="21"/>
        <v>0</v>
      </c>
      <c r="Z80" s="104">
        <f t="shared" si="22"/>
        <v>1</v>
      </c>
    </row>
    <row r="81" spans="1:26" x14ac:dyDescent="0.25">
      <c r="A81" s="196" t="str">
        <f t="shared" si="17"/>
        <v>Øvrige</v>
      </c>
      <c r="B81" s="196" t="str">
        <f t="shared" si="18"/>
        <v/>
      </c>
      <c r="C81" s="196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6">
        <f t="shared" si="19"/>
        <v>2030</v>
      </c>
      <c r="E81" s="194" t="s">
        <v>24</v>
      </c>
      <c r="F81" s="197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351873.9099999037</v>
      </c>
      <c r="G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4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7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9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6">
        <f t="shared" si="9"/>
        <v>351873.9099999037</v>
      </c>
      <c r="O81" s="197">
        <f t="shared" si="20"/>
        <v>0</v>
      </c>
      <c r="P81" s="207">
        <f t="shared" si="10"/>
        <v>0</v>
      </c>
      <c r="Q81" s="194">
        <f>IFERROR(VLOOKUP(A81,[1]Energiindhold!$A$2:$C$11,3,FALSE),IFERROR(VLOOKUP(A81,[1]Biogasudbytte!$A$2:$B$18,2,FALSE)*[1]Energiindhold!$C$10,0))*O81</f>
        <v>0</v>
      </c>
      <c r="R81" s="194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4">
        <f>IFERROR(VLOOKUP(A81,[1]Biogasudbytte!$A$2:$B$18,2,FALSE)*[1]Energiindhold!$C$10,0)*J81*IFERROR(VLOOKUP(A81,Biogasanlæg!$F$3:$G$8,2,FALSE),1)</f>
        <v>0</v>
      </c>
      <c r="T81" s="195">
        <f t="shared" si="11"/>
        <v>0</v>
      </c>
      <c r="U81" s="193">
        <f>O81*IFERROR(VLOOKUP(A81,[1]Tørstofindhold!A$2:B$25,2,FALSE),0)</f>
        <v>0</v>
      </c>
      <c r="V81" s="194">
        <f>IF(D81=År1,P81,SUM(O81,P81))*IFERROR(VLOOKUP(A81,[1]Tørstofindhold!A$2:B$25,2,FALSE),0)</f>
        <v>0</v>
      </c>
      <c r="W81" s="194">
        <f>J81*IFERROR(VLOOKUP(A81,[1]Tørstofindhold!A$2:B$25,2,FALSE),0)</f>
        <v>0</v>
      </c>
      <c r="X81" s="195">
        <f t="shared" si="12"/>
        <v>0</v>
      </c>
      <c r="Y81" s="173">
        <f t="shared" si="21"/>
        <v>0</v>
      </c>
      <c r="Z81" s="104">
        <f t="shared" si="22"/>
        <v>1</v>
      </c>
    </row>
    <row r="82" spans="1:26" x14ac:dyDescent="0.25">
      <c r="A82" s="196" t="str">
        <f t="shared" si="17"/>
        <v>Pil &amp; poppel</v>
      </c>
      <c r="B82" s="196" t="str">
        <f t="shared" si="18"/>
        <v>Vedmasse</v>
      </c>
      <c r="C82" s="196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6">
        <f t="shared" si="19"/>
        <v>2030</v>
      </c>
      <c r="E82" s="194" t="s">
        <v>24</v>
      </c>
      <c r="F82" s="197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97606.291632882203</v>
      </c>
      <c r="G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4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7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97606.291632882203</v>
      </c>
      <c r="M82" s="159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6">
        <f t="shared" ref="N82:N149" si="23">F82-SUM(G82:M82)</f>
        <v>0</v>
      </c>
      <c r="O82" s="197">
        <f t="shared" si="20"/>
        <v>0</v>
      </c>
      <c r="P82" s="207">
        <f t="shared" ref="P82:P149" si="24">SUM(J82,L82)</f>
        <v>97606.291632882203</v>
      </c>
      <c r="Q82" s="194">
        <f>IFERROR(VLOOKUP(A82,[1]Energiindhold!$A$2:$C$11,3,FALSE),IFERROR(VLOOKUP(A82,[1]Biogasudbytte!$A$2:$B$18,2,FALSE)*[1]Energiindhold!$C$10,0))*O82</f>
        <v>0</v>
      </c>
      <c r="R82" s="194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1.7959557660450323</v>
      </c>
      <c r="S82" s="194">
        <f>IFERROR(VLOOKUP(A82,[1]Biogasudbytte!$A$2:$B$18,2,FALSE)*[1]Energiindhold!$C$10,0)*J82*IFERROR(VLOOKUP(A82,Biogasanlæg!$F$3:$G$8,2,FALSE),1)</f>
        <v>0</v>
      </c>
      <c r="T82" s="195">
        <f t="shared" ref="T82:T149" si="25">R82-S82</f>
        <v>1.7959557660450323</v>
      </c>
      <c r="U82" s="193">
        <f>O82*IFERROR(VLOOKUP(A82,[1]Tørstofindhold!A$2:B$25,2,FALSE),0)</f>
        <v>0</v>
      </c>
      <c r="V82" s="194">
        <f>IF(D82=År1,P82,SUM(O82,P82))*IFERROR(VLOOKUP(A82,[1]Tørstofindhold!A$2:B$25,2,FALSE),0)</f>
        <v>40506.611027646119</v>
      </c>
      <c r="W82" s="194">
        <f>J82*IFERROR(VLOOKUP(A82,[1]Tørstofindhold!A$2:B$25,2,FALSE),0)</f>
        <v>0</v>
      </c>
      <c r="X82" s="195">
        <f t="shared" ref="X82:X149" si="26">V82-W82</f>
        <v>40506.611027646119</v>
      </c>
      <c r="Y82" s="173">
        <f t="shared" si="21"/>
        <v>0</v>
      </c>
      <c r="Z82" s="104">
        <f t="shared" si="22"/>
        <v>0</v>
      </c>
    </row>
    <row r="83" spans="1:26" x14ac:dyDescent="0.25">
      <c r="A83" s="196" t="str">
        <f t="shared" ref="A83:A84" si="27">A35</f>
        <v>Pyrolysegas</v>
      </c>
      <c r="B83" s="196" t="str">
        <f t="shared" ref="B83:B84" si="28">IF(B35&lt;&gt;"",B35,"")</f>
        <v>Pyrolyseprodukter</v>
      </c>
      <c r="C83" s="196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6">
        <f t="shared" si="19"/>
        <v>2030</v>
      </c>
      <c r="E83" s="194" t="s">
        <v>24</v>
      </c>
      <c r="F83" s="197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417156.24247891462</v>
      </c>
      <c r="G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4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7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417156.24247891462</v>
      </c>
      <c r="M83" s="159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6">
        <f t="shared" ref="N83:N84" si="29">F83-SUM(G83:M83)</f>
        <v>0</v>
      </c>
      <c r="O83" s="197">
        <f t="shared" si="20"/>
        <v>0</v>
      </c>
      <c r="P83" s="207">
        <f t="shared" ref="P83:P84" si="30">SUM(J83,L83)</f>
        <v>417156.24247891462</v>
      </c>
      <c r="Q83" s="194">
        <f>IFERROR(VLOOKUP(A83,[1]Energiindhold!$A$2:$C$11,3,FALSE),IFERROR(VLOOKUP(A83,[1]Biogasudbytte!$A$2:$B$18,2,FALSE)*[1]Energiindhold!$C$10,0))*O83</f>
        <v>0</v>
      </c>
      <c r="R83" s="194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3.7383158701003296</v>
      </c>
      <c r="S83" s="194">
        <f>IFERROR(VLOOKUP(A83,[1]Biogasudbytte!$A$2:$B$18,2,FALSE)*[1]Energiindhold!$C$10,0)*J83*IFERROR(VLOOKUP(A83,Biogasanlæg!$F$3:$G$8,2,FALSE),1)</f>
        <v>0</v>
      </c>
      <c r="T83" s="195">
        <f t="shared" ref="T83:T84" si="31">R83-S83</f>
        <v>3.7383158701003296</v>
      </c>
      <c r="U83" s="193">
        <f>O83*IFERROR(VLOOKUP(A83,[1]Tørstofindhold!A$2:B$25,2,FALSE),0)</f>
        <v>0</v>
      </c>
      <c r="V83" s="194">
        <f>IF(D83=År1,P83,SUM(O83,P83))*IFERROR(VLOOKUP(A83,[1]Tørstofindhold!A$2:B$25,2,FALSE),0)</f>
        <v>0</v>
      </c>
      <c r="W83" s="194">
        <f>J83*IFERROR(VLOOKUP(A83,[1]Tørstofindhold!A$2:B$25,2,FALSE),0)</f>
        <v>0</v>
      </c>
      <c r="X83" s="195">
        <f t="shared" ref="X83:X84" si="32">V83-W83</f>
        <v>0</v>
      </c>
      <c r="Y83" s="173">
        <f t="shared" si="21"/>
        <v>0</v>
      </c>
      <c r="Z83" s="104">
        <f t="shared" si="22"/>
        <v>0</v>
      </c>
    </row>
    <row r="84" spans="1:26" x14ac:dyDescent="0.25">
      <c r="A84" s="196" t="str">
        <f t="shared" si="27"/>
        <v>Pyrolyseolie</v>
      </c>
      <c r="B84" s="196" t="str">
        <f t="shared" si="28"/>
        <v>Pyrolyseprodukter</v>
      </c>
      <c r="C84" s="196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6">
        <f t="shared" si="19"/>
        <v>2030</v>
      </c>
      <c r="E84" s="194" t="s">
        <v>24</v>
      </c>
      <c r="F84" s="197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104289.06061972865</v>
      </c>
      <c r="G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4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7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104289.06061972865</v>
      </c>
      <c r="M84" s="159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6">
        <f t="shared" si="29"/>
        <v>0</v>
      </c>
      <c r="O84" s="197">
        <f t="shared" si="20"/>
        <v>0</v>
      </c>
      <c r="P84" s="207">
        <f t="shared" si="30"/>
        <v>104289.06061972865</v>
      </c>
      <c r="Q84" s="194">
        <f>IFERROR(VLOOKUP(A84,[1]Energiindhold!$A$2:$C$11,3,FALSE),IFERROR(VLOOKUP(A84,[1]Biogasudbytte!$A$2:$B$18,2,FALSE)*[1]Energiindhold!$C$10,0))*O84</f>
        <v>0</v>
      </c>
      <c r="R84" s="194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3.4695480624460577</v>
      </c>
      <c r="S84" s="194">
        <f>IFERROR(VLOOKUP(A84,[1]Biogasudbytte!$A$2:$B$18,2,FALSE)*[1]Energiindhold!$C$10,0)*J84*IFERROR(VLOOKUP(A84,Biogasanlæg!$F$3:$G$8,2,FALSE),1)</f>
        <v>0</v>
      </c>
      <c r="T84" s="195">
        <f t="shared" si="31"/>
        <v>3.4695480624460577</v>
      </c>
      <c r="U84" s="193">
        <f>O84*IFERROR(VLOOKUP(A84,[1]Tørstofindhold!A$2:B$25,2,FALSE),0)</f>
        <v>0</v>
      </c>
      <c r="V84" s="194">
        <f>IF(D84=År1,P84,SUM(O84,P84))*IFERROR(VLOOKUP(A84,[1]Tørstofindhold!A$2:B$25,2,FALSE),0)</f>
        <v>0</v>
      </c>
      <c r="W84" s="194">
        <f>J84*IFERROR(VLOOKUP(A84,[1]Tørstofindhold!A$2:B$25,2,FALSE),0)</f>
        <v>0</v>
      </c>
      <c r="X84" s="195">
        <f t="shared" si="32"/>
        <v>0</v>
      </c>
      <c r="Y84" s="173">
        <f t="shared" si="21"/>
        <v>0</v>
      </c>
      <c r="Z84" s="104">
        <f t="shared" si="22"/>
        <v>0</v>
      </c>
    </row>
    <row r="85" spans="1:26" x14ac:dyDescent="0.25">
      <c r="A85" s="196" t="str">
        <f t="shared" ref="A85:A130" si="33">A37</f>
        <v>Råmælk</v>
      </c>
      <c r="B85" s="196" t="str">
        <f t="shared" ref="B85:B130" si="34">IF(B37&lt;&gt;"",B37,"")</f>
        <v/>
      </c>
      <c r="C85" s="196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6">
        <f t="shared" si="19"/>
        <v>2030</v>
      </c>
      <c r="E85" s="194" t="s">
        <v>24</v>
      </c>
      <c r="F85" s="197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4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7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9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6">
        <f t="shared" si="23"/>
        <v>4870431.535367866</v>
      </c>
      <c r="O85" s="197">
        <f t="shared" si="20"/>
        <v>0</v>
      </c>
      <c r="P85" s="207">
        <f t="shared" si="24"/>
        <v>0</v>
      </c>
      <c r="Q85" s="194">
        <f>IFERROR(VLOOKUP(A85,[1]Energiindhold!$A$2:$C$11,3,FALSE),IFERROR(VLOOKUP(A85,[1]Biogasudbytte!$A$2:$B$18,2,FALSE)*[1]Energiindhold!$C$10,0))*O85</f>
        <v>0</v>
      </c>
      <c r="R85" s="194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4">
        <f>IFERROR(VLOOKUP(A85,[1]Biogasudbytte!$A$2:$B$18,2,FALSE)*[1]Energiindhold!$C$10,0)*J85*IFERROR(VLOOKUP(A85,Biogasanlæg!$F$3:$G$8,2,FALSE),1)</f>
        <v>0</v>
      </c>
      <c r="T85" s="195">
        <f t="shared" si="25"/>
        <v>0</v>
      </c>
      <c r="U85" s="193">
        <f>O85*IFERROR(VLOOKUP(A85,[1]Tørstofindhold!A$2:B$25,2,FALSE),0)</f>
        <v>0</v>
      </c>
      <c r="V85" s="194">
        <f>IF(D85=År1,P85,SUM(O85,P85))*IFERROR(VLOOKUP(A85,[1]Tørstofindhold!A$2:B$25,2,FALSE),0)</f>
        <v>0</v>
      </c>
      <c r="W85" s="194">
        <f>J85*IFERROR(VLOOKUP(A85,[1]Tørstofindhold!A$2:B$25,2,FALSE),0)</f>
        <v>0</v>
      </c>
      <c r="X85" s="195">
        <f t="shared" si="26"/>
        <v>0</v>
      </c>
      <c r="Y85" s="173">
        <f t="shared" si="21"/>
        <v>0</v>
      </c>
      <c r="Z85" s="104">
        <f t="shared" si="22"/>
        <v>1</v>
      </c>
    </row>
    <row r="86" spans="1:26" x14ac:dyDescent="0.25">
      <c r="A86" s="196" t="str">
        <f t="shared" si="33"/>
        <v>Raps</v>
      </c>
      <c r="B86" s="196" t="str">
        <f t="shared" si="34"/>
        <v/>
      </c>
      <c r="C86" s="196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6">
        <f t="shared" si="19"/>
        <v>2030</v>
      </c>
      <c r="E86" s="194" t="s">
        <v>24</v>
      </c>
      <c r="F86" s="197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352476.43400802126</v>
      </c>
      <c r="G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4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7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9">
        <f>SUMIFS('Forbrug af biomasse'!E:E,'Forbrug af biomasse'!C:C,'Resultat-Produktion &amp; forbrug'!$A86,'Forbrug af biomasse'!D:D,'Resultat-Produktion &amp; forbrug'!$D86,'Forbrug af biomasse'!G:G,1,'Forbrug af biomasse'!B:B,$E86)</f>
        <v>352476.43400802126</v>
      </c>
      <c r="N86" s="206">
        <f t="shared" si="23"/>
        <v>0</v>
      </c>
      <c r="O86" s="197">
        <f t="shared" si="20"/>
        <v>0</v>
      </c>
      <c r="P86" s="207">
        <f t="shared" si="24"/>
        <v>0</v>
      </c>
      <c r="Q86" s="194">
        <f>IFERROR(VLOOKUP(A86,[1]Energiindhold!$A$2:$C$11,3,FALSE),IFERROR(VLOOKUP(A86,[1]Biogasudbytte!$A$2:$B$18,2,FALSE)*[1]Energiindhold!$C$10,0))*O86</f>
        <v>0</v>
      </c>
      <c r="R86" s="194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4">
        <f>IFERROR(VLOOKUP(A86,[1]Biogasudbytte!$A$2:$B$18,2,FALSE)*[1]Energiindhold!$C$10,0)*J86*IFERROR(VLOOKUP(A86,Biogasanlæg!$F$3:$G$8,2,FALSE),1)</f>
        <v>0</v>
      </c>
      <c r="T86" s="195">
        <f t="shared" si="25"/>
        <v>0</v>
      </c>
      <c r="U86" s="193">
        <f>O86*IFERROR(VLOOKUP(A86,[1]Tørstofindhold!A$2:B$25,2,FALSE),0)</f>
        <v>0</v>
      </c>
      <c r="V86" s="194">
        <f>IF(D86=År1,P86,SUM(O86,P86))*IFERROR(VLOOKUP(A86,[1]Tørstofindhold!A$2:B$25,2,FALSE),0)</f>
        <v>0</v>
      </c>
      <c r="W86" s="194">
        <f>J86*IFERROR(VLOOKUP(A86,[1]Tørstofindhold!A$2:B$25,2,FALSE),0)</f>
        <v>0</v>
      </c>
      <c r="X86" s="195">
        <f t="shared" si="26"/>
        <v>0</v>
      </c>
      <c r="Y86" s="173">
        <f t="shared" si="21"/>
        <v>0</v>
      </c>
      <c r="Z86" s="104">
        <f t="shared" si="22"/>
        <v>0</v>
      </c>
    </row>
    <row r="87" spans="1:26" x14ac:dyDescent="0.25">
      <c r="A87" s="196" t="str">
        <f t="shared" si="33"/>
        <v>Rapskage</v>
      </c>
      <c r="B87" s="196" t="str">
        <f t="shared" si="34"/>
        <v/>
      </c>
      <c r="C87" s="196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6">
        <f t="shared" si="19"/>
        <v>2030</v>
      </c>
      <c r="E87" s="194" t="s">
        <v>24</v>
      </c>
      <c r="F87" s="197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176238.21700401063</v>
      </c>
      <c r="G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4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7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9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6">
        <f t="shared" si="23"/>
        <v>-37860.88908725162</v>
      </c>
      <c r="O87" s="197">
        <f t="shared" si="20"/>
        <v>0</v>
      </c>
      <c r="P87" s="207">
        <f t="shared" si="24"/>
        <v>0</v>
      </c>
      <c r="Q87" s="194">
        <f>IFERROR(VLOOKUP(A87,[1]Energiindhold!$A$2:$C$11,3,FALSE),IFERROR(VLOOKUP(A87,[1]Biogasudbytte!$A$2:$B$18,2,FALSE)*[1]Energiindhold!$C$10,0))*O87</f>
        <v>0</v>
      </c>
      <c r="R87" s="194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4">
        <f>IFERROR(VLOOKUP(A87,[1]Biogasudbytte!$A$2:$B$18,2,FALSE)*[1]Energiindhold!$C$10,0)*J87*IFERROR(VLOOKUP(A87,Biogasanlæg!$F$3:$G$8,2,FALSE),1)</f>
        <v>0</v>
      </c>
      <c r="T87" s="195">
        <f t="shared" si="25"/>
        <v>0</v>
      </c>
      <c r="U87" s="193">
        <f>O87*IFERROR(VLOOKUP(A87,[1]Tørstofindhold!A$2:B$25,2,FALSE),0)</f>
        <v>0</v>
      </c>
      <c r="V87" s="194">
        <f>IF(D87=År1,P87,SUM(O87,P87))*IFERROR(VLOOKUP(A87,[1]Tørstofindhold!A$2:B$25,2,FALSE),0)</f>
        <v>0</v>
      </c>
      <c r="W87" s="194">
        <f>J87*IFERROR(VLOOKUP(A87,[1]Tørstofindhold!A$2:B$25,2,FALSE),0)</f>
        <v>0</v>
      </c>
      <c r="X87" s="195">
        <f t="shared" si="26"/>
        <v>0</v>
      </c>
      <c r="Y87" s="173">
        <f t="shared" si="21"/>
        <v>1</v>
      </c>
      <c r="Z87" s="104">
        <f t="shared" si="22"/>
        <v>0</v>
      </c>
    </row>
    <row r="88" spans="1:26" x14ac:dyDescent="0.25">
      <c r="A88" s="196" t="str">
        <f t="shared" si="33"/>
        <v>Rapsolie</v>
      </c>
      <c r="B88" s="196" t="str">
        <f t="shared" si="34"/>
        <v>Rapsolie</v>
      </c>
      <c r="C88" s="196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6">
        <f t="shared" si="19"/>
        <v>2030</v>
      </c>
      <c r="E88" s="194" t="s">
        <v>24</v>
      </c>
      <c r="F88" s="197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112792.4588825668</v>
      </c>
      <c r="G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4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7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112792.4588825668</v>
      </c>
      <c r="M88" s="159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6">
        <f t="shared" si="23"/>
        <v>0</v>
      </c>
      <c r="O88" s="197">
        <f t="shared" si="20"/>
        <v>0</v>
      </c>
      <c r="P88" s="207">
        <f t="shared" si="24"/>
        <v>112792.4588825668</v>
      </c>
      <c r="Q88" s="194">
        <f>IFERROR(VLOOKUP(A88,[1]Energiindhold!$A$2:$C$11,3,FALSE),IFERROR(VLOOKUP(A88,[1]Biogasudbytte!$A$2:$B$18,2,FALSE)*[1]Energiindhold!$C$10,0))*O88</f>
        <v>0</v>
      </c>
      <c r="R88" s="194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3.947736060889838</v>
      </c>
      <c r="S88" s="194">
        <f>IFERROR(VLOOKUP(A88,[1]Biogasudbytte!$A$2:$B$18,2,FALSE)*[1]Energiindhold!$C$10,0)*J88*IFERROR(VLOOKUP(A88,Biogasanlæg!$F$3:$G$8,2,FALSE),1)</f>
        <v>0</v>
      </c>
      <c r="T88" s="195">
        <f t="shared" si="25"/>
        <v>3.947736060889838</v>
      </c>
      <c r="U88" s="193">
        <f>O88*IFERROR(VLOOKUP(A88,[1]Tørstofindhold!A$2:B$25,2,FALSE),0)</f>
        <v>0</v>
      </c>
      <c r="V88" s="194">
        <f>IF(D88=År1,P88,SUM(O88,P88))*IFERROR(VLOOKUP(A88,[1]Tørstofindhold!A$2:B$25,2,FALSE),0)</f>
        <v>102641.1375831358</v>
      </c>
      <c r="W88" s="194">
        <f>J88*IFERROR(VLOOKUP(A88,[1]Tørstofindhold!A$2:B$25,2,FALSE),0)</f>
        <v>0</v>
      </c>
      <c r="X88" s="195">
        <f t="shared" si="26"/>
        <v>102641.1375831358</v>
      </c>
      <c r="Y88" s="173">
        <f t="shared" si="21"/>
        <v>0</v>
      </c>
      <c r="Z88" s="104">
        <f t="shared" si="22"/>
        <v>0</v>
      </c>
    </row>
    <row r="89" spans="1:26" x14ac:dyDescent="0.25">
      <c r="A89" s="196" t="str">
        <f t="shared" si="33"/>
        <v>Roer</v>
      </c>
      <c r="B89" s="196" t="str">
        <f t="shared" si="34"/>
        <v>Græs og urter</v>
      </c>
      <c r="C89" s="196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6">
        <f t="shared" si="19"/>
        <v>2030</v>
      </c>
      <c r="E89" s="194" t="s">
        <v>24</v>
      </c>
      <c r="F89" s="197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280098.82292581868</v>
      </c>
      <c r="G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868637.91677766922</v>
      </c>
      <c r="H89" s="194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0</v>
      </c>
      <c r="K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7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9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6">
        <f t="shared" si="23"/>
        <v>-588539.0938518506</v>
      </c>
      <c r="O89" s="197">
        <f t="shared" si="20"/>
        <v>0</v>
      </c>
      <c r="P89" s="207">
        <f t="shared" si="24"/>
        <v>0</v>
      </c>
      <c r="Q89" s="194">
        <f>IFERROR(VLOOKUP(A89,[1]Energiindhold!$A$2:$C$11,3,FALSE),IFERROR(VLOOKUP(A89,[1]Biogasudbytte!$A$2:$B$18,2,FALSE)*[1]Energiindhold!$C$10,0))*O89</f>
        <v>0</v>
      </c>
      <c r="R89" s="194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0</v>
      </c>
      <c r="S89" s="194">
        <f>IFERROR(VLOOKUP(A89,[1]Biogasudbytte!$A$2:$B$18,2,FALSE)*[1]Energiindhold!$C$10,0)*J89*IFERROR(VLOOKUP(A89,Biogasanlæg!$F$3:$G$8,2,FALSE),1)</f>
        <v>0</v>
      </c>
      <c r="T89" s="195">
        <f t="shared" si="25"/>
        <v>0</v>
      </c>
      <c r="U89" s="193">
        <f>O89*IFERROR(VLOOKUP(A89,[1]Tørstofindhold!A$2:B$25,2,FALSE),0)</f>
        <v>0</v>
      </c>
      <c r="V89" s="194">
        <f>IF(D89=År1,P89,SUM(O89,P89))*IFERROR(VLOOKUP(A89,[1]Tørstofindhold!A$2:B$25,2,FALSE),0)</f>
        <v>0</v>
      </c>
      <c r="W89" s="194">
        <f>J89*IFERROR(VLOOKUP(A89,[1]Tørstofindhold!A$2:B$25,2,FALSE),0)</f>
        <v>0</v>
      </c>
      <c r="X89" s="195">
        <f t="shared" si="26"/>
        <v>0</v>
      </c>
      <c r="Y89" s="173">
        <f t="shared" si="21"/>
        <v>0</v>
      </c>
      <c r="Z89" s="104">
        <f t="shared" si="22"/>
        <v>1</v>
      </c>
    </row>
    <row r="90" spans="1:26" x14ac:dyDescent="0.25">
      <c r="A90" s="196" t="str">
        <f t="shared" si="33"/>
        <v>Slagteriaffald til andet</v>
      </c>
      <c r="B90" s="196" t="str">
        <f t="shared" si="34"/>
        <v/>
      </c>
      <c r="C90" s="196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6">
        <f t="shared" si="19"/>
        <v>2030</v>
      </c>
      <c r="E90" s="194" t="s">
        <v>24</v>
      </c>
      <c r="F90" s="197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4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7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9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6">
        <f t="shared" si="23"/>
        <v>191123.07715634341</v>
      </c>
      <c r="O90" s="197">
        <f t="shared" si="20"/>
        <v>0</v>
      </c>
      <c r="P90" s="207">
        <f t="shared" si="24"/>
        <v>0</v>
      </c>
      <c r="Q90" s="194">
        <f>IFERROR(VLOOKUP(A90,[1]Energiindhold!$A$2:$C$11,3,FALSE),IFERROR(VLOOKUP(A90,[1]Biogasudbytte!$A$2:$B$18,2,FALSE)*[1]Energiindhold!$C$10,0))*O90</f>
        <v>0</v>
      </c>
      <c r="R90" s="194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4">
        <f>IFERROR(VLOOKUP(A90,[1]Biogasudbytte!$A$2:$B$18,2,FALSE)*[1]Energiindhold!$C$10,0)*J90*IFERROR(VLOOKUP(A90,Biogasanlæg!$F$3:$G$8,2,FALSE),1)</f>
        <v>0</v>
      </c>
      <c r="T90" s="195">
        <f t="shared" si="25"/>
        <v>0</v>
      </c>
      <c r="U90" s="193">
        <f>O90*IFERROR(VLOOKUP(A90,[1]Tørstofindhold!A$2:B$25,2,FALSE),0)</f>
        <v>0</v>
      </c>
      <c r="V90" s="194">
        <f>IF(D90=År1,P90,SUM(O90,P90))*IFERROR(VLOOKUP(A90,[1]Tørstofindhold!A$2:B$25,2,FALSE),0)</f>
        <v>0</v>
      </c>
      <c r="W90" s="194">
        <f>J90*IFERROR(VLOOKUP(A90,[1]Tørstofindhold!A$2:B$25,2,FALSE),0)</f>
        <v>0</v>
      </c>
      <c r="X90" s="195">
        <f t="shared" si="26"/>
        <v>0</v>
      </c>
      <c r="Y90" s="173">
        <f t="shared" si="21"/>
        <v>0</v>
      </c>
      <c r="Z90" s="104">
        <f t="shared" si="22"/>
        <v>1</v>
      </c>
    </row>
    <row r="91" spans="1:26" x14ac:dyDescent="0.25">
      <c r="A91" s="196" t="str">
        <f t="shared" si="33"/>
        <v>Slagteriaffald til foder</v>
      </c>
      <c r="B91" s="196" t="str">
        <f t="shared" si="34"/>
        <v/>
      </c>
      <c r="C91" s="196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6">
        <f t="shared" si="19"/>
        <v>2030</v>
      </c>
      <c r="E91" s="194" t="s">
        <v>24</v>
      </c>
      <c r="F91" s="197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4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7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9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6">
        <f t="shared" si="23"/>
        <v>90277.592701158952</v>
      </c>
      <c r="O91" s="197">
        <f t="shared" si="20"/>
        <v>0</v>
      </c>
      <c r="P91" s="207">
        <f t="shared" si="24"/>
        <v>0</v>
      </c>
      <c r="Q91" s="194">
        <f>IFERROR(VLOOKUP(A91,[1]Energiindhold!$A$2:$C$11,3,FALSE),IFERROR(VLOOKUP(A91,[1]Biogasudbytte!$A$2:$B$18,2,FALSE)*[1]Energiindhold!$C$10,0))*O91</f>
        <v>0</v>
      </c>
      <c r="R91" s="194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4">
        <f>IFERROR(VLOOKUP(A91,[1]Biogasudbytte!$A$2:$B$18,2,FALSE)*[1]Energiindhold!$C$10,0)*J91*IFERROR(VLOOKUP(A91,Biogasanlæg!$F$3:$G$8,2,FALSE),1)</f>
        <v>0</v>
      </c>
      <c r="T91" s="195">
        <f t="shared" si="25"/>
        <v>0</v>
      </c>
      <c r="U91" s="193">
        <f>O91*IFERROR(VLOOKUP(A91,[1]Tørstofindhold!A$2:B$25,2,FALSE),0)</f>
        <v>0</v>
      </c>
      <c r="V91" s="194">
        <f>IF(D91=År1,P91,SUM(O91,P91))*IFERROR(VLOOKUP(A91,[1]Tørstofindhold!A$2:B$25,2,FALSE),0)</f>
        <v>0</v>
      </c>
      <c r="W91" s="194">
        <f>J91*IFERROR(VLOOKUP(A91,[1]Tørstofindhold!A$2:B$25,2,FALSE),0)</f>
        <v>0</v>
      </c>
      <c r="X91" s="195">
        <f t="shared" si="26"/>
        <v>0</v>
      </c>
      <c r="Y91" s="173">
        <f t="shared" si="21"/>
        <v>0</v>
      </c>
      <c r="Z91" s="104">
        <f t="shared" si="22"/>
        <v>1</v>
      </c>
    </row>
    <row r="92" spans="1:26" x14ac:dyDescent="0.25">
      <c r="A92" s="196" t="str">
        <f t="shared" si="33"/>
        <v>Spildevandsslam</v>
      </c>
      <c r="B92" s="196" t="str">
        <f t="shared" si="34"/>
        <v>Bionedbrydeligt affald</v>
      </c>
      <c r="C92" s="196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6">
        <f t="shared" si="19"/>
        <v>2030</v>
      </c>
      <c r="E92" s="194" t="s">
        <v>24</v>
      </c>
      <c r="F92" s="197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4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1986955.49875235</v>
      </c>
      <c r="K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7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9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6">
        <f t="shared" si="23"/>
        <v>1986955.49875235</v>
      </c>
      <c r="O92" s="197">
        <f t="shared" si="20"/>
        <v>1986955.49875235</v>
      </c>
      <c r="P92" s="207">
        <f t="shared" si="24"/>
        <v>1986955.49875235</v>
      </c>
      <c r="Q92" s="194">
        <f>IFERROR(VLOOKUP(A92,[1]Energiindhold!$A$2:$C$11,3,FALSE),IFERROR(VLOOKUP(A92,[1]Biogasudbytte!$A$2:$B$18,2,FALSE)*[1]Energiindhold!$C$10,0))*O92</f>
        <v>0.99151066343241034</v>
      </c>
      <c r="R92" s="194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1.9830213268648207</v>
      </c>
      <c r="S92" s="194">
        <f>IFERROR(VLOOKUP(A92,[1]Biogasudbytte!$A$2:$B$18,2,FALSE)*[1]Energiindhold!$C$10,0)*J92*IFERROR(VLOOKUP(A92,Biogasanlæg!$F$3:$G$8,2,FALSE),1)</f>
        <v>0.99151066343241034</v>
      </c>
      <c r="T92" s="195">
        <f t="shared" si="25"/>
        <v>0.99151066343241034</v>
      </c>
      <c r="U92" s="193">
        <f>O92*IFERROR(VLOOKUP(A92,[1]Tørstofindhold!A$2:B$25,2,FALSE),0)</f>
        <v>119217.32992514099</v>
      </c>
      <c r="V92" s="194">
        <f>IF(D92=År1,P92,SUM(O92,P92))*IFERROR(VLOOKUP(A92,[1]Tørstofindhold!A$2:B$25,2,FALSE),0)</f>
        <v>238434.65985028198</v>
      </c>
      <c r="W92" s="194">
        <f>J92*IFERROR(VLOOKUP(A92,[1]Tørstofindhold!A$2:B$25,2,FALSE),0)</f>
        <v>119217.32992514099</v>
      </c>
      <c r="X92" s="195">
        <f t="shared" si="26"/>
        <v>119217.32992514099</v>
      </c>
      <c r="Y92" s="173">
        <f t="shared" si="21"/>
        <v>0</v>
      </c>
      <c r="Z92" s="104">
        <f t="shared" si="22"/>
        <v>1</v>
      </c>
    </row>
    <row r="93" spans="1:26" x14ac:dyDescent="0.25">
      <c r="A93" s="196" t="str">
        <f t="shared" si="33"/>
        <v>Svinegylle</v>
      </c>
      <c r="B93" s="196" t="str">
        <f t="shared" si="34"/>
        <v>Husdyrgødning</v>
      </c>
      <c r="C93" s="196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6">
        <f t="shared" si="19"/>
        <v>2030</v>
      </c>
      <c r="E93" s="194" t="s">
        <v>24</v>
      </c>
      <c r="F93" s="197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4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9798641.5643226951</v>
      </c>
      <c r="K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5276191.611558374</v>
      </c>
      <c r="L93" s="197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9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6">
        <f t="shared" si="23"/>
        <v>0</v>
      </c>
      <c r="O93" s="197">
        <f t="shared" si="20"/>
        <v>0</v>
      </c>
      <c r="P93" s="207">
        <f t="shared" si="24"/>
        <v>9798641.5643226951</v>
      </c>
      <c r="Q93" s="194">
        <f>IFERROR(VLOOKUP(A93,[1]Energiindhold!$A$2:$C$11,3,FALSE),IFERROR(VLOOKUP(A93,[1]Biogasudbytte!$A$2:$B$18,2,FALSE)*[1]Energiindhold!$C$10,0))*O93</f>
        <v>0</v>
      </c>
      <c r="R93" s="194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4.2212547859102179</v>
      </c>
      <c r="S93" s="194">
        <f>IFERROR(VLOOKUP(A93,[1]Biogasudbytte!$A$2:$B$18,2,FALSE)*[1]Energiindhold!$C$10,0)*J93*IFERROR(VLOOKUP(A93,Biogasanlæg!$F$3:$G$8,2,FALSE),1)</f>
        <v>4.2212547859102179</v>
      </c>
      <c r="T93" s="195">
        <f t="shared" si="25"/>
        <v>0</v>
      </c>
      <c r="U93" s="193">
        <f>O93*IFERROR(VLOOKUP(A93,[1]Tørstofindhold!A$2:B$25,2,FALSE),0)</f>
        <v>0</v>
      </c>
      <c r="V93" s="194">
        <f>IF(D93=År1,P93,SUM(O93,P93))*IFERROR(VLOOKUP(A93,[1]Tørstofindhold!A$2:B$25,2,FALSE),0)</f>
        <v>489932.0782161348</v>
      </c>
      <c r="W93" s="194">
        <f>J93*IFERROR(VLOOKUP(A93,[1]Tørstofindhold!A$2:B$25,2,FALSE),0)</f>
        <v>489932.0782161348</v>
      </c>
      <c r="X93" s="195">
        <f t="shared" si="26"/>
        <v>0</v>
      </c>
      <c r="Y93" s="173">
        <f t="shared" si="21"/>
        <v>0</v>
      </c>
      <c r="Z93" s="104">
        <f t="shared" si="22"/>
        <v>0</v>
      </c>
    </row>
    <row r="94" spans="1:26" x14ac:dyDescent="0.25">
      <c r="A94" s="196" t="str">
        <f t="shared" si="33"/>
        <v>Svinekød</v>
      </c>
      <c r="B94" s="196" t="str">
        <f t="shared" si="34"/>
        <v/>
      </c>
      <c r="C94" s="196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6">
        <f t="shared" si="19"/>
        <v>2030</v>
      </c>
      <c r="E94" s="194" t="s">
        <v>24</v>
      </c>
      <c r="F94" s="197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4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7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9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6">
        <f t="shared" si="23"/>
        <v>1256137.4817331168</v>
      </c>
      <c r="O94" s="197">
        <f t="shared" si="20"/>
        <v>0</v>
      </c>
      <c r="P94" s="207">
        <f t="shared" si="24"/>
        <v>0</v>
      </c>
      <c r="Q94" s="194">
        <f>IFERROR(VLOOKUP(A94,[1]Energiindhold!$A$2:$C$11,3,FALSE),IFERROR(VLOOKUP(A94,[1]Biogasudbytte!$A$2:$B$18,2,FALSE)*[1]Energiindhold!$C$10,0))*O94</f>
        <v>0</v>
      </c>
      <c r="R94" s="194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4">
        <f>IFERROR(VLOOKUP(A94,[1]Biogasudbytte!$A$2:$B$18,2,FALSE)*[1]Energiindhold!$C$10,0)*J94*IFERROR(VLOOKUP(A94,Biogasanlæg!$F$3:$G$8,2,FALSE),1)</f>
        <v>0</v>
      </c>
      <c r="T94" s="195">
        <f t="shared" si="25"/>
        <v>0</v>
      </c>
      <c r="U94" s="193">
        <f>O94*IFERROR(VLOOKUP(A94,[1]Tørstofindhold!A$2:B$25,2,FALSE),0)</f>
        <v>0</v>
      </c>
      <c r="V94" s="194">
        <f>IF(D94=År1,P94,SUM(O94,P94))*IFERROR(VLOOKUP(A94,[1]Tørstofindhold!A$2:B$25,2,FALSE),0)</f>
        <v>0</v>
      </c>
      <c r="W94" s="194">
        <f>J94*IFERROR(VLOOKUP(A94,[1]Tørstofindhold!A$2:B$25,2,FALSE),0)</f>
        <v>0</v>
      </c>
      <c r="X94" s="195">
        <f t="shared" si="26"/>
        <v>0</v>
      </c>
      <c r="Y94" s="173">
        <f t="shared" si="21"/>
        <v>0</v>
      </c>
      <c r="Z94" s="104">
        <f t="shared" si="22"/>
        <v>1</v>
      </c>
    </row>
    <row r="95" spans="1:26" x14ac:dyDescent="0.25">
      <c r="A95" s="196" t="str">
        <f t="shared" si="33"/>
        <v>Tang</v>
      </c>
      <c r="B95" s="196" t="str">
        <f t="shared" si="34"/>
        <v>Havbiomasse</v>
      </c>
      <c r="C95" s="196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6">
        <f t="shared" si="19"/>
        <v>2030</v>
      </c>
      <c r="E95" s="194" t="s">
        <v>24</v>
      </c>
      <c r="F95" s="197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9726.8074687720582</v>
      </c>
      <c r="H95" s="194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7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9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6">
        <f t="shared" si="23"/>
        <v>3773.1925312279418</v>
      </c>
      <c r="O95" s="197">
        <f t="shared" si="20"/>
        <v>3773.1925312279418</v>
      </c>
      <c r="P95" s="207">
        <f t="shared" si="24"/>
        <v>0</v>
      </c>
      <c r="Q95" s="194">
        <f>IFERROR(VLOOKUP(A95,[1]Energiindhold!$A$2:$C$11,3,FALSE),IFERROR(VLOOKUP(A95,[1]Biogasudbytte!$A$2:$B$18,2,FALSE)*[1]Energiindhold!$C$10,0))*O95</f>
        <v>3.3864402967770783E-3</v>
      </c>
      <c r="R95" s="194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3.3864402967770783E-3</v>
      </c>
      <c r="S95" s="194">
        <f>IFERROR(VLOOKUP(A95,[1]Biogasudbytte!$A$2:$B$18,2,FALSE)*[1]Energiindhold!$C$10,0)*J95*IFERROR(VLOOKUP(A95,Biogasanlæg!$F$3:$G$8,2,FALSE),1)</f>
        <v>0</v>
      </c>
      <c r="T95" s="195">
        <f t="shared" si="25"/>
        <v>3.3864402967770783E-3</v>
      </c>
      <c r="U95" s="193">
        <f>O95*IFERROR(VLOOKUP(A95,[1]Tørstofindhold!A$2:B$25,2,FALSE),0)</f>
        <v>565.97887968419127</v>
      </c>
      <c r="V95" s="194">
        <f>IF(D95=År1,P95,SUM(O95,P95))*IFERROR(VLOOKUP(A95,[1]Tørstofindhold!A$2:B$25,2,FALSE),0)</f>
        <v>565.97887968419127</v>
      </c>
      <c r="W95" s="194">
        <f>J95*IFERROR(VLOOKUP(A95,[1]Tørstofindhold!A$2:B$25,2,FALSE),0)</f>
        <v>0</v>
      </c>
      <c r="X95" s="195">
        <f t="shared" si="26"/>
        <v>565.97887968419127</v>
      </c>
      <c r="Y95" s="173">
        <f t="shared" si="21"/>
        <v>0</v>
      </c>
      <c r="Z95" s="104">
        <f t="shared" si="22"/>
        <v>1</v>
      </c>
    </row>
    <row r="96" spans="1:26" x14ac:dyDescent="0.25">
      <c r="A96" s="196" t="str">
        <f t="shared" si="33"/>
        <v>Total til biogas</v>
      </c>
      <c r="B96" s="196" t="str">
        <f t="shared" si="34"/>
        <v/>
      </c>
      <c r="C96" s="196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6">
        <f t="shared" si="19"/>
        <v>2030</v>
      </c>
      <c r="E96" s="194" t="s">
        <v>24</v>
      </c>
      <c r="F96" s="197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4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7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9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6">
        <f t="shared" si="23"/>
        <v>0</v>
      </c>
      <c r="O96" s="197">
        <f t="shared" si="20"/>
        <v>0</v>
      </c>
      <c r="P96" s="207">
        <f t="shared" si="24"/>
        <v>0</v>
      </c>
      <c r="Q96" s="194">
        <f>IFERROR(VLOOKUP(A96,[1]Energiindhold!$A$2:$C$11,3,FALSE),IFERROR(VLOOKUP(A96,[1]Biogasudbytte!$A$2:$B$18,2,FALSE)*[1]Energiindhold!$C$10,0))*O96</f>
        <v>0</v>
      </c>
      <c r="R96" s="194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4">
        <f>IFERROR(VLOOKUP(A96,[1]Biogasudbytte!$A$2:$B$18,2,FALSE)*[1]Energiindhold!$C$10,0)*J96*IFERROR(VLOOKUP(A96,Biogasanlæg!$F$3:$G$8,2,FALSE),1)</f>
        <v>0</v>
      </c>
      <c r="T96" s="195">
        <f t="shared" si="25"/>
        <v>0</v>
      </c>
      <c r="U96" s="193">
        <f>O96*IFERROR(VLOOKUP(A96,[1]Tørstofindhold!A$2:B$25,2,FALSE),0)</f>
        <v>0</v>
      </c>
      <c r="V96" s="194">
        <f>IF(D96=År1,P96,SUM(O96,P96))*IFERROR(VLOOKUP(A96,[1]Tørstofindhold!A$2:B$25,2,FALSE),0)</f>
        <v>0</v>
      </c>
      <c r="W96" s="194">
        <f>J96*IFERROR(VLOOKUP(A96,[1]Tørstofindhold!A$2:B$25,2,FALSE),0)</f>
        <v>0</v>
      </c>
      <c r="X96" s="195">
        <f t="shared" si="26"/>
        <v>0</v>
      </c>
      <c r="Y96" s="173">
        <f t="shared" si="21"/>
        <v>0</v>
      </c>
      <c r="Z96" s="104">
        <f t="shared" si="22"/>
        <v>0</v>
      </c>
    </row>
    <row r="97" spans="1:26" x14ac:dyDescent="0.25">
      <c r="A97" s="196" t="str">
        <f t="shared" si="33"/>
        <v>Træ til energi</v>
      </c>
      <c r="B97" s="196" t="str">
        <f t="shared" si="34"/>
        <v>Vedmasse</v>
      </c>
      <c r="C97" s="196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6">
        <f t="shared" si="19"/>
        <v>2030</v>
      </c>
      <c r="E97" s="194" t="s">
        <v>24</v>
      </c>
      <c r="F97" s="197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4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7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9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6">
        <f t="shared" si="23"/>
        <v>0</v>
      </c>
      <c r="O97" s="197">
        <f t="shared" si="20"/>
        <v>0</v>
      </c>
      <c r="P97" s="207">
        <f t="shared" si="24"/>
        <v>2203715.0015238998</v>
      </c>
      <c r="Q97" s="194">
        <f>IFERROR(VLOOKUP(A97,[1]Energiindhold!$A$2:$C$11,3,FALSE),IFERROR(VLOOKUP(A97,[1]Biogasudbytte!$A$2:$B$18,2,FALSE)*[1]Energiindhold!$C$10,0))*O97</f>
        <v>0</v>
      </c>
      <c r="R97" s="194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4">
        <f>IFERROR(VLOOKUP(A97,[1]Biogasudbytte!$A$2:$B$18,2,FALSE)*[1]Energiindhold!$C$10,0)*J97*IFERROR(VLOOKUP(A97,Biogasanlæg!$F$3:$G$8,2,FALSE),1)</f>
        <v>0</v>
      </c>
      <c r="T97" s="195">
        <f t="shared" si="25"/>
        <v>31.93969521225883</v>
      </c>
      <c r="U97" s="193">
        <f>O97*IFERROR(VLOOKUP(A97,[1]Tørstofindhold!A$2:B$25,2,FALSE),0)</f>
        <v>0</v>
      </c>
      <c r="V97" s="194">
        <f>IF(D97=År1,P97,SUM(O97,P97))*IFERROR(VLOOKUP(A97,[1]Tørstofindhold!A$2:B$25,2,FALSE),0)</f>
        <v>1089920.7111703621</v>
      </c>
      <c r="W97" s="194">
        <f>J97*IFERROR(VLOOKUP(A97,[1]Tørstofindhold!A$2:B$25,2,FALSE),0)</f>
        <v>0</v>
      </c>
      <c r="X97" s="195">
        <f t="shared" si="26"/>
        <v>1089920.7111703621</v>
      </c>
      <c r="Y97" s="173">
        <f t="shared" si="21"/>
        <v>0</v>
      </c>
      <c r="Z97" s="104">
        <f t="shared" si="22"/>
        <v>0</v>
      </c>
    </row>
    <row r="98" spans="1:26" x14ac:dyDescent="0.25">
      <c r="A98" s="196" t="str">
        <f t="shared" si="33"/>
        <v>Træmaterialer</v>
      </c>
      <c r="B98" s="196" t="str">
        <f t="shared" si="34"/>
        <v/>
      </c>
      <c r="C98" s="196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6">
        <f t="shared" si="19"/>
        <v>2030</v>
      </c>
      <c r="E98" s="194" t="s">
        <v>24</v>
      </c>
      <c r="F98" s="197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4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7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9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6">
        <f t="shared" si="23"/>
        <v>605932.0339558397</v>
      </c>
      <c r="O98" s="197">
        <f t="shared" si="20"/>
        <v>0</v>
      </c>
      <c r="P98" s="207">
        <f t="shared" si="24"/>
        <v>0</v>
      </c>
      <c r="Q98" s="194">
        <f>IFERROR(VLOOKUP(A98,[1]Energiindhold!$A$2:$C$11,3,FALSE),IFERROR(VLOOKUP(A98,[1]Biogasudbytte!$A$2:$B$18,2,FALSE)*[1]Energiindhold!$C$10,0))*O98</f>
        <v>0</v>
      </c>
      <c r="R98" s="194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4">
        <f>IFERROR(VLOOKUP(A98,[1]Biogasudbytte!$A$2:$B$18,2,FALSE)*[1]Energiindhold!$C$10,0)*J98*IFERROR(VLOOKUP(A98,Biogasanlæg!$F$3:$G$8,2,FALSE),1)</f>
        <v>0</v>
      </c>
      <c r="T98" s="195">
        <f t="shared" si="25"/>
        <v>0</v>
      </c>
      <c r="U98" s="193">
        <f>O98*IFERROR(VLOOKUP(A98,[1]Tørstofindhold!A$2:B$25,2,FALSE),0)</f>
        <v>0</v>
      </c>
      <c r="V98" s="194">
        <f>IF(D98=År1,P98,SUM(O98,P98))*IFERROR(VLOOKUP(A98,[1]Tørstofindhold!A$2:B$25,2,FALSE),0)</f>
        <v>0</v>
      </c>
      <c r="W98" s="194">
        <f>J98*IFERROR(VLOOKUP(A98,[1]Tørstofindhold!A$2:B$25,2,FALSE),0)</f>
        <v>0</v>
      </c>
      <c r="X98" s="195">
        <f t="shared" si="26"/>
        <v>0</v>
      </c>
      <c r="Y98" s="173">
        <f t="shared" si="21"/>
        <v>0</v>
      </c>
      <c r="Z98" s="104">
        <f t="shared" si="22"/>
        <v>1</v>
      </c>
    </row>
    <row r="99" spans="1:26" x14ac:dyDescent="0.25">
      <c r="A99" s="196" t="str">
        <f t="shared" si="33"/>
        <v>Æg</v>
      </c>
      <c r="B99" s="196" t="str">
        <f t="shared" si="34"/>
        <v/>
      </c>
      <c r="C99" s="196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6">
        <f t="shared" ref="D99:D146" si="35">År3</f>
        <v>2050</v>
      </c>
      <c r="E99" s="194" t="s">
        <v>24</v>
      </c>
      <c r="F99" s="197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4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7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9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6">
        <f t="shared" si="23"/>
        <v>174373.27010647443</v>
      </c>
      <c r="O99" s="197">
        <f t="shared" si="20"/>
        <v>0</v>
      </c>
      <c r="P99" s="207">
        <f t="shared" si="24"/>
        <v>0</v>
      </c>
      <c r="Q99" s="194">
        <f>IFERROR(VLOOKUP(A99,[1]Energiindhold!$A$2:$C$11,3,FALSE),IFERROR(VLOOKUP(A99,[1]Biogasudbytte!$A$2:$B$18,2,FALSE)*[1]Energiindhold!$C$10,0))*O99</f>
        <v>0</v>
      </c>
      <c r="R99" s="194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4">
        <f>IFERROR(VLOOKUP(A99,[1]Biogasudbytte!$A$2:$B$18,2,FALSE)*[1]Energiindhold!$C$10,0)*J99*IFERROR(VLOOKUP(A99,Biogasanlæg!$F$3:$G$8,2,FALSE),1)</f>
        <v>0</v>
      </c>
      <c r="T99" s="195">
        <f t="shared" si="25"/>
        <v>0</v>
      </c>
      <c r="U99" s="193">
        <f>O99*IFERROR(VLOOKUP(A99,[1]Tørstofindhold!A$2:B$25,2,FALSE),0)</f>
        <v>0</v>
      </c>
      <c r="V99" s="194">
        <f>IF(D99=År1,P99,SUM(O99,P99))*IFERROR(VLOOKUP(A99,[1]Tørstofindhold!A$2:B$25,2,FALSE),0)</f>
        <v>0</v>
      </c>
      <c r="W99" s="194">
        <f>J99*IFERROR(VLOOKUP(A99,[1]Tørstofindhold!A$2:B$25,2,FALSE),0)</f>
        <v>0</v>
      </c>
      <c r="X99" s="195">
        <f t="shared" si="26"/>
        <v>0</v>
      </c>
      <c r="Y99" s="173">
        <f t="shared" si="21"/>
        <v>0</v>
      </c>
      <c r="Z99" s="104">
        <f t="shared" si="22"/>
        <v>1</v>
      </c>
    </row>
    <row r="100" spans="1:26" x14ac:dyDescent="0.25">
      <c r="A100" s="196" t="str">
        <f t="shared" si="33"/>
        <v>Bælgsæd</v>
      </c>
      <c r="B100" s="196" t="str">
        <f t="shared" si="34"/>
        <v/>
      </c>
      <c r="C100" s="196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6">
        <f t="shared" si="35"/>
        <v>2050</v>
      </c>
      <c r="E100" s="194" t="s">
        <v>24</v>
      </c>
      <c r="F100" s="197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180922.23714625766</v>
      </c>
      <c r="G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4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7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9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6">
        <f t="shared" si="23"/>
        <v>116423.76167106567</v>
      </c>
      <c r="O100" s="197">
        <f t="shared" si="20"/>
        <v>0</v>
      </c>
      <c r="P100" s="207">
        <f t="shared" si="24"/>
        <v>0</v>
      </c>
      <c r="Q100" s="194">
        <f>IFERROR(VLOOKUP(A100,[1]Energiindhold!$A$2:$C$11,3,FALSE),IFERROR(VLOOKUP(A100,[1]Biogasudbytte!$A$2:$B$18,2,FALSE)*[1]Energiindhold!$C$10,0))*O100</f>
        <v>0</v>
      </c>
      <c r="R100" s="194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4">
        <f>IFERROR(VLOOKUP(A100,[1]Biogasudbytte!$A$2:$B$18,2,FALSE)*[1]Energiindhold!$C$10,0)*J100*IFERROR(VLOOKUP(A100,Biogasanlæg!$F$3:$G$8,2,FALSE),1)</f>
        <v>0</v>
      </c>
      <c r="T100" s="195">
        <f t="shared" si="25"/>
        <v>0</v>
      </c>
      <c r="U100" s="193">
        <f>O100*IFERROR(VLOOKUP(A100,[1]Tørstofindhold!A$2:B$25,2,FALSE),0)</f>
        <v>0</v>
      </c>
      <c r="V100" s="194">
        <f>IF(D100=År1,P100,SUM(O100,P100))*IFERROR(VLOOKUP(A100,[1]Tørstofindhold!A$2:B$25,2,FALSE),0)</f>
        <v>0</v>
      </c>
      <c r="W100" s="194">
        <f>J100*IFERROR(VLOOKUP(A100,[1]Tørstofindhold!A$2:B$25,2,FALSE),0)</f>
        <v>0</v>
      </c>
      <c r="X100" s="195">
        <f t="shared" si="26"/>
        <v>0</v>
      </c>
      <c r="Y100" s="173">
        <f t="shared" si="21"/>
        <v>0</v>
      </c>
      <c r="Z100" s="104">
        <f t="shared" si="22"/>
        <v>1</v>
      </c>
    </row>
    <row r="101" spans="1:26" x14ac:dyDescent="0.25">
      <c r="A101" s="196" t="str">
        <f t="shared" si="33"/>
        <v>Bioaffald</v>
      </c>
      <c r="B101" s="196" t="str">
        <f t="shared" si="34"/>
        <v>Bionedbrydeligt affald</v>
      </c>
      <c r="C101" s="196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6">
        <f t="shared" si="35"/>
        <v>2050</v>
      </c>
      <c r="E101" s="194" t="s">
        <v>24</v>
      </c>
      <c r="F101" s="197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4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7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7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9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6">
        <f t="shared" ca="1" si="23"/>
        <v>-9.8743131762603298E-2</v>
      </c>
      <c r="O101" s="197">
        <f t="shared" ca="1" si="20"/>
        <v>0</v>
      </c>
      <c r="P101" s="207">
        <f t="shared" ca="1" si="24"/>
        <v>197484.23354298095</v>
      </c>
      <c r="Q101" s="194">
        <f ca="1">IFERROR(VLOOKUP(A101,[1]Energiindhold!$A$2:$C$11,3,FALSE),IFERROR(VLOOKUP(A101,[1]Biogasudbytte!$A$2:$B$18,2,FALSE)*[1]Energiindhold!$C$10,0))*O101</f>
        <v>0</v>
      </c>
      <c r="R101" s="194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4">
        <f ca="1">IFERROR(VLOOKUP(A101,[1]Biogasudbytte!$A$2:$B$18,2,FALSE)*[1]Energiindhold!$C$10,0)*J101*IFERROR(VLOOKUP(A101,Biogasanlæg!$F$3:$G$8,2,FALSE),1)</f>
        <v>0.60552990908992566</v>
      </c>
      <c r="T101" s="195">
        <f t="shared" ca="1" si="25"/>
        <v>0</v>
      </c>
      <c r="U101" s="193">
        <f ca="1">O101*IFERROR(VLOOKUP(A101,[1]Tørstofindhold!A$2:B$25,2,FALSE),0)</f>
        <v>0</v>
      </c>
      <c r="V101" s="194">
        <f ca="1">IF(D101=År1,P101,SUM(O101,P101))*IFERROR(VLOOKUP(A101,[1]Tørstofindhold!A$2:B$25,2,FALSE),0)</f>
        <v>55295.585392034671</v>
      </c>
      <c r="W101" s="194">
        <f ca="1">J101*IFERROR(VLOOKUP(A101,[1]Tørstofindhold!A$2:B$25,2,FALSE),0)</f>
        <v>55295.585392034671</v>
      </c>
      <c r="X101" s="195">
        <f t="shared" ca="1" si="26"/>
        <v>0</v>
      </c>
      <c r="Y101" s="173">
        <f t="shared" ca="1" si="21"/>
        <v>1</v>
      </c>
      <c r="Z101" s="104">
        <f t="shared" ca="1" si="22"/>
        <v>0</v>
      </c>
    </row>
    <row r="102" spans="1:26" x14ac:dyDescent="0.25">
      <c r="A102" s="196" t="str">
        <f t="shared" si="33"/>
        <v>Biogas</v>
      </c>
      <c r="B102" s="196" t="str">
        <f t="shared" si="34"/>
        <v/>
      </c>
      <c r="C102" s="196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6">
        <f t="shared" si="35"/>
        <v>2050</v>
      </c>
      <c r="E102" s="194" t="s">
        <v>24</v>
      </c>
      <c r="F102" s="197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595864256.47199023</v>
      </c>
      <c r="G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4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7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595864256.47199023</v>
      </c>
      <c r="M102" s="159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6">
        <f t="shared" ca="1" si="23"/>
        <v>0</v>
      </c>
      <c r="O102" s="197">
        <f t="shared" ca="1" si="20"/>
        <v>0</v>
      </c>
      <c r="P102" s="207">
        <f t="shared" ca="1" si="24"/>
        <v>595864256.47199023</v>
      </c>
      <c r="Q102" s="194">
        <f ca="1">IFERROR(VLOOKUP(A102,[1]Energiindhold!$A$2:$C$11,3,FALSE),IFERROR(VLOOKUP(A102,[1]Biogasudbytte!$A$2:$B$18,2,FALSE)*[1]Energiindhold!$C$10,0))*O102</f>
        <v>0</v>
      </c>
      <c r="R102" s="194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4">
        <f>IFERROR(VLOOKUP(A102,[1]Biogasudbytte!$A$2:$B$18,2,FALSE)*[1]Energiindhold!$C$10,0)*J102*IFERROR(VLOOKUP(A102,Biogasanlæg!$F$3:$G$8,2,FALSE),1)</f>
        <v>0</v>
      </c>
      <c r="T102" s="195">
        <f t="shared" si="25"/>
        <v>0</v>
      </c>
      <c r="U102" s="193">
        <f ca="1">O102*IFERROR(VLOOKUP(A102,[1]Tørstofindhold!A$2:B$25,2,FALSE),0)</f>
        <v>0</v>
      </c>
      <c r="V102" s="194">
        <f ca="1">IF(D102=År1,P102,SUM(O102,P102))*IFERROR(VLOOKUP(A102,[1]Tørstofindhold!A$2:B$25,2,FALSE),0)</f>
        <v>0</v>
      </c>
      <c r="W102" s="194">
        <f>J102*IFERROR(VLOOKUP(A102,[1]Tørstofindhold!A$2:B$25,2,FALSE),0)</f>
        <v>0</v>
      </c>
      <c r="X102" s="195">
        <f t="shared" ca="1" si="26"/>
        <v>0</v>
      </c>
      <c r="Y102" s="173">
        <f t="shared" ca="1" si="21"/>
        <v>0</v>
      </c>
      <c r="Z102" s="104">
        <f t="shared" ca="1" si="22"/>
        <v>0</v>
      </c>
    </row>
    <row r="103" spans="1:26" x14ac:dyDescent="0.25">
      <c r="A103" s="196" t="str">
        <f t="shared" si="33"/>
        <v>Biogasgylle</v>
      </c>
      <c r="B103" s="196" t="str">
        <f t="shared" si="34"/>
        <v/>
      </c>
      <c r="C103" s="196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6">
        <f t="shared" si="35"/>
        <v>2050</v>
      </c>
      <c r="E103" s="194" t="s">
        <v>24</v>
      </c>
      <c r="F103" s="197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26076139.147760522</v>
      </c>
      <c r="G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4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7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20817436.864202589</v>
      </c>
      <c r="L103" s="197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9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6">
        <f t="shared" ca="1" si="23"/>
        <v>5258702.2835579328</v>
      </c>
      <c r="O103" s="197">
        <f t="shared" si="20"/>
        <v>0</v>
      </c>
      <c r="P103" s="207">
        <f t="shared" si="24"/>
        <v>0</v>
      </c>
      <c r="Q103" s="194">
        <f>IFERROR(VLOOKUP(A103,[1]Energiindhold!$A$2:$C$11,3,FALSE),IFERROR(VLOOKUP(A103,[1]Biogasudbytte!$A$2:$B$18,2,FALSE)*[1]Energiindhold!$C$10,0))*O103</f>
        <v>0</v>
      </c>
      <c r="R103" s="194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4">
        <f>IFERROR(VLOOKUP(A103,[1]Biogasudbytte!$A$2:$B$18,2,FALSE)*[1]Energiindhold!$C$10,0)*J103*IFERROR(VLOOKUP(A103,Biogasanlæg!$F$3:$G$8,2,FALSE),1)</f>
        <v>0</v>
      </c>
      <c r="T103" s="195">
        <f t="shared" si="25"/>
        <v>0</v>
      </c>
      <c r="U103" s="193">
        <f>O103*IFERROR(VLOOKUP(A103,[1]Tørstofindhold!A$2:B$25,2,FALSE),0)</f>
        <v>0</v>
      </c>
      <c r="V103" s="194">
        <f>IF(D103=År1,P103,SUM(O103,P103))*IFERROR(VLOOKUP(A103,[1]Tørstofindhold!A$2:B$25,2,FALSE),0)</f>
        <v>0</v>
      </c>
      <c r="W103" s="194">
        <f>J103*IFERROR(VLOOKUP(A103,[1]Tørstofindhold!A$2:B$25,2,FALSE),0)</f>
        <v>0</v>
      </c>
      <c r="X103" s="195">
        <f t="shared" si="26"/>
        <v>0</v>
      </c>
      <c r="Y103" s="173">
        <f t="shared" ca="1" si="21"/>
        <v>0</v>
      </c>
      <c r="Z103" s="104">
        <f t="shared" ca="1" si="22"/>
        <v>1</v>
      </c>
    </row>
    <row r="104" spans="1:26" x14ac:dyDescent="0.25">
      <c r="A104" s="196" t="str">
        <f t="shared" si="33"/>
        <v>Brun saft</v>
      </c>
      <c r="B104" s="196" t="str">
        <f t="shared" si="34"/>
        <v>Bionedbrydeligt affald</v>
      </c>
      <c r="C104" s="196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6">
        <f t="shared" si="35"/>
        <v>2050</v>
      </c>
      <c r="E104" s="194" t="s">
        <v>24</v>
      </c>
      <c r="F104" s="197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7382.3997257789451</v>
      </c>
      <c r="G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4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5905.9197806231568</v>
      </c>
      <c r="K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7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9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6">
        <f t="shared" si="23"/>
        <v>1476.4799451557883</v>
      </c>
      <c r="O104" s="197">
        <f t="shared" si="20"/>
        <v>1476.4799451557883</v>
      </c>
      <c r="P104" s="207">
        <f t="shared" si="24"/>
        <v>5905.9197806231568</v>
      </c>
      <c r="Q104" s="194">
        <f>IFERROR(VLOOKUP(A104,[1]Energiindhold!$A$2:$C$11,3,FALSE),IFERROR(VLOOKUP(A104,[1]Biogasudbytte!$A$2:$B$18,2,FALSE)*[1]Energiindhold!$C$10,0))*O104</f>
        <v>8.3867911092623103E-4</v>
      </c>
      <c r="R104" s="194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4.1933955546311578E-3</v>
      </c>
      <c r="S104" s="194">
        <f>IFERROR(VLOOKUP(A104,[1]Biogasudbytte!$A$2:$B$18,2,FALSE)*[1]Energiindhold!$C$10,0)*J104*IFERROR(VLOOKUP(A104,Biogasanlæg!$F$3:$G$8,2,FALSE),1)</f>
        <v>3.3547164437049263E-3</v>
      </c>
      <c r="T104" s="195">
        <f t="shared" si="25"/>
        <v>8.3867911092623147E-4</v>
      </c>
      <c r="U104" s="193">
        <f>O104*IFERROR(VLOOKUP(A104,[1]Tørstofindhold!A$2:B$25,2,FALSE),0)</f>
        <v>63.139284117009026</v>
      </c>
      <c r="V104" s="194">
        <f>IF(D104=År1,P104,SUM(O104,P104))*IFERROR(VLOOKUP(A104,[1]Tørstofindhold!A$2:B$25,2,FALSE),0)</f>
        <v>315.6964205850453</v>
      </c>
      <c r="W104" s="194">
        <f>J104*IFERROR(VLOOKUP(A104,[1]Tørstofindhold!A$2:B$25,2,FALSE),0)</f>
        <v>252.55713646803628</v>
      </c>
      <c r="X104" s="195">
        <f t="shared" si="26"/>
        <v>63.139284117009026</v>
      </c>
      <c r="Y104" s="173">
        <f t="shared" si="21"/>
        <v>0</v>
      </c>
      <c r="Z104" s="104">
        <f t="shared" si="22"/>
        <v>1</v>
      </c>
    </row>
    <row r="105" spans="1:26" x14ac:dyDescent="0.25">
      <c r="A105" s="196" t="str">
        <f t="shared" si="33"/>
        <v>Dybstrøelse</v>
      </c>
      <c r="B105" s="196" t="str">
        <f t="shared" si="34"/>
        <v>Husdyrgødning</v>
      </c>
      <c r="C105" s="196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6">
        <f t="shared" si="35"/>
        <v>2050</v>
      </c>
      <c r="E105" s="194" t="s">
        <v>24</v>
      </c>
      <c r="F105" s="197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4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2222382.1821508608</v>
      </c>
      <c r="K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210332.59938213494</v>
      </c>
      <c r="L105" s="197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9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6">
        <f t="shared" si="23"/>
        <v>345262.94615557976</v>
      </c>
      <c r="O105" s="197">
        <f t="shared" si="20"/>
        <v>345262.94615557976</v>
      </c>
      <c r="P105" s="207">
        <f t="shared" si="24"/>
        <v>2222382.1821508608</v>
      </c>
      <c r="Q105" s="194">
        <f>IFERROR(VLOOKUP(A105,[1]Energiindhold!$A$2:$C$11,3,FALSE),IFERROR(VLOOKUP(A105,[1]Biogasudbytte!$A$2:$B$18,2,FALSE)*[1]Energiindhold!$C$10,0))*O105</f>
        <v>0.7436963860191188</v>
      </c>
      <c r="R105" s="194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5.530707606372073</v>
      </c>
      <c r="S105" s="194">
        <f>IFERROR(VLOOKUP(A105,[1]Biogasudbytte!$A$2:$B$18,2,FALSE)*[1]Energiindhold!$C$10,0)*J105*IFERROR(VLOOKUP(A105,Biogasanlæg!$F$3:$G$8,2,FALSE),1)</f>
        <v>4.7870112203529542</v>
      </c>
      <c r="T105" s="195">
        <f t="shared" si="25"/>
        <v>0.7436963860191188</v>
      </c>
      <c r="U105" s="193">
        <f>O105*IFERROR(VLOOKUP(A105,[1]Tørstofindhold!A$2:B$25,2,FALSE),0)</f>
        <v>103578.88384667393</v>
      </c>
      <c r="V105" s="194">
        <f>IF(D105=År1,P105,SUM(O105,P105))*IFERROR(VLOOKUP(A105,[1]Tørstofindhold!A$2:B$25,2,FALSE),0)</f>
        <v>770293.53849193209</v>
      </c>
      <c r="W105" s="194">
        <f>J105*IFERROR(VLOOKUP(A105,[1]Tørstofindhold!A$2:B$25,2,FALSE),0)</f>
        <v>666714.65464525821</v>
      </c>
      <c r="X105" s="195">
        <f t="shared" si="26"/>
        <v>103578.88384667388</v>
      </c>
      <c r="Y105" s="173">
        <f t="shared" si="21"/>
        <v>0</v>
      </c>
      <c r="Z105" s="104">
        <f t="shared" si="22"/>
        <v>1</v>
      </c>
    </row>
    <row r="106" spans="1:26" x14ac:dyDescent="0.25">
      <c r="A106" s="196" t="str">
        <f t="shared" si="33"/>
        <v>Fiberfraktion</v>
      </c>
      <c r="B106" s="196" t="str">
        <f t="shared" si="34"/>
        <v/>
      </c>
      <c r="C106" s="196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6">
        <f t="shared" si="35"/>
        <v>2050</v>
      </c>
      <c r="E106" s="194" t="s">
        <v>24</v>
      </c>
      <c r="F106" s="197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5199.7057508125108</v>
      </c>
      <c r="G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5201.2984929347494</v>
      </c>
      <c r="H106" s="194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7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9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6">
        <f t="shared" si="23"/>
        <v>-1.5927421222386329</v>
      </c>
      <c r="O106" s="197">
        <f t="shared" si="20"/>
        <v>0</v>
      </c>
      <c r="P106" s="207">
        <f t="shared" si="24"/>
        <v>0</v>
      </c>
      <c r="Q106" s="194">
        <f>IFERROR(VLOOKUP(A106,[1]Energiindhold!$A$2:$C$11,3,FALSE),IFERROR(VLOOKUP(A106,[1]Biogasudbytte!$A$2:$B$18,2,FALSE)*[1]Energiindhold!$C$10,0))*O106</f>
        <v>0</v>
      </c>
      <c r="R106" s="194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4">
        <f>IFERROR(VLOOKUP(A106,[1]Biogasudbytte!$A$2:$B$18,2,FALSE)*[1]Energiindhold!$C$10,0)*J106*IFERROR(VLOOKUP(A106,Biogasanlæg!$F$3:$G$8,2,FALSE),1)</f>
        <v>0</v>
      </c>
      <c r="T106" s="195">
        <f t="shared" si="25"/>
        <v>0</v>
      </c>
      <c r="U106" s="193">
        <f>O106*IFERROR(VLOOKUP(A106,[1]Tørstofindhold!A$2:B$25,2,FALSE),0)</f>
        <v>0</v>
      </c>
      <c r="V106" s="194">
        <f>IF(D106=År1,P106,SUM(O106,P106))*IFERROR(VLOOKUP(A106,[1]Tørstofindhold!A$2:B$25,2,FALSE),0)</f>
        <v>0</v>
      </c>
      <c r="W106" s="194">
        <f>J106*IFERROR(VLOOKUP(A106,[1]Tørstofindhold!A$2:B$25,2,FALSE),0)</f>
        <v>0</v>
      </c>
      <c r="X106" s="195">
        <f t="shared" si="26"/>
        <v>0</v>
      </c>
      <c r="Y106" s="173">
        <f t="shared" si="21"/>
        <v>1</v>
      </c>
      <c r="Z106" s="104">
        <f t="shared" si="22"/>
        <v>0</v>
      </c>
    </row>
    <row r="107" spans="1:26" x14ac:dyDescent="0.25">
      <c r="A107" s="196" t="str">
        <f t="shared" si="33"/>
        <v>Fjerkrægylle</v>
      </c>
      <c r="B107" s="196" t="str">
        <f t="shared" si="34"/>
        <v>Husdyrgødning</v>
      </c>
      <c r="C107" s="196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6">
        <f t="shared" si="35"/>
        <v>2050</v>
      </c>
      <c r="E107" s="194" t="s">
        <v>24</v>
      </c>
      <c r="F107" s="197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4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6892.4253779859373</v>
      </c>
      <c r="K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1304.637660833052</v>
      </c>
      <c r="L107" s="197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9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6">
        <f t="shared" si="23"/>
        <v>418.46868366343188</v>
      </c>
      <c r="O107" s="197">
        <f t="shared" si="20"/>
        <v>418.46868366343188</v>
      </c>
      <c r="P107" s="207">
        <f t="shared" si="24"/>
        <v>6892.4253779859373</v>
      </c>
      <c r="Q107" s="194">
        <f>IFERROR(VLOOKUP(A107,[1]Energiindhold!$A$2:$C$11,3,FALSE),IFERROR(VLOOKUP(A107,[1]Biogasudbytte!$A$2:$B$18,2,FALSE)*[1]Energiindhold!$C$10,0))*O107</f>
        <v>1.9680163724007538E-4</v>
      </c>
      <c r="R107" s="194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3.4382403682530816E-3</v>
      </c>
      <c r="S107" s="194">
        <f>IFERROR(VLOOKUP(A107,[1]Biogasudbytte!$A$2:$B$18,2,FALSE)*[1]Energiindhold!$C$10,0)*J107*IFERROR(VLOOKUP(A107,Biogasanlæg!$F$3:$G$8,2,FALSE),1)</f>
        <v>3.2414387310130063E-3</v>
      </c>
      <c r="T107" s="195">
        <f t="shared" si="25"/>
        <v>1.968016372400753E-4</v>
      </c>
      <c r="U107" s="193">
        <f>O107*IFERROR(VLOOKUP(A107,[1]Tørstofindhold!A$2:B$25,2,FALSE),0)</f>
        <v>26.363527070796209</v>
      </c>
      <c r="V107" s="194">
        <f>IF(D107=År1,P107,SUM(O107,P107))*IFERROR(VLOOKUP(A107,[1]Tørstofindhold!A$2:B$25,2,FALSE),0)</f>
        <v>460.58632588391026</v>
      </c>
      <c r="W107" s="194">
        <f>J107*IFERROR(VLOOKUP(A107,[1]Tørstofindhold!A$2:B$25,2,FALSE),0)</f>
        <v>434.22279881311403</v>
      </c>
      <c r="X107" s="195">
        <f t="shared" si="26"/>
        <v>26.363527070796238</v>
      </c>
      <c r="Y107" s="173">
        <f t="shared" si="21"/>
        <v>0</v>
      </c>
      <c r="Z107" s="104">
        <f t="shared" si="22"/>
        <v>1</v>
      </c>
    </row>
    <row r="108" spans="1:26" x14ac:dyDescent="0.25">
      <c r="A108" s="196" t="str">
        <f t="shared" si="33"/>
        <v>Fjerkrækød</v>
      </c>
      <c r="B108" s="196" t="str">
        <f t="shared" si="34"/>
        <v/>
      </c>
      <c r="C108" s="196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6">
        <f t="shared" si="35"/>
        <v>2050</v>
      </c>
      <c r="E108" s="194" t="s">
        <v>24</v>
      </c>
      <c r="F108" s="197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4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7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9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6">
        <f t="shared" si="23"/>
        <v>136987.951622947</v>
      </c>
      <c r="O108" s="197">
        <f t="shared" si="20"/>
        <v>0</v>
      </c>
      <c r="P108" s="207">
        <f t="shared" si="24"/>
        <v>0</v>
      </c>
      <c r="Q108" s="194">
        <f>IFERROR(VLOOKUP(A108,[1]Energiindhold!$A$2:$C$11,3,FALSE),IFERROR(VLOOKUP(A108,[1]Biogasudbytte!$A$2:$B$18,2,FALSE)*[1]Energiindhold!$C$10,0))*O108</f>
        <v>0</v>
      </c>
      <c r="R108" s="194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4">
        <f>IFERROR(VLOOKUP(A108,[1]Biogasudbytte!$A$2:$B$18,2,FALSE)*[1]Energiindhold!$C$10,0)*J108*IFERROR(VLOOKUP(A108,Biogasanlæg!$F$3:$G$8,2,FALSE),1)</f>
        <v>0</v>
      </c>
      <c r="T108" s="195">
        <f t="shared" si="25"/>
        <v>0</v>
      </c>
      <c r="U108" s="193">
        <f>O108*IFERROR(VLOOKUP(A108,[1]Tørstofindhold!A$2:B$25,2,FALSE),0)</f>
        <v>0</v>
      </c>
      <c r="V108" s="194">
        <f>IF(D108=År1,P108,SUM(O108,P108))*IFERROR(VLOOKUP(A108,[1]Tørstofindhold!A$2:B$25,2,FALSE),0)</f>
        <v>0</v>
      </c>
      <c r="W108" s="194">
        <f>J108*IFERROR(VLOOKUP(A108,[1]Tørstofindhold!A$2:B$25,2,FALSE),0)</f>
        <v>0</v>
      </c>
      <c r="X108" s="195">
        <f t="shared" si="26"/>
        <v>0</v>
      </c>
      <c r="Y108" s="173">
        <f t="shared" si="21"/>
        <v>0</v>
      </c>
      <c r="Z108" s="104">
        <f t="shared" si="22"/>
        <v>1</v>
      </c>
    </row>
    <row r="109" spans="1:26" x14ac:dyDescent="0.25">
      <c r="A109" s="196" t="str">
        <f t="shared" si="33"/>
        <v>Frø</v>
      </c>
      <c r="B109" s="196" t="str">
        <f t="shared" si="34"/>
        <v/>
      </c>
      <c r="C109" s="196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6">
        <f t="shared" si="35"/>
        <v>2050</v>
      </c>
      <c r="E109" s="194" t="s">
        <v>24</v>
      </c>
      <c r="F109" s="197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565733.84450001363</v>
      </c>
      <c r="G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4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7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9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6">
        <f t="shared" si="23"/>
        <v>565733.84450001363</v>
      </c>
      <c r="O109" s="197">
        <f t="shared" si="20"/>
        <v>0</v>
      </c>
      <c r="P109" s="207">
        <f t="shared" si="24"/>
        <v>0</v>
      </c>
      <c r="Q109" s="194">
        <f>IFERROR(VLOOKUP(A109,[1]Energiindhold!$A$2:$C$11,3,FALSE),IFERROR(VLOOKUP(A109,[1]Biogasudbytte!$A$2:$B$18,2,FALSE)*[1]Energiindhold!$C$10,0))*O109</f>
        <v>0</v>
      </c>
      <c r="R109" s="194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4">
        <f>IFERROR(VLOOKUP(A109,[1]Biogasudbytte!$A$2:$B$18,2,FALSE)*[1]Energiindhold!$C$10,0)*J109*IFERROR(VLOOKUP(A109,Biogasanlæg!$F$3:$G$8,2,FALSE),1)</f>
        <v>0</v>
      </c>
      <c r="T109" s="195">
        <f t="shared" si="25"/>
        <v>0</v>
      </c>
      <c r="U109" s="193">
        <f>O109*IFERROR(VLOOKUP(A109,[1]Tørstofindhold!A$2:B$25,2,FALSE),0)</f>
        <v>0</v>
      </c>
      <c r="V109" s="194">
        <f>IF(D109=År1,P109,SUM(O109,P109))*IFERROR(VLOOKUP(A109,[1]Tørstofindhold!A$2:B$25,2,FALSE),0)</f>
        <v>0</v>
      </c>
      <c r="W109" s="194">
        <f>J109*IFERROR(VLOOKUP(A109,[1]Tørstofindhold!A$2:B$25,2,FALSE),0)</f>
        <v>0</v>
      </c>
      <c r="X109" s="195">
        <f t="shared" si="26"/>
        <v>0</v>
      </c>
      <c r="Y109" s="173">
        <f t="shared" si="21"/>
        <v>0</v>
      </c>
      <c r="Z109" s="104">
        <f t="shared" si="22"/>
        <v>1</v>
      </c>
    </row>
    <row r="110" spans="1:26" x14ac:dyDescent="0.25">
      <c r="A110" s="196" t="str">
        <f t="shared" si="33"/>
        <v>Frugt</v>
      </c>
      <c r="B110" s="196" t="str">
        <f t="shared" si="34"/>
        <v/>
      </c>
      <c r="C110" s="196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6">
        <f t="shared" si="35"/>
        <v>2050</v>
      </c>
      <c r="E110" s="194" t="s">
        <v>24</v>
      </c>
      <c r="F110" s="197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18068.230255724804</v>
      </c>
      <c r="G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4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7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9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6">
        <f t="shared" si="23"/>
        <v>-249910.69009529665</v>
      </c>
      <c r="O110" s="197">
        <f t="shared" si="20"/>
        <v>0</v>
      </c>
      <c r="P110" s="207">
        <f t="shared" si="24"/>
        <v>0</v>
      </c>
      <c r="Q110" s="194">
        <f>IFERROR(VLOOKUP(A110,[1]Energiindhold!$A$2:$C$11,3,FALSE),IFERROR(VLOOKUP(A110,[1]Biogasudbytte!$A$2:$B$18,2,FALSE)*[1]Energiindhold!$C$10,0))*O110</f>
        <v>0</v>
      </c>
      <c r="R110" s="194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4">
        <f>IFERROR(VLOOKUP(A110,[1]Biogasudbytte!$A$2:$B$18,2,FALSE)*[1]Energiindhold!$C$10,0)*J110*IFERROR(VLOOKUP(A110,Biogasanlæg!$F$3:$G$8,2,FALSE),1)</f>
        <v>0</v>
      </c>
      <c r="T110" s="195">
        <f t="shared" si="25"/>
        <v>0</v>
      </c>
      <c r="U110" s="193">
        <f>O110*IFERROR(VLOOKUP(A110,[1]Tørstofindhold!A$2:B$25,2,FALSE),0)</f>
        <v>0</v>
      </c>
      <c r="V110" s="194">
        <f>IF(D110=År1,P110,SUM(O110,P110))*IFERROR(VLOOKUP(A110,[1]Tørstofindhold!A$2:B$25,2,FALSE),0)</f>
        <v>0</v>
      </c>
      <c r="W110" s="194">
        <f>J110*IFERROR(VLOOKUP(A110,[1]Tørstofindhold!A$2:B$25,2,FALSE),0)</f>
        <v>0</v>
      </c>
      <c r="X110" s="195">
        <f t="shared" si="26"/>
        <v>0</v>
      </c>
      <c r="Y110" s="173">
        <f t="shared" si="21"/>
        <v>1</v>
      </c>
      <c r="Z110" s="104">
        <f t="shared" si="22"/>
        <v>0</v>
      </c>
    </row>
    <row r="111" spans="1:26" x14ac:dyDescent="0.25">
      <c r="A111" s="196" t="str">
        <f t="shared" si="33"/>
        <v>Glycerin</v>
      </c>
      <c r="B111" s="196" t="str">
        <f t="shared" si="34"/>
        <v>Glycerin</v>
      </c>
      <c r="C111" s="196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6">
        <f t="shared" si="35"/>
        <v>2050</v>
      </c>
      <c r="E111" s="194" t="s">
        <v>24</v>
      </c>
      <c r="F111" s="197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4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7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9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6">
        <f t="shared" si="23"/>
        <v>-114193.60000000001</v>
      </c>
      <c r="O111" s="197">
        <f t="shared" si="20"/>
        <v>0</v>
      </c>
      <c r="P111" s="207">
        <f t="shared" si="24"/>
        <v>114193.60000000001</v>
      </c>
      <c r="Q111" s="194">
        <f>IFERROR(VLOOKUP(A111,[1]Energiindhold!$A$2:$C$11,3,FALSE),IFERROR(VLOOKUP(A111,[1]Biogasudbytte!$A$2:$B$18,2,FALSE)*[1]Energiindhold!$C$10,0))*O111</f>
        <v>0</v>
      </c>
      <c r="R111" s="194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4">
        <f>IFERROR(VLOOKUP(A111,[1]Biogasudbytte!$A$2:$B$18,2,FALSE)*[1]Energiindhold!$C$10,0)*J111*IFERROR(VLOOKUP(A111,Biogasanlæg!$F$3:$G$8,2,FALSE),1)</f>
        <v>1.7355855896064003</v>
      </c>
      <c r="T111" s="195">
        <f t="shared" si="25"/>
        <v>0</v>
      </c>
      <c r="U111" s="193">
        <f>O111*IFERROR(VLOOKUP(A111,[1]Tørstofindhold!A$2:B$25,2,FALSE),0)</f>
        <v>0</v>
      </c>
      <c r="V111" s="194">
        <f>IF(D111=År1,P111,SUM(O111,P111))*IFERROR(VLOOKUP(A111,[1]Tørstofindhold!A$2:B$25,2,FALSE),0)</f>
        <v>102774.24</v>
      </c>
      <c r="W111" s="194">
        <f>J111*IFERROR(VLOOKUP(A111,[1]Tørstofindhold!A$2:B$25,2,FALSE),0)</f>
        <v>102774.24</v>
      </c>
      <c r="X111" s="195">
        <f t="shared" si="26"/>
        <v>0</v>
      </c>
      <c r="Y111" s="173">
        <f t="shared" si="21"/>
        <v>1</v>
      </c>
      <c r="Z111" s="104">
        <f t="shared" si="22"/>
        <v>0</v>
      </c>
    </row>
    <row r="112" spans="1:26" x14ac:dyDescent="0.25">
      <c r="A112" s="196" t="str">
        <f t="shared" si="33"/>
        <v>Græs</v>
      </c>
      <c r="B112" s="196" t="str">
        <f t="shared" si="34"/>
        <v>Græs og urter</v>
      </c>
      <c r="C112" s="196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6">
        <f t="shared" si="35"/>
        <v>2050</v>
      </c>
      <c r="E112" s="194" t="s">
        <v>24</v>
      </c>
      <c r="F112" s="197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10105609.567581752</v>
      </c>
      <c r="G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10578766.547699077</v>
      </c>
      <c r="H112" s="194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0</v>
      </c>
      <c r="K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7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9">
        <f>SUMIFS('Forbrug af biomasse'!E:E,'Forbrug af biomasse'!C:C,'Resultat-Produktion &amp; forbrug'!$A112,'Forbrug af biomasse'!D:D,'Resultat-Produktion &amp; forbrug'!$D112,'Forbrug af biomasse'!G:G,1,'Forbrug af biomasse'!B:B,$E112)</f>
        <v>15107.676841271819</v>
      </c>
      <c r="N112" s="206">
        <f t="shared" si="23"/>
        <v>-488264.65695859678</v>
      </c>
      <c r="O112" s="197">
        <f t="shared" si="20"/>
        <v>0</v>
      </c>
      <c r="P112" s="207">
        <f t="shared" si="24"/>
        <v>0</v>
      </c>
      <c r="Q112" s="194">
        <f>IFERROR(VLOOKUP(A112,[1]Energiindhold!$A$2:$C$11,3,FALSE),IFERROR(VLOOKUP(A112,[1]Biogasudbytte!$A$2:$B$18,2,FALSE)*[1]Energiindhold!$C$10,0))*O112</f>
        <v>0</v>
      </c>
      <c r="R112" s="194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0</v>
      </c>
      <c r="S112" s="194">
        <f>IFERROR(VLOOKUP(A112,[1]Biogasudbytte!$A$2:$B$18,2,FALSE)*[1]Energiindhold!$C$10,0)*J112*IFERROR(VLOOKUP(A112,Biogasanlæg!$F$3:$G$8,2,FALSE),1)</f>
        <v>0</v>
      </c>
      <c r="T112" s="195">
        <f t="shared" si="25"/>
        <v>0</v>
      </c>
      <c r="U112" s="193">
        <f>O112*IFERROR(VLOOKUP(A112,[1]Tørstofindhold!A$2:B$25,2,FALSE),0)</f>
        <v>0</v>
      </c>
      <c r="V112" s="194">
        <f>IF(D112=År1,P112,SUM(O112,P112))*IFERROR(VLOOKUP(A112,[1]Tørstofindhold!A$2:B$25,2,FALSE),0)</f>
        <v>0</v>
      </c>
      <c r="W112" s="194">
        <f>J112*IFERROR(VLOOKUP(A112,[1]Tørstofindhold!A$2:B$25,2,FALSE),0)</f>
        <v>0</v>
      </c>
      <c r="X112" s="195">
        <f t="shared" si="26"/>
        <v>0</v>
      </c>
      <c r="Y112" s="173">
        <f t="shared" si="21"/>
        <v>0</v>
      </c>
      <c r="Z112" s="104">
        <f t="shared" si="22"/>
        <v>1</v>
      </c>
    </row>
    <row r="113" spans="1:26" x14ac:dyDescent="0.25">
      <c r="A113" s="196" t="str">
        <f t="shared" si="33"/>
        <v>Græsprotein</v>
      </c>
      <c r="B113" s="196" t="str">
        <f t="shared" si="34"/>
        <v/>
      </c>
      <c r="C113" s="196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6">
        <f t="shared" si="35"/>
        <v>2050</v>
      </c>
      <c r="E113" s="194" t="s">
        <v>24</v>
      </c>
      <c r="F113" s="197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2525.5713646803624</v>
      </c>
      <c r="G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2525.5713646803624</v>
      </c>
      <c r="H113" s="194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7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9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6">
        <f t="shared" si="23"/>
        <v>0</v>
      </c>
      <c r="O113" s="197">
        <f t="shared" si="20"/>
        <v>0</v>
      </c>
      <c r="P113" s="207">
        <f t="shared" si="24"/>
        <v>0</v>
      </c>
      <c r="Q113" s="194">
        <f>IFERROR(VLOOKUP(A113,[1]Energiindhold!$A$2:$C$11,3,FALSE),IFERROR(VLOOKUP(A113,[1]Biogasudbytte!$A$2:$B$18,2,FALSE)*[1]Energiindhold!$C$10,0))*O113</f>
        <v>0</v>
      </c>
      <c r="R113" s="194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4">
        <f>IFERROR(VLOOKUP(A113,[1]Biogasudbytte!$A$2:$B$18,2,FALSE)*[1]Energiindhold!$C$10,0)*J113*IFERROR(VLOOKUP(A113,Biogasanlæg!$F$3:$G$8,2,FALSE),1)</f>
        <v>0</v>
      </c>
      <c r="T113" s="195">
        <f t="shared" si="25"/>
        <v>0</v>
      </c>
      <c r="U113" s="193">
        <f>O113*IFERROR(VLOOKUP(A113,[1]Tørstofindhold!A$2:B$25,2,FALSE),0)</f>
        <v>0</v>
      </c>
      <c r="V113" s="194">
        <f>IF(D113=År1,P113,SUM(O113,P113))*IFERROR(VLOOKUP(A113,[1]Tørstofindhold!A$2:B$25,2,FALSE),0)</f>
        <v>0</v>
      </c>
      <c r="W113" s="194">
        <f>J113*IFERROR(VLOOKUP(A113,[1]Tørstofindhold!A$2:B$25,2,FALSE),0)</f>
        <v>0</v>
      </c>
      <c r="X113" s="195">
        <f t="shared" si="26"/>
        <v>0</v>
      </c>
      <c r="Y113" s="173">
        <f t="shared" si="21"/>
        <v>0</v>
      </c>
      <c r="Z113" s="104">
        <f t="shared" si="22"/>
        <v>0</v>
      </c>
    </row>
    <row r="114" spans="1:26" x14ac:dyDescent="0.25">
      <c r="A114" s="196" t="str">
        <f t="shared" si="33"/>
        <v>Grøntsager</v>
      </c>
      <c r="B114" s="196" t="str">
        <f t="shared" si="34"/>
        <v/>
      </c>
      <c r="C114" s="196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6">
        <f t="shared" si="35"/>
        <v>2050</v>
      </c>
      <c r="E114" s="194" t="s">
        <v>24</v>
      </c>
      <c r="F114" s="197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132870.52913094888</v>
      </c>
      <c r="G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4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7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9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6">
        <f t="shared" si="23"/>
        <v>-147802.12955248938</v>
      </c>
      <c r="O114" s="197">
        <f t="shared" si="20"/>
        <v>0</v>
      </c>
      <c r="P114" s="207">
        <f t="shared" si="24"/>
        <v>0</v>
      </c>
      <c r="Q114" s="194">
        <f>IFERROR(VLOOKUP(A114,[1]Energiindhold!$A$2:$C$11,3,FALSE),IFERROR(VLOOKUP(A114,[1]Biogasudbytte!$A$2:$B$18,2,FALSE)*[1]Energiindhold!$C$10,0))*O114</f>
        <v>0</v>
      </c>
      <c r="R114" s="194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4">
        <f>IFERROR(VLOOKUP(A114,[1]Biogasudbytte!$A$2:$B$18,2,FALSE)*[1]Energiindhold!$C$10,0)*J114*IFERROR(VLOOKUP(A114,Biogasanlæg!$F$3:$G$8,2,FALSE),1)</f>
        <v>0</v>
      </c>
      <c r="T114" s="195">
        <f t="shared" si="25"/>
        <v>0</v>
      </c>
      <c r="U114" s="193">
        <f>O114*IFERROR(VLOOKUP(A114,[1]Tørstofindhold!A$2:B$25,2,FALSE),0)</f>
        <v>0</v>
      </c>
      <c r="V114" s="194">
        <f>IF(D114=År1,P114,SUM(O114,P114))*IFERROR(VLOOKUP(A114,[1]Tørstofindhold!A$2:B$25,2,FALSE),0)</f>
        <v>0</v>
      </c>
      <c r="W114" s="194">
        <f>J114*IFERROR(VLOOKUP(A114,[1]Tørstofindhold!A$2:B$25,2,FALSE),0)</f>
        <v>0</v>
      </c>
      <c r="X114" s="195">
        <f t="shared" si="26"/>
        <v>0</v>
      </c>
      <c r="Y114" s="173">
        <f t="shared" si="21"/>
        <v>1</v>
      </c>
      <c r="Z114" s="104">
        <f t="shared" si="22"/>
        <v>0</v>
      </c>
    </row>
    <row r="115" spans="1:26" x14ac:dyDescent="0.25">
      <c r="A115" s="196" t="str">
        <f t="shared" si="33"/>
        <v>Halm</v>
      </c>
      <c r="B115" s="196" t="str">
        <f t="shared" si="34"/>
        <v>Halm og strå</v>
      </c>
      <c r="C115" s="196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6">
        <f t="shared" si="35"/>
        <v>2050</v>
      </c>
      <c r="E115" s="194" t="s">
        <v>24</v>
      </c>
      <c r="F115" s="197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1996261.5279174207</v>
      </c>
      <c r="G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4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0</v>
      </c>
      <c r="K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7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0</v>
      </c>
      <c r="M115" s="159">
        <f>SUMIFS('Forbrug af biomasse'!E:E,'Forbrug af biomasse'!C:C,'Resultat-Produktion &amp; forbrug'!$A115,'Forbrug af biomasse'!D:D,'Resultat-Produktion &amp; forbrug'!$D115,'Forbrug af biomasse'!G:G,1,'Forbrug af biomasse'!B:B,$E115)</f>
        <v>731000.31028981879</v>
      </c>
      <c r="N115" s="206">
        <f t="shared" si="23"/>
        <v>-231838.18151544011</v>
      </c>
      <c r="O115" s="197">
        <f t="shared" si="20"/>
        <v>0</v>
      </c>
      <c r="P115" s="207">
        <f t="shared" si="24"/>
        <v>0</v>
      </c>
      <c r="Q115" s="194">
        <f>IFERROR(VLOOKUP(A115,[1]Energiindhold!$A$2:$C$11,3,FALSE),IFERROR(VLOOKUP(A115,[1]Biogasudbytte!$A$2:$B$18,2,FALSE)*[1]Energiindhold!$C$10,0))*O115</f>
        <v>0</v>
      </c>
      <c r="R115" s="194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0</v>
      </c>
      <c r="S115" s="194">
        <f>IFERROR(VLOOKUP(A115,[1]Biogasudbytte!$A$2:$B$18,2,FALSE)*[1]Energiindhold!$C$10,0)*J115*IFERROR(VLOOKUP(A115,Biogasanlæg!$F$3:$G$8,2,FALSE),1)</f>
        <v>0</v>
      </c>
      <c r="T115" s="195">
        <f t="shared" si="25"/>
        <v>0</v>
      </c>
      <c r="U115" s="193">
        <f>O115*IFERROR(VLOOKUP(A115,[1]Tørstofindhold!A$2:B$25,2,FALSE),0)</f>
        <v>0</v>
      </c>
      <c r="V115" s="194">
        <f>IF(D115=År1,P115,SUM(O115,P115))*IFERROR(VLOOKUP(A115,[1]Tørstofindhold!A$2:B$25,2,FALSE),0)</f>
        <v>0</v>
      </c>
      <c r="W115" s="194">
        <f>J115*IFERROR(VLOOKUP(A115,[1]Tørstofindhold!A$2:B$25,2,FALSE),0)</f>
        <v>0</v>
      </c>
      <c r="X115" s="195">
        <f t="shared" si="26"/>
        <v>0</v>
      </c>
      <c r="Y115" s="173">
        <f t="shared" si="21"/>
        <v>0</v>
      </c>
      <c r="Z115" s="104">
        <f t="shared" si="22"/>
        <v>1</v>
      </c>
    </row>
    <row r="116" spans="1:26" x14ac:dyDescent="0.25">
      <c r="A116" s="196" t="str">
        <f t="shared" si="33"/>
        <v>Have/parkaffald</v>
      </c>
      <c r="B116" s="196" t="str">
        <f t="shared" si="34"/>
        <v>Bionedbrydeligt affald</v>
      </c>
      <c r="C116" s="196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6">
        <f t="shared" si="35"/>
        <v>2050</v>
      </c>
      <c r="E116" s="194" t="s">
        <v>24</v>
      </c>
      <c r="F116" s="197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4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267031.5264916165</v>
      </c>
      <c r="K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7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257850.44854778168</v>
      </c>
      <c r="M116" s="159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6">
        <f t="shared" si="23"/>
        <v>0</v>
      </c>
      <c r="O116" s="197">
        <f t="shared" si="20"/>
        <v>0</v>
      </c>
      <c r="P116" s="207">
        <f t="shared" si="24"/>
        <v>524881.97503939818</v>
      </c>
      <c r="Q116" s="194">
        <f>IFERROR(VLOOKUP(A116,[1]Energiindhold!$A$2:$C$11,3,FALSE),IFERROR(VLOOKUP(A116,[1]Biogasudbytte!$A$2:$B$18,2,FALSE)*[1]Energiindhold!$C$10,0))*O116</f>
        <v>0</v>
      </c>
      <c r="R116" s="194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5.0566412930192746</v>
      </c>
      <c r="S116" s="194">
        <f>IFERROR(VLOOKUP(A116,[1]Biogasudbytte!$A$2:$B$18,2,FALSE)*[1]Energiindhold!$C$10,0)*J116*IFERROR(VLOOKUP(A116,Biogasanlæg!$F$3:$G$8,2,FALSE),1)</f>
        <v>0.45343822418961927</v>
      </c>
      <c r="T116" s="195">
        <f t="shared" si="25"/>
        <v>4.6032030688296555</v>
      </c>
      <c r="U116" s="193">
        <f>O116*IFERROR(VLOOKUP(A116,[1]Tørstofindhold!A$2:B$25,2,FALSE),0)</f>
        <v>0</v>
      </c>
      <c r="V116" s="194">
        <f>IF(D116=År1,P116,SUM(O116,P116))*IFERROR(VLOOKUP(A116,[1]Tørstofindhold!A$2:B$25,2,FALSE),0)</f>
        <v>157464.59251181944</v>
      </c>
      <c r="W116" s="194">
        <f>J116*IFERROR(VLOOKUP(A116,[1]Tørstofindhold!A$2:B$25,2,FALSE),0)</f>
        <v>80109.457947484945</v>
      </c>
      <c r="X116" s="195">
        <f t="shared" si="26"/>
        <v>77355.134564334498</v>
      </c>
      <c r="Y116" s="173">
        <f t="shared" si="21"/>
        <v>0</v>
      </c>
      <c r="Z116" s="104">
        <f t="shared" si="22"/>
        <v>0</v>
      </c>
    </row>
    <row r="117" spans="1:26" x14ac:dyDescent="0.25">
      <c r="A117" s="196" t="str">
        <f t="shared" si="33"/>
        <v>Import af foder</v>
      </c>
      <c r="B117" s="196" t="str">
        <f t="shared" si="34"/>
        <v/>
      </c>
      <c r="C117" s="196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6">
        <f t="shared" si="35"/>
        <v>2050</v>
      </c>
      <c r="E117" s="194" t="s">
        <v>24</v>
      </c>
      <c r="F117" s="197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4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7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9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6">
        <f t="shared" si="23"/>
        <v>-4828427.5390456226</v>
      </c>
      <c r="O117" s="197">
        <f t="shared" si="20"/>
        <v>0</v>
      </c>
      <c r="P117" s="207">
        <f t="shared" si="24"/>
        <v>0</v>
      </c>
      <c r="Q117" s="194">
        <f>IFERROR(VLOOKUP(A117,[1]Energiindhold!$A$2:$C$11,3,FALSE),IFERROR(VLOOKUP(A117,[1]Biogasudbytte!$A$2:$B$18,2,FALSE)*[1]Energiindhold!$C$10,0))*O117</f>
        <v>0</v>
      </c>
      <c r="R117" s="194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4">
        <f>IFERROR(VLOOKUP(A117,[1]Biogasudbytte!$A$2:$B$18,2,FALSE)*[1]Energiindhold!$C$10,0)*J117*IFERROR(VLOOKUP(A117,Biogasanlæg!$F$3:$G$8,2,FALSE),1)</f>
        <v>0</v>
      </c>
      <c r="T117" s="195">
        <f t="shared" si="25"/>
        <v>0</v>
      </c>
      <c r="U117" s="193">
        <f>O117*IFERROR(VLOOKUP(A117,[1]Tørstofindhold!A$2:B$25,2,FALSE),0)</f>
        <v>0</v>
      </c>
      <c r="V117" s="194">
        <f>IF(D117=År1,P117,SUM(O117,P117))*IFERROR(VLOOKUP(A117,[1]Tørstofindhold!A$2:B$25,2,FALSE),0)</f>
        <v>0</v>
      </c>
      <c r="W117" s="194">
        <f>J117*IFERROR(VLOOKUP(A117,[1]Tørstofindhold!A$2:B$25,2,FALSE),0)</f>
        <v>0</v>
      </c>
      <c r="X117" s="195">
        <f t="shared" si="26"/>
        <v>0</v>
      </c>
      <c r="Y117" s="173">
        <f t="shared" si="21"/>
        <v>1</v>
      </c>
      <c r="Z117" s="104">
        <f t="shared" si="22"/>
        <v>0</v>
      </c>
    </row>
    <row r="118" spans="1:26" x14ac:dyDescent="0.25">
      <c r="A118" s="196" t="str">
        <f t="shared" si="33"/>
        <v>Industriaffald</v>
      </c>
      <c r="B118" s="196" t="str">
        <f t="shared" si="34"/>
        <v>Bionedbrydeligt affald</v>
      </c>
      <c r="C118" s="196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6">
        <f t="shared" si="35"/>
        <v>2050</v>
      </c>
      <c r="E118" s="194" t="s">
        <v>24</v>
      </c>
      <c r="F118" s="197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4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7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9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6">
        <f t="shared" si="23"/>
        <v>-8.2607434829697013E-2</v>
      </c>
      <c r="O118" s="197">
        <f t="shared" si="20"/>
        <v>0</v>
      </c>
      <c r="P118" s="207">
        <f t="shared" si="24"/>
        <v>519697.15308066551</v>
      </c>
      <c r="Q118" s="194">
        <f>IFERROR(VLOOKUP(A118,[1]Energiindhold!$A$2:$C$11,3,FALSE),IFERROR(VLOOKUP(A118,[1]Biogasudbytte!$A$2:$B$18,2,FALSE)*[1]Energiindhold!$C$10,0))*O118</f>
        <v>0</v>
      </c>
      <c r="R118" s="194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4">
        <f>IFERROR(VLOOKUP(A118,[1]Biogasudbytte!$A$2:$B$18,2,FALSE)*[1]Energiindhold!$C$10,0)*J118*IFERROR(VLOOKUP(A118,Biogasanlæg!$F$3:$G$8,2,FALSE),1)</f>
        <v>2.0267237924355821</v>
      </c>
      <c r="T118" s="195">
        <f t="shared" si="25"/>
        <v>0</v>
      </c>
      <c r="U118" s="193">
        <f>O118*IFERROR(VLOOKUP(A118,[1]Tørstofindhold!A$2:B$25,2,FALSE),0)</f>
        <v>0</v>
      </c>
      <c r="V118" s="194">
        <f>IF(D118=År1,P118,SUM(O118,P118))*IFERROR(VLOOKUP(A118,[1]Tørstofindhold!A$2:B$25,2,FALSE),0)</f>
        <v>218272.80429387951</v>
      </c>
      <c r="W118" s="194">
        <f>J118*IFERROR(VLOOKUP(A118,[1]Tørstofindhold!A$2:B$25,2,FALSE),0)</f>
        <v>218272.80429387951</v>
      </c>
      <c r="X118" s="195">
        <f t="shared" si="26"/>
        <v>0</v>
      </c>
      <c r="Y118" s="173">
        <f t="shared" si="21"/>
        <v>1</v>
      </c>
      <c r="Z118" s="104">
        <f t="shared" si="22"/>
        <v>0</v>
      </c>
    </row>
    <row r="119" spans="1:26" x14ac:dyDescent="0.25">
      <c r="A119" s="196" t="str">
        <f t="shared" si="33"/>
        <v>Juletræer</v>
      </c>
      <c r="B119" s="196" t="str">
        <f t="shared" si="34"/>
        <v/>
      </c>
      <c r="C119" s="196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6">
        <f t="shared" si="35"/>
        <v>2050</v>
      </c>
      <c r="E119" s="194" t="s">
        <v>24</v>
      </c>
      <c r="F119" s="197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533698.49586961837</v>
      </c>
      <c r="G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4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7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9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6">
        <f t="shared" si="23"/>
        <v>533698.49586961837</v>
      </c>
      <c r="O119" s="197">
        <f t="shared" si="20"/>
        <v>0</v>
      </c>
      <c r="P119" s="207">
        <f t="shared" si="24"/>
        <v>0</v>
      </c>
      <c r="Q119" s="194">
        <f>IFERROR(VLOOKUP(A119,[1]Energiindhold!$A$2:$C$11,3,FALSE),IFERROR(VLOOKUP(A119,[1]Biogasudbytte!$A$2:$B$18,2,FALSE)*[1]Energiindhold!$C$10,0))*O119</f>
        <v>0</v>
      </c>
      <c r="R119" s="194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4">
        <f>IFERROR(VLOOKUP(A119,[1]Biogasudbytte!$A$2:$B$18,2,FALSE)*[1]Energiindhold!$C$10,0)*J119*IFERROR(VLOOKUP(A119,Biogasanlæg!$F$3:$G$8,2,FALSE),1)</f>
        <v>0</v>
      </c>
      <c r="T119" s="195">
        <f t="shared" si="25"/>
        <v>0</v>
      </c>
      <c r="U119" s="193">
        <f>O119*IFERROR(VLOOKUP(A119,[1]Tørstofindhold!A$2:B$25,2,FALSE),0)</f>
        <v>0</v>
      </c>
      <c r="V119" s="194">
        <f>IF(D119=År1,P119,SUM(O119,P119))*IFERROR(VLOOKUP(A119,[1]Tørstofindhold!A$2:B$25,2,FALSE),0)</f>
        <v>0</v>
      </c>
      <c r="W119" s="194">
        <f>J119*IFERROR(VLOOKUP(A119,[1]Tørstofindhold!A$2:B$25,2,FALSE),0)</f>
        <v>0</v>
      </c>
      <c r="X119" s="195">
        <f t="shared" si="26"/>
        <v>0</v>
      </c>
      <c r="Y119" s="173">
        <f t="shared" si="21"/>
        <v>0</v>
      </c>
      <c r="Z119" s="104">
        <f t="shared" si="22"/>
        <v>1</v>
      </c>
    </row>
    <row r="120" spans="1:26" x14ac:dyDescent="0.25">
      <c r="A120" s="196" t="str">
        <f t="shared" si="33"/>
        <v>Kartofler</v>
      </c>
      <c r="B120" s="196" t="str">
        <f t="shared" si="34"/>
        <v/>
      </c>
      <c r="C120" s="196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6">
        <f t="shared" si="35"/>
        <v>2050</v>
      </c>
      <c r="E120" s="194" t="s">
        <v>24</v>
      </c>
      <c r="F120" s="197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0</v>
      </c>
      <c r="G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4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7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9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6">
        <f t="shared" si="23"/>
        <v>-128347.79869443661</v>
      </c>
      <c r="O120" s="197">
        <f t="shared" si="20"/>
        <v>0</v>
      </c>
      <c r="P120" s="207">
        <f t="shared" si="24"/>
        <v>0</v>
      </c>
      <c r="Q120" s="194">
        <f>IFERROR(VLOOKUP(A120,[1]Energiindhold!$A$2:$C$11,3,FALSE),IFERROR(VLOOKUP(A120,[1]Biogasudbytte!$A$2:$B$18,2,FALSE)*[1]Energiindhold!$C$10,0))*O120</f>
        <v>0</v>
      </c>
      <c r="R120" s="194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4">
        <f>IFERROR(VLOOKUP(A120,[1]Biogasudbytte!$A$2:$B$18,2,FALSE)*[1]Energiindhold!$C$10,0)*J120*IFERROR(VLOOKUP(A120,Biogasanlæg!$F$3:$G$8,2,FALSE),1)</f>
        <v>0</v>
      </c>
      <c r="T120" s="195">
        <f t="shared" si="25"/>
        <v>0</v>
      </c>
      <c r="U120" s="193">
        <f>O120*IFERROR(VLOOKUP(A120,[1]Tørstofindhold!A$2:B$25,2,FALSE),0)</f>
        <v>0</v>
      </c>
      <c r="V120" s="194">
        <f>IF(D120=År1,P120,SUM(O120,P120))*IFERROR(VLOOKUP(A120,[1]Tørstofindhold!A$2:B$25,2,FALSE),0)</f>
        <v>0</v>
      </c>
      <c r="W120" s="194">
        <f>J120*IFERROR(VLOOKUP(A120,[1]Tørstofindhold!A$2:B$25,2,FALSE),0)</f>
        <v>0</v>
      </c>
      <c r="X120" s="195">
        <f t="shared" si="26"/>
        <v>0</v>
      </c>
      <c r="Y120" s="173">
        <f t="shared" si="21"/>
        <v>1</v>
      </c>
      <c r="Z120" s="104">
        <f t="shared" si="22"/>
        <v>0</v>
      </c>
    </row>
    <row r="121" spans="1:26" x14ac:dyDescent="0.25">
      <c r="A121" s="196" t="str">
        <f t="shared" si="33"/>
        <v>Korn</v>
      </c>
      <c r="B121" s="196" t="str">
        <f t="shared" si="34"/>
        <v>Halm og strå</v>
      </c>
      <c r="C121" s="196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6">
        <f t="shared" si="35"/>
        <v>2050</v>
      </c>
      <c r="E121" s="194" t="s">
        <v>24</v>
      </c>
      <c r="F121" s="197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5133942.8537930651</v>
      </c>
      <c r="G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6085811.9789329367</v>
      </c>
      <c r="H121" s="194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0</v>
      </c>
      <c r="K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7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9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6">
        <f t="shared" si="23"/>
        <v>-1259339.6758584119</v>
      </c>
      <c r="O121" s="197">
        <f t="shared" si="20"/>
        <v>0</v>
      </c>
      <c r="P121" s="207">
        <f t="shared" si="24"/>
        <v>0</v>
      </c>
      <c r="Q121" s="194">
        <f>IFERROR(VLOOKUP(A121,[1]Energiindhold!$A$2:$C$11,3,FALSE),IFERROR(VLOOKUP(A121,[1]Biogasudbytte!$A$2:$B$18,2,FALSE)*[1]Energiindhold!$C$10,0))*O121</f>
        <v>0</v>
      </c>
      <c r="R121" s="194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0</v>
      </c>
      <c r="S121" s="194">
        <f>IFERROR(VLOOKUP(A121,[1]Biogasudbytte!$A$2:$B$18,2,FALSE)*[1]Energiindhold!$C$10,0)*J121*IFERROR(VLOOKUP(A121,Biogasanlæg!$F$3:$G$8,2,FALSE),1)</f>
        <v>0</v>
      </c>
      <c r="T121" s="195">
        <f t="shared" si="25"/>
        <v>0</v>
      </c>
      <c r="U121" s="193">
        <f>O121*IFERROR(VLOOKUP(A121,[1]Tørstofindhold!A$2:B$25,2,FALSE),0)</f>
        <v>0</v>
      </c>
      <c r="V121" s="194">
        <f>IF(D121=År1,P121,SUM(O121,P121))*IFERROR(VLOOKUP(A121,[1]Tørstofindhold!A$2:B$25,2,FALSE),0)</f>
        <v>0</v>
      </c>
      <c r="W121" s="194">
        <f>J121*IFERROR(VLOOKUP(A121,[1]Tørstofindhold!A$2:B$25,2,FALSE),0)</f>
        <v>0</v>
      </c>
      <c r="X121" s="195">
        <f t="shared" si="26"/>
        <v>0</v>
      </c>
      <c r="Y121" s="173">
        <f t="shared" si="21"/>
        <v>0</v>
      </c>
      <c r="Z121" s="104">
        <f t="shared" si="22"/>
        <v>1</v>
      </c>
    </row>
    <row r="122" spans="1:26" x14ac:dyDescent="0.25">
      <c r="A122" s="196" t="str">
        <f t="shared" si="33"/>
        <v>Kunstgødning</v>
      </c>
      <c r="B122" s="196" t="str">
        <f t="shared" si="34"/>
        <v/>
      </c>
      <c r="C122" s="196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6">
        <f t="shared" si="35"/>
        <v>2050</v>
      </c>
      <c r="E122" s="194" t="s">
        <v>24</v>
      </c>
      <c r="F122" s="197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4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7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63681.74406389035</v>
      </c>
      <c r="L122" s="197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9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6">
        <f t="shared" ca="1" si="23"/>
        <v>-63681.74406389035</v>
      </c>
      <c r="O122" s="197">
        <f t="shared" si="20"/>
        <v>0</v>
      </c>
      <c r="P122" s="207">
        <f t="shared" si="24"/>
        <v>0</v>
      </c>
      <c r="Q122" s="194">
        <f>IFERROR(VLOOKUP(A122,[1]Energiindhold!$A$2:$C$11,3,FALSE),IFERROR(VLOOKUP(A122,[1]Biogasudbytte!$A$2:$B$18,2,FALSE)*[1]Energiindhold!$C$10,0))*O122</f>
        <v>0</v>
      </c>
      <c r="R122" s="194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4">
        <f>IFERROR(VLOOKUP(A122,[1]Biogasudbytte!$A$2:$B$18,2,FALSE)*[1]Energiindhold!$C$10,0)*J122*IFERROR(VLOOKUP(A122,Biogasanlæg!$F$3:$G$8,2,FALSE),1)</f>
        <v>0</v>
      </c>
      <c r="T122" s="195">
        <f t="shared" si="25"/>
        <v>0</v>
      </c>
      <c r="U122" s="193">
        <f>O122*IFERROR(VLOOKUP(A122,[1]Tørstofindhold!A$2:B$25,2,FALSE),0)</f>
        <v>0</v>
      </c>
      <c r="V122" s="194">
        <f>IF(D122=År1,P122,SUM(O122,P122))*IFERROR(VLOOKUP(A122,[1]Tørstofindhold!A$2:B$25,2,FALSE),0)</f>
        <v>0</v>
      </c>
      <c r="W122" s="194">
        <f>J122*IFERROR(VLOOKUP(A122,[1]Tørstofindhold!A$2:B$25,2,FALSE),0)</f>
        <v>0</v>
      </c>
      <c r="X122" s="195">
        <f t="shared" si="26"/>
        <v>0</v>
      </c>
      <c r="Y122" s="173">
        <f t="shared" ca="1" si="21"/>
        <v>1</v>
      </c>
      <c r="Z122" s="104">
        <f t="shared" ca="1" si="22"/>
        <v>0</v>
      </c>
    </row>
    <row r="123" spans="1:26" x14ac:dyDescent="0.25">
      <c r="A123" s="196" t="str">
        <f t="shared" si="33"/>
        <v>Kvæggylle</v>
      </c>
      <c r="B123" s="196" t="str">
        <f t="shared" si="34"/>
        <v>Husdyrgødning</v>
      </c>
      <c r="C123" s="196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6">
        <f t="shared" si="35"/>
        <v>2050</v>
      </c>
      <c r="E123" s="194" t="s">
        <v>24</v>
      </c>
      <c r="F123" s="197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4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10188325.20203986</v>
      </c>
      <c r="K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1687441.3615878511</v>
      </c>
      <c r="L123" s="197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9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6">
        <f t="shared" si="23"/>
        <v>859639.93892211281</v>
      </c>
      <c r="O123" s="197">
        <f t="shared" si="20"/>
        <v>859639.93892211281</v>
      </c>
      <c r="P123" s="207">
        <f t="shared" si="24"/>
        <v>10188325.20203986</v>
      </c>
      <c r="Q123" s="194">
        <f>IFERROR(VLOOKUP(A123,[1]Energiindhold!$A$2:$C$11,3,FALSE),IFERROR(VLOOKUP(A123,[1]Biogasudbytte!$A$2:$B$18,2,FALSE)*[1]Energiindhold!$C$10,0))*O123</f>
        <v>0.43514114068298432</v>
      </c>
      <c r="R123" s="194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5.592369474703542</v>
      </c>
      <c r="S123" s="194">
        <f>IFERROR(VLOOKUP(A123,[1]Biogasudbytte!$A$2:$B$18,2,FALSE)*[1]Energiindhold!$C$10,0)*J123*IFERROR(VLOOKUP(A123,Biogasanlæg!$F$3:$G$8,2,FALSE),1)</f>
        <v>5.1572283340205578</v>
      </c>
      <c r="T123" s="195">
        <f t="shared" si="25"/>
        <v>0.43514114068298415</v>
      </c>
      <c r="U123" s="193">
        <f>O123*IFERROR(VLOOKUP(A123,[1]Tørstofindhold!A$2:B$25,2,FALSE),0)</f>
        <v>65332.635358080573</v>
      </c>
      <c r="V123" s="194">
        <f>IF(D123=År1,P123,SUM(O123,P123))*IFERROR(VLOOKUP(A123,[1]Tørstofindhold!A$2:B$25,2,FALSE),0)</f>
        <v>839645.35071310995</v>
      </c>
      <c r="W123" s="194">
        <f>J123*IFERROR(VLOOKUP(A123,[1]Tørstofindhold!A$2:B$25,2,FALSE),0)</f>
        <v>774312.71535502933</v>
      </c>
      <c r="X123" s="195">
        <f t="shared" si="26"/>
        <v>65332.635358080617</v>
      </c>
      <c r="Y123" s="173">
        <f t="shared" si="21"/>
        <v>0</v>
      </c>
      <c r="Z123" s="104">
        <f t="shared" si="22"/>
        <v>1</v>
      </c>
    </row>
    <row r="124" spans="1:26" x14ac:dyDescent="0.25">
      <c r="A124" s="196" t="str">
        <f t="shared" si="33"/>
        <v>Mælk til foder</v>
      </c>
      <c r="B124" s="196" t="str">
        <f t="shared" si="34"/>
        <v/>
      </c>
      <c r="C124" s="196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6">
        <f t="shared" si="35"/>
        <v>2050</v>
      </c>
      <c r="E124" s="194" t="s">
        <v>24</v>
      </c>
      <c r="F124" s="197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4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7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9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6">
        <f t="shared" si="23"/>
        <v>75169.296411052346</v>
      </c>
      <c r="O124" s="197">
        <f t="shared" si="20"/>
        <v>0</v>
      </c>
      <c r="P124" s="207">
        <f t="shared" si="24"/>
        <v>0</v>
      </c>
      <c r="Q124" s="194">
        <f>IFERROR(VLOOKUP(A124,[1]Energiindhold!$A$2:$C$11,3,FALSE),IFERROR(VLOOKUP(A124,[1]Biogasudbytte!$A$2:$B$18,2,FALSE)*[1]Energiindhold!$C$10,0))*O124</f>
        <v>0</v>
      </c>
      <c r="R124" s="194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4">
        <f>IFERROR(VLOOKUP(A124,[1]Biogasudbytte!$A$2:$B$18,2,FALSE)*[1]Energiindhold!$C$10,0)*J124*IFERROR(VLOOKUP(A124,Biogasanlæg!$F$3:$G$8,2,FALSE),1)</f>
        <v>0</v>
      </c>
      <c r="T124" s="195">
        <f t="shared" si="25"/>
        <v>0</v>
      </c>
      <c r="U124" s="193">
        <f>O124*IFERROR(VLOOKUP(A124,[1]Tørstofindhold!A$2:B$25,2,FALSE),0)</f>
        <v>0</v>
      </c>
      <c r="V124" s="194">
        <f>IF(D124=År1,P124,SUM(O124,P124))*IFERROR(VLOOKUP(A124,[1]Tørstofindhold!A$2:B$25,2,FALSE),0)</f>
        <v>0</v>
      </c>
      <c r="W124" s="194">
        <f>J124*IFERROR(VLOOKUP(A124,[1]Tørstofindhold!A$2:B$25,2,FALSE),0)</f>
        <v>0</v>
      </c>
      <c r="X124" s="195">
        <f t="shared" si="26"/>
        <v>0</v>
      </c>
      <c r="Y124" s="173">
        <f t="shared" si="21"/>
        <v>0</v>
      </c>
      <c r="Z124" s="104">
        <f t="shared" si="22"/>
        <v>1</v>
      </c>
    </row>
    <row r="125" spans="1:26" x14ac:dyDescent="0.25">
      <c r="A125" s="196" t="str">
        <f t="shared" si="33"/>
        <v>Majs</v>
      </c>
      <c r="B125" s="196" t="str">
        <f t="shared" si="34"/>
        <v>Græs og urter</v>
      </c>
      <c r="C125" s="196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6">
        <f t="shared" si="35"/>
        <v>2050</v>
      </c>
      <c r="E125" s="194" t="s">
        <v>24</v>
      </c>
      <c r="F125" s="197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5712838.4612741098</v>
      </c>
      <c r="G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5659611.4645835822</v>
      </c>
      <c r="H125" s="194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0</v>
      </c>
      <c r="K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7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9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6">
        <f t="shared" si="23"/>
        <v>53226.996690527536</v>
      </c>
      <c r="O125" s="197">
        <f t="shared" si="20"/>
        <v>0</v>
      </c>
      <c r="P125" s="207">
        <f t="shared" si="24"/>
        <v>0</v>
      </c>
      <c r="Q125" s="194">
        <f>IFERROR(VLOOKUP(A125,[1]Energiindhold!$A$2:$C$11,3,FALSE),IFERROR(VLOOKUP(A125,[1]Biogasudbytte!$A$2:$B$18,2,FALSE)*[1]Energiindhold!$C$10,0))*O125</f>
        <v>0</v>
      </c>
      <c r="R125" s="194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0</v>
      </c>
      <c r="S125" s="194">
        <f>IFERROR(VLOOKUP(A125,[1]Biogasudbytte!$A$2:$B$18,2,FALSE)*[1]Energiindhold!$C$10,0)*J125*IFERROR(VLOOKUP(A125,Biogasanlæg!$F$3:$G$8,2,FALSE),1)</f>
        <v>0</v>
      </c>
      <c r="T125" s="195">
        <f t="shared" si="25"/>
        <v>0</v>
      </c>
      <c r="U125" s="193">
        <f>O125*IFERROR(VLOOKUP(A125,[1]Tørstofindhold!A$2:B$25,2,FALSE),0)</f>
        <v>0</v>
      </c>
      <c r="V125" s="194">
        <f>IF(D125=År1,P125,SUM(O125,P125))*IFERROR(VLOOKUP(A125,[1]Tørstofindhold!A$2:B$25,2,FALSE),0)</f>
        <v>0</v>
      </c>
      <c r="W125" s="194">
        <f>J125*IFERROR(VLOOKUP(A125,[1]Tørstofindhold!A$2:B$25,2,FALSE),0)</f>
        <v>0</v>
      </c>
      <c r="X125" s="195">
        <f t="shared" si="26"/>
        <v>0</v>
      </c>
      <c r="Y125" s="173">
        <f t="shared" si="21"/>
        <v>1</v>
      </c>
      <c r="Z125" s="104">
        <f t="shared" si="22"/>
        <v>0</v>
      </c>
    </row>
    <row r="126" spans="1:26" x14ac:dyDescent="0.25">
      <c r="A126" s="196" t="str">
        <f t="shared" si="33"/>
        <v>Mejeriprodukter</v>
      </c>
      <c r="B126" s="196" t="str">
        <f t="shared" si="34"/>
        <v/>
      </c>
      <c r="C126" s="196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6">
        <f t="shared" si="35"/>
        <v>2050</v>
      </c>
      <c r="E126" s="194" t="s">
        <v>24</v>
      </c>
      <c r="F126" s="197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4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7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9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6">
        <f t="shared" si="23"/>
        <v>2578754.8968308186</v>
      </c>
      <c r="O126" s="197">
        <f t="shared" si="20"/>
        <v>0</v>
      </c>
      <c r="P126" s="207">
        <f t="shared" si="24"/>
        <v>0</v>
      </c>
      <c r="Q126" s="194">
        <f>IFERROR(VLOOKUP(A126,[1]Energiindhold!$A$2:$C$11,3,FALSE),IFERROR(VLOOKUP(A126,[1]Biogasudbytte!$A$2:$B$18,2,FALSE)*[1]Energiindhold!$C$10,0))*O126</f>
        <v>0</v>
      </c>
      <c r="R126" s="194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4">
        <f>IFERROR(VLOOKUP(A126,[1]Biogasudbytte!$A$2:$B$18,2,FALSE)*[1]Energiindhold!$C$10,0)*J126*IFERROR(VLOOKUP(A126,Biogasanlæg!$F$3:$G$8,2,FALSE),1)</f>
        <v>0</v>
      </c>
      <c r="T126" s="195">
        <f t="shared" si="25"/>
        <v>0</v>
      </c>
      <c r="U126" s="193">
        <f>O126*IFERROR(VLOOKUP(A126,[1]Tørstofindhold!A$2:B$25,2,FALSE),0)</f>
        <v>0</v>
      </c>
      <c r="V126" s="194">
        <f>IF(D126=År1,P126,SUM(O126,P126))*IFERROR(VLOOKUP(A126,[1]Tørstofindhold!A$2:B$25,2,FALSE),0)</f>
        <v>0</v>
      </c>
      <c r="W126" s="194">
        <f>J126*IFERROR(VLOOKUP(A126,[1]Tørstofindhold!A$2:B$25,2,FALSE),0)</f>
        <v>0</v>
      </c>
      <c r="X126" s="195">
        <f t="shared" si="26"/>
        <v>0</v>
      </c>
      <c r="Y126" s="173">
        <f t="shared" si="21"/>
        <v>0</v>
      </c>
      <c r="Z126" s="104">
        <f t="shared" si="22"/>
        <v>1</v>
      </c>
    </row>
    <row r="127" spans="1:26" x14ac:dyDescent="0.25">
      <c r="A127" s="196" t="str">
        <f t="shared" si="33"/>
        <v>Muslinger</v>
      </c>
      <c r="B127" s="196" t="str">
        <f t="shared" si="34"/>
        <v>Havbiomasse</v>
      </c>
      <c r="C127" s="196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6">
        <f t="shared" si="35"/>
        <v>2050</v>
      </c>
      <c r="E127" s="194" t="s">
        <v>24</v>
      </c>
      <c r="F127" s="197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46909.42609053191</v>
      </c>
      <c r="H127" s="194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7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9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6">
        <f t="shared" si="23"/>
        <v>169492.57209499774</v>
      </c>
      <c r="O127" s="197">
        <f t="shared" si="20"/>
        <v>169492.57209499774</v>
      </c>
      <c r="P127" s="207">
        <f t="shared" si="24"/>
        <v>0</v>
      </c>
      <c r="Q127" s="194">
        <f>IFERROR(VLOOKUP(A127,[1]Energiindhold!$A$2:$C$11,3,FALSE),IFERROR(VLOOKUP(A127,[1]Biogasudbytte!$A$2:$B$18,2,FALSE)*[1]Energiindhold!$C$10,0))*O127</f>
        <v>0.1521195834552605</v>
      </c>
      <c r="R127" s="194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0.1521195834552605</v>
      </c>
      <c r="S127" s="194">
        <f>IFERROR(VLOOKUP(A127,[1]Biogasudbytte!$A$2:$B$18,2,FALSE)*[1]Energiindhold!$C$10,0)*J127*IFERROR(VLOOKUP(A127,Biogasanlæg!$F$3:$G$8,2,FALSE),1)</f>
        <v>0</v>
      </c>
      <c r="T127" s="195">
        <f t="shared" si="25"/>
        <v>0.1521195834552605</v>
      </c>
      <c r="U127" s="193">
        <f>O127*IFERROR(VLOOKUP(A127,[1]Tørstofindhold!A$2:B$25,2,FALSE),0)</f>
        <v>25423.885814249661</v>
      </c>
      <c r="V127" s="194">
        <f>IF(D127=År1,P127,SUM(O127,P127))*IFERROR(VLOOKUP(A127,[1]Tørstofindhold!A$2:B$25,2,FALSE),0)</f>
        <v>25423.885814249661</v>
      </c>
      <c r="W127" s="194">
        <f>J127*IFERROR(VLOOKUP(A127,[1]Tørstofindhold!A$2:B$25,2,FALSE),0)</f>
        <v>0</v>
      </c>
      <c r="X127" s="195">
        <f t="shared" si="26"/>
        <v>25423.885814249661</v>
      </c>
      <c r="Y127" s="173">
        <f t="shared" si="21"/>
        <v>0</v>
      </c>
      <c r="Z127" s="104">
        <f t="shared" si="22"/>
        <v>1</v>
      </c>
    </row>
    <row r="128" spans="1:26" x14ac:dyDescent="0.25">
      <c r="A128" s="196" t="str">
        <f t="shared" si="33"/>
        <v>Oksekød</v>
      </c>
      <c r="B128" s="196" t="str">
        <f t="shared" si="34"/>
        <v/>
      </c>
      <c r="C128" s="196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6">
        <f t="shared" si="35"/>
        <v>2050</v>
      </c>
      <c r="E128" s="194" t="s">
        <v>24</v>
      </c>
      <c r="F128" s="197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4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7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9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6">
        <f t="shared" si="23"/>
        <v>40419.548064407238</v>
      </c>
      <c r="O128" s="197">
        <f t="shared" si="20"/>
        <v>0</v>
      </c>
      <c r="P128" s="207">
        <f t="shared" si="24"/>
        <v>0</v>
      </c>
      <c r="Q128" s="194">
        <f>IFERROR(VLOOKUP(A128,[1]Energiindhold!$A$2:$C$11,3,FALSE),IFERROR(VLOOKUP(A128,[1]Biogasudbytte!$A$2:$B$18,2,FALSE)*[1]Energiindhold!$C$10,0))*O128</f>
        <v>0</v>
      </c>
      <c r="R128" s="194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4">
        <f>IFERROR(VLOOKUP(A128,[1]Biogasudbytte!$A$2:$B$18,2,FALSE)*[1]Energiindhold!$C$10,0)*J128*IFERROR(VLOOKUP(A128,Biogasanlæg!$F$3:$G$8,2,FALSE),1)</f>
        <v>0</v>
      </c>
      <c r="T128" s="195">
        <f t="shared" si="25"/>
        <v>0</v>
      </c>
      <c r="U128" s="193">
        <f>O128*IFERROR(VLOOKUP(A128,[1]Tørstofindhold!A$2:B$25,2,FALSE),0)</f>
        <v>0</v>
      </c>
      <c r="V128" s="194">
        <f>IF(D128=År1,P128,SUM(O128,P128))*IFERROR(VLOOKUP(A128,[1]Tørstofindhold!A$2:B$25,2,FALSE),0)</f>
        <v>0</v>
      </c>
      <c r="W128" s="194">
        <f>J128*IFERROR(VLOOKUP(A128,[1]Tørstofindhold!A$2:B$25,2,FALSE),0)</f>
        <v>0</v>
      </c>
      <c r="X128" s="195">
        <f t="shared" si="26"/>
        <v>0</v>
      </c>
      <c r="Y128" s="173">
        <f t="shared" si="21"/>
        <v>1</v>
      </c>
      <c r="Z128" s="104">
        <f t="shared" si="22"/>
        <v>0</v>
      </c>
    </row>
    <row r="129" spans="1:26" x14ac:dyDescent="0.25">
      <c r="A129" s="196" t="str">
        <f t="shared" si="33"/>
        <v>Øvrige</v>
      </c>
      <c r="B129" s="196" t="str">
        <f t="shared" si="34"/>
        <v/>
      </c>
      <c r="C129" s="196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6">
        <f t="shared" si="35"/>
        <v>2050</v>
      </c>
      <c r="E129" s="194" t="s">
        <v>24</v>
      </c>
      <c r="F129" s="197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345224.00018164597</v>
      </c>
      <c r="G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4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7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9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6">
        <f t="shared" si="23"/>
        <v>345224.00018164597</v>
      </c>
      <c r="O129" s="197">
        <f t="shared" si="20"/>
        <v>0</v>
      </c>
      <c r="P129" s="207">
        <f t="shared" si="24"/>
        <v>0</v>
      </c>
      <c r="Q129" s="194">
        <f>IFERROR(VLOOKUP(A129,[1]Energiindhold!$A$2:$C$11,3,FALSE),IFERROR(VLOOKUP(A129,[1]Biogasudbytte!$A$2:$B$18,2,FALSE)*[1]Energiindhold!$C$10,0))*O129</f>
        <v>0</v>
      </c>
      <c r="R129" s="194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4">
        <f>IFERROR(VLOOKUP(A129,[1]Biogasudbytte!$A$2:$B$18,2,FALSE)*[1]Energiindhold!$C$10,0)*J129*IFERROR(VLOOKUP(A129,Biogasanlæg!$F$3:$G$8,2,FALSE),1)</f>
        <v>0</v>
      </c>
      <c r="T129" s="195">
        <f t="shared" si="25"/>
        <v>0</v>
      </c>
      <c r="U129" s="193">
        <f>O129*IFERROR(VLOOKUP(A129,[1]Tørstofindhold!A$2:B$25,2,FALSE),0)</f>
        <v>0</v>
      </c>
      <c r="V129" s="194">
        <f>IF(D129=År1,P129,SUM(O129,P129))*IFERROR(VLOOKUP(A129,[1]Tørstofindhold!A$2:B$25,2,FALSE),0)</f>
        <v>0</v>
      </c>
      <c r="W129" s="194">
        <f>J129*IFERROR(VLOOKUP(A129,[1]Tørstofindhold!A$2:B$25,2,FALSE),0)</f>
        <v>0</v>
      </c>
      <c r="X129" s="195">
        <f t="shared" si="26"/>
        <v>0</v>
      </c>
      <c r="Y129" s="173">
        <f t="shared" si="21"/>
        <v>0</v>
      </c>
      <c r="Z129" s="104">
        <f t="shared" si="22"/>
        <v>1</v>
      </c>
    </row>
    <row r="130" spans="1:26" x14ac:dyDescent="0.25">
      <c r="A130" s="196" t="str">
        <f t="shared" si="33"/>
        <v>Pil &amp; poppel</v>
      </c>
      <c r="B130" s="196" t="str">
        <f t="shared" si="34"/>
        <v>Vedmasse</v>
      </c>
      <c r="C130" s="196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6">
        <f t="shared" si="35"/>
        <v>2050</v>
      </c>
      <c r="E130" s="194" t="s">
        <v>24</v>
      </c>
      <c r="F130" s="197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95761.673380129621</v>
      </c>
      <c r="G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4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7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95761.673380129621</v>
      </c>
      <c r="M130" s="159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6">
        <f t="shared" si="23"/>
        <v>0</v>
      </c>
      <c r="O130" s="197">
        <f t="shared" si="20"/>
        <v>0</v>
      </c>
      <c r="P130" s="207">
        <f t="shared" si="24"/>
        <v>95761.673380129621</v>
      </c>
      <c r="Q130" s="194">
        <f>IFERROR(VLOOKUP(A130,[1]Energiindhold!$A$2:$C$11,3,FALSE),IFERROR(VLOOKUP(A130,[1]Biogasudbytte!$A$2:$B$18,2,FALSE)*[1]Energiindhold!$C$10,0))*O130</f>
        <v>0</v>
      </c>
      <c r="R130" s="194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1.7620147901943848</v>
      </c>
      <c r="S130" s="194">
        <f>IFERROR(VLOOKUP(A130,[1]Biogasudbytte!$A$2:$B$18,2,FALSE)*[1]Energiindhold!$C$10,0)*J130*IFERROR(VLOOKUP(A130,Biogasanlæg!$F$3:$G$8,2,FALSE),1)</f>
        <v>0</v>
      </c>
      <c r="T130" s="195">
        <f t="shared" si="25"/>
        <v>1.7620147901943848</v>
      </c>
      <c r="U130" s="193">
        <f>O130*IFERROR(VLOOKUP(A130,[1]Tørstofindhold!A$2:B$25,2,FALSE),0)</f>
        <v>0</v>
      </c>
      <c r="V130" s="194">
        <f>IF(D130=År1,P130,SUM(O130,P130))*IFERROR(VLOOKUP(A130,[1]Tørstofindhold!A$2:B$25,2,FALSE),0)</f>
        <v>39741.094452753794</v>
      </c>
      <c r="W130" s="194">
        <f>J130*IFERROR(VLOOKUP(A130,[1]Tørstofindhold!A$2:B$25,2,FALSE),0)</f>
        <v>0</v>
      </c>
      <c r="X130" s="195">
        <f t="shared" si="26"/>
        <v>39741.094452753794</v>
      </c>
      <c r="Y130" s="173">
        <f t="shared" si="21"/>
        <v>0</v>
      </c>
      <c r="Z130" s="104">
        <f t="shared" si="22"/>
        <v>0</v>
      </c>
    </row>
    <row r="131" spans="1:26" x14ac:dyDescent="0.25">
      <c r="A131" s="196" t="str">
        <f t="shared" ref="A131:A132" si="36">A83</f>
        <v>Pyrolysegas</v>
      </c>
      <c r="B131" s="196" t="str">
        <f t="shared" ref="B131:B132" si="37">IF(B83&lt;&gt;"",B83,"")</f>
        <v>Pyrolyseprodukter</v>
      </c>
      <c r="C131" s="196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6">
        <f t="shared" si="35"/>
        <v>2050</v>
      </c>
      <c r="E131" s="194" t="s">
        <v>24</v>
      </c>
      <c r="F131" s="197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409360.17376229854</v>
      </c>
      <c r="G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4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7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409360.17376229854</v>
      </c>
      <c r="M131" s="159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6">
        <f t="shared" ref="N131:N132" si="38">F131-SUM(G131:M131)</f>
        <v>0</v>
      </c>
      <c r="O131" s="197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7">
        <f t="shared" ref="P131:P132" si="40">SUM(J131,L131)</f>
        <v>409360.17376229854</v>
      </c>
      <c r="Q131" s="194">
        <f>IFERROR(VLOOKUP(A131,[1]Energiindhold!$A$2:$C$11,3,FALSE),IFERROR(VLOOKUP(A131,[1]Biogasudbytte!$A$2:$B$18,2,FALSE)*[1]Energiindhold!$C$10,0))*O131</f>
        <v>0</v>
      </c>
      <c r="R131" s="194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3.6684519571584255</v>
      </c>
      <c r="S131" s="194">
        <f>IFERROR(VLOOKUP(A131,[1]Biogasudbytte!$A$2:$B$18,2,FALSE)*[1]Energiindhold!$C$10,0)*J131*IFERROR(VLOOKUP(A131,Biogasanlæg!$F$3:$G$8,2,FALSE),1)</f>
        <v>0</v>
      </c>
      <c r="T131" s="195">
        <f t="shared" ref="T131:T132" si="41">R131-S131</f>
        <v>3.6684519571584255</v>
      </c>
      <c r="U131" s="193">
        <f>O131*IFERROR(VLOOKUP(A131,[1]Tørstofindhold!A$2:B$25,2,FALSE),0)</f>
        <v>0</v>
      </c>
      <c r="V131" s="194">
        <f>IF(D131=År1,P131,SUM(O131,P131))*IFERROR(VLOOKUP(A131,[1]Tørstofindhold!A$2:B$25,2,FALSE),0)</f>
        <v>0</v>
      </c>
      <c r="W131" s="194">
        <f>J131*IFERROR(VLOOKUP(A131,[1]Tørstofindhold!A$2:B$25,2,FALSE),0)</f>
        <v>0</v>
      </c>
      <c r="X131" s="195">
        <f t="shared" ref="X131:X132" si="42">V131-W131</f>
        <v>0</v>
      </c>
      <c r="Y131" s="173">
        <f t="shared" ref="Y131:Y194" si="43">IF(SUMIFS($N$3:$N$290,$A$3:$A$290,A131,$D$3:$D$290,D131)&lt;0,1,0)</f>
        <v>0</v>
      </c>
      <c r="Z131" s="104">
        <f t="shared" ref="Z131:Z194" si="44">IF(SUMIFS($N$3:$N$290,$A$3:$A$290,A131,$D$3:$D$290,D131)&gt;0,1,0)</f>
        <v>0</v>
      </c>
    </row>
    <row r="132" spans="1:26" x14ac:dyDescent="0.25">
      <c r="A132" s="196" t="str">
        <f t="shared" si="36"/>
        <v>Pyrolyseolie</v>
      </c>
      <c r="B132" s="196" t="str">
        <f t="shared" si="37"/>
        <v>Pyrolyseprodukter</v>
      </c>
      <c r="C132" s="196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6">
        <f t="shared" si="35"/>
        <v>2050</v>
      </c>
      <c r="E132" s="194" t="s">
        <v>24</v>
      </c>
      <c r="F132" s="197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102340.04344057463</v>
      </c>
      <c r="G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4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7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102340.04344057463</v>
      </c>
      <c r="M132" s="159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6">
        <f t="shared" si="38"/>
        <v>0</v>
      </c>
      <c r="O132" s="197">
        <f t="shared" si="39"/>
        <v>0</v>
      </c>
      <c r="P132" s="207">
        <f t="shared" si="40"/>
        <v>102340.04344057463</v>
      </c>
      <c r="Q132" s="194">
        <f>IFERROR(VLOOKUP(A132,[1]Energiindhold!$A$2:$C$11,3,FALSE),IFERROR(VLOOKUP(A132,[1]Biogasudbytte!$A$2:$B$18,2,FALSE)*[1]Energiindhold!$C$10,0))*O132</f>
        <v>0</v>
      </c>
      <c r="R132" s="194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3.4047070452058592</v>
      </c>
      <c r="S132" s="194">
        <f>IFERROR(VLOOKUP(A132,[1]Biogasudbytte!$A$2:$B$18,2,FALSE)*[1]Energiindhold!$C$10,0)*J132*IFERROR(VLOOKUP(A132,Biogasanlæg!$F$3:$G$8,2,FALSE),1)</f>
        <v>0</v>
      </c>
      <c r="T132" s="195">
        <f t="shared" si="41"/>
        <v>3.4047070452058592</v>
      </c>
      <c r="U132" s="193">
        <f>O132*IFERROR(VLOOKUP(A132,[1]Tørstofindhold!A$2:B$25,2,FALSE),0)</f>
        <v>0</v>
      </c>
      <c r="V132" s="194">
        <f>IF(D132=År1,P132,SUM(O132,P132))*IFERROR(VLOOKUP(A132,[1]Tørstofindhold!A$2:B$25,2,FALSE),0)</f>
        <v>0</v>
      </c>
      <c r="W132" s="194">
        <f>J132*IFERROR(VLOOKUP(A132,[1]Tørstofindhold!A$2:B$25,2,FALSE),0)</f>
        <v>0</v>
      </c>
      <c r="X132" s="195">
        <f t="shared" si="42"/>
        <v>0</v>
      </c>
      <c r="Y132" s="173">
        <f t="shared" si="43"/>
        <v>0</v>
      </c>
      <c r="Z132" s="104">
        <f t="shared" si="44"/>
        <v>0</v>
      </c>
    </row>
    <row r="133" spans="1:26" x14ac:dyDescent="0.25">
      <c r="A133" s="196" t="str">
        <f t="shared" ref="A133:A146" si="45">A85</f>
        <v>Råmælk</v>
      </c>
      <c r="B133" s="196" t="str">
        <f t="shared" ref="B133:B146" si="46">IF(B85&lt;&gt;"",B85,"")</f>
        <v/>
      </c>
      <c r="C133" s="196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6">
        <f t="shared" si="35"/>
        <v>2050</v>
      </c>
      <c r="E133" s="194" t="s">
        <v>24</v>
      </c>
      <c r="F133" s="197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4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7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9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6">
        <f t="shared" si="23"/>
        <v>4779961.9648844432</v>
      </c>
      <c r="O133" s="197">
        <f t="shared" si="39"/>
        <v>0</v>
      </c>
      <c r="P133" s="207">
        <f t="shared" si="24"/>
        <v>0</v>
      </c>
      <c r="Q133" s="194">
        <f>IFERROR(VLOOKUP(A133,[1]Energiindhold!$A$2:$C$11,3,FALSE),IFERROR(VLOOKUP(A133,[1]Biogasudbytte!$A$2:$B$18,2,FALSE)*[1]Energiindhold!$C$10,0))*O133</f>
        <v>0</v>
      </c>
      <c r="R133" s="194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4">
        <f>IFERROR(VLOOKUP(A133,[1]Biogasudbytte!$A$2:$B$18,2,FALSE)*[1]Energiindhold!$C$10,0)*J133*IFERROR(VLOOKUP(A133,Biogasanlæg!$F$3:$G$8,2,FALSE),1)</f>
        <v>0</v>
      </c>
      <c r="T133" s="195">
        <f t="shared" si="25"/>
        <v>0</v>
      </c>
      <c r="U133" s="193">
        <f>O133*IFERROR(VLOOKUP(A133,[1]Tørstofindhold!A$2:B$25,2,FALSE),0)</f>
        <v>0</v>
      </c>
      <c r="V133" s="194">
        <f>IF(D133=År1,P133,SUM(O133,P133))*IFERROR(VLOOKUP(A133,[1]Tørstofindhold!A$2:B$25,2,FALSE),0)</f>
        <v>0</v>
      </c>
      <c r="W133" s="194">
        <f>J133*IFERROR(VLOOKUP(A133,[1]Tørstofindhold!A$2:B$25,2,FALSE),0)</f>
        <v>0</v>
      </c>
      <c r="X133" s="195">
        <f t="shared" si="26"/>
        <v>0</v>
      </c>
      <c r="Y133" s="173">
        <f t="shared" si="43"/>
        <v>0</v>
      </c>
      <c r="Z133" s="104">
        <f t="shared" si="44"/>
        <v>1</v>
      </c>
    </row>
    <row r="134" spans="1:26" x14ac:dyDescent="0.25">
      <c r="A134" s="196" t="str">
        <f t="shared" si="45"/>
        <v>Raps</v>
      </c>
      <c r="B134" s="196" t="str">
        <f t="shared" si="46"/>
        <v/>
      </c>
      <c r="C134" s="196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6">
        <f t="shared" si="35"/>
        <v>2050</v>
      </c>
      <c r="E134" s="194" t="s">
        <v>24</v>
      </c>
      <c r="F134" s="197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345496.6234152735</v>
      </c>
      <c r="G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4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7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9">
        <f>SUMIFS('Forbrug af biomasse'!E:E,'Forbrug af biomasse'!C:C,'Resultat-Produktion &amp; forbrug'!$A134,'Forbrug af biomasse'!D:D,'Resultat-Produktion &amp; forbrug'!$D134,'Forbrug af biomasse'!G:G,1,'Forbrug af biomasse'!B:B,$E134)</f>
        <v>345496.6234152735</v>
      </c>
      <c r="N134" s="206">
        <f t="shared" si="23"/>
        <v>0</v>
      </c>
      <c r="O134" s="197">
        <f t="shared" si="39"/>
        <v>0</v>
      </c>
      <c r="P134" s="207">
        <f t="shared" si="24"/>
        <v>0</v>
      </c>
      <c r="Q134" s="194">
        <f>IFERROR(VLOOKUP(A134,[1]Energiindhold!$A$2:$C$11,3,FALSE),IFERROR(VLOOKUP(A134,[1]Biogasudbytte!$A$2:$B$18,2,FALSE)*[1]Energiindhold!$C$10,0))*O134</f>
        <v>0</v>
      </c>
      <c r="R134" s="194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4">
        <f>IFERROR(VLOOKUP(A134,[1]Biogasudbytte!$A$2:$B$18,2,FALSE)*[1]Energiindhold!$C$10,0)*J134*IFERROR(VLOOKUP(A134,Biogasanlæg!$F$3:$G$8,2,FALSE),1)</f>
        <v>0</v>
      </c>
      <c r="T134" s="195">
        <f t="shared" si="25"/>
        <v>0</v>
      </c>
      <c r="U134" s="193">
        <f>O134*IFERROR(VLOOKUP(A134,[1]Tørstofindhold!A$2:B$25,2,FALSE),0)</f>
        <v>0</v>
      </c>
      <c r="V134" s="194">
        <f>IF(D134=År1,P134,SUM(O134,P134))*IFERROR(VLOOKUP(A134,[1]Tørstofindhold!A$2:B$25,2,FALSE),0)</f>
        <v>0</v>
      </c>
      <c r="W134" s="194">
        <f>J134*IFERROR(VLOOKUP(A134,[1]Tørstofindhold!A$2:B$25,2,FALSE),0)</f>
        <v>0</v>
      </c>
      <c r="X134" s="195">
        <f t="shared" si="26"/>
        <v>0</v>
      </c>
      <c r="Y134" s="173">
        <f t="shared" si="43"/>
        <v>0</v>
      </c>
      <c r="Z134" s="104">
        <f t="shared" si="44"/>
        <v>0</v>
      </c>
    </row>
    <row r="135" spans="1:26" x14ac:dyDescent="0.25">
      <c r="A135" s="196" t="str">
        <f t="shared" si="45"/>
        <v>Rapskage</v>
      </c>
      <c r="B135" s="196" t="str">
        <f t="shared" si="46"/>
        <v/>
      </c>
      <c r="C135" s="196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6">
        <f t="shared" si="35"/>
        <v>2050</v>
      </c>
      <c r="E135" s="194" t="s">
        <v>24</v>
      </c>
      <c r="F135" s="197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172748.31170763675</v>
      </c>
      <c r="G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4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7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9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6">
        <f t="shared" si="23"/>
        <v>-41350.7943836255</v>
      </c>
      <c r="O135" s="197">
        <f t="shared" si="39"/>
        <v>0</v>
      </c>
      <c r="P135" s="207">
        <f t="shared" si="24"/>
        <v>0</v>
      </c>
      <c r="Q135" s="194">
        <f>IFERROR(VLOOKUP(A135,[1]Energiindhold!$A$2:$C$11,3,FALSE),IFERROR(VLOOKUP(A135,[1]Biogasudbytte!$A$2:$B$18,2,FALSE)*[1]Energiindhold!$C$10,0))*O135</f>
        <v>0</v>
      </c>
      <c r="R135" s="194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4">
        <f>IFERROR(VLOOKUP(A135,[1]Biogasudbytte!$A$2:$B$18,2,FALSE)*[1]Energiindhold!$C$10,0)*J135*IFERROR(VLOOKUP(A135,Biogasanlæg!$F$3:$G$8,2,FALSE),1)</f>
        <v>0</v>
      </c>
      <c r="T135" s="195">
        <f t="shared" si="25"/>
        <v>0</v>
      </c>
      <c r="U135" s="193">
        <f>O135*IFERROR(VLOOKUP(A135,[1]Tørstofindhold!A$2:B$25,2,FALSE),0)</f>
        <v>0</v>
      </c>
      <c r="V135" s="194">
        <f>IF(D135=År1,P135,SUM(O135,P135))*IFERROR(VLOOKUP(A135,[1]Tørstofindhold!A$2:B$25,2,FALSE),0)</f>
        <v>0</v>
      </c>
      <c r="W135" s="194">
        <f>J135*IFERROR(VLOOKUP(A135,[1]Tørstofindhold!A$2:B$25,2,FALSE),0)</f>
        <v>0</v>
      </c>
      <c r="X135" s="195">
        <f t="shared" si="26"/>
        <v>0</v>
      </c>
      <c r="Y135" s="173">
        <f t="shared" si="43"/>
        <v>1</v>
      </c>
      <c r="Z135" s="104">
        <f t="shared" si="44"/>
        <v>0</v>
      </c>
    </row>
    <row r="136" spans="1:26" x14ac:dyDescent="0.25">
      <c r="A136" s="196" t="str">
        <f t="shared" si="45"/>
        <v>Rapsolie</v>
      </c>
      <c r="B136" s="196" t="str">
        <f t="shared" si="46"/>
        <v>Rapsolie</v>
      </c>
      <c r="C136" s="196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6">
        <f t="shared" si="35"/>
        <v>2050</v>
      </c>
      <c r="E136" s="194" t="s">
        <v>24</v>
      </c>
      <c r="F136" s="197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110558.91949288752</v>
      </c>
      <c r="G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4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7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110558.91949288752</v>
      </c>
      <c r="M136" s="159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6">
        <f t="shared" si="23"/>
        <v>0</v>
      </c>
      <c r="O136" s="197">
        <f t="shared" si="39"/>
        <v>0</v>
      </c>
      <c r="P136" s="207">
        <f t="shared" si="24"/>
        <v>110558.91949288752</v>
      </c>
      <c r="Q136" s="194">
        <f>IFERROR(VLOOKUP(A136,[1]Energiindhold!$A$2:$C$11,3,FALSE),IFERROR(VLOOKUP(A136,[1]Biogasudbytte!$A$2:$B$18,2,FALSE)*[1]Energiindhold!$C$10,0))*O136</f>
        <v>0</v>
      </c>
      <c r="R136" s="194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3.8695621822510629</v>
      </c>
      <c r="S136" s="194">
        <f>IFERROR(VLOOKUP(A136,[1]Biogasudbytte!$A$2:$B$18,2,FALSE)*[1]Energiindhold!$C$10,0)*J136*IFERROR(VLOOKUP(A136,Biogasanlæg!$F$3:$G$8,2,FALSE),1)</f>
        <v>0</v>
      </c>
      <c r="T136" s="195">
        <f t="shared" si="25"/>
        <v>3.8695621822510629</v>
      </c>
      <c r="U136" s="193">
        <f>O136*IFERROR(VLOOKUP(A136,[1]Tørstofindhold!A$2:B$25,2,FALSE),0)</f>
        <v>0</v>
      </c>
      <c r="V136" s="194">
        <f>IF(D136=År1,P136,SUM(O136,P136))*IFERROR(VLOOKUP(A136,[1]Tørstofindhold!A$2:B$25,2,FALSE),0)</f>
        <v>100608.61673852765</v>
      </c>
      <c r="W136" s="194">
        <f>J136*IFERROR(VLOOKUP(A136,[1]Tørstofindhold!A$2:B$25,2,FALSE),0)</f>
        <v>0</v>
      </c>
      <c r="X136" s="195">
        <f t="shared" si="26"/>
        <v>100608.61673852765</v>
      </c>
      <c r="Y136" s="173">
        <f t="shared" si="43"/>
        <v>0</v>
      </c>
      <c r="Z136" s="104">
        <f t="shared" si="44"/>
        <v>0</v>
      </c>
    </row>
    <row r="137" spans="1:26" x14ac:dyDescent="0.25">
      <c r="A137" s="196" t="str">
        <f t="shared" si="45"/>
        <v>Roer</v>
      </c>
      <c r="B137" s="196" t="str">
        <f t="shared" si="46"/>
        <v>Græs og urter</v>
      </c>
      <c r="C137" s="196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6">
        <f t="shared" si="35"/>
        <v>2050</v>
      </c>
      <c r="E137" s="194" t="s">
        <v>24</v>
      </c>
      <c r="F137" s="197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274805.35881915229</v>
      </c>
      <c r="G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868637.91677766922</v>
      </c>
      <c r="H137" s="194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0</v>
      </c>
      <c r="K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7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9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6">
        <f t="shared" si="23"/>
        <v>-593832.55795851699</v>
      </c>
      <c r="O137" s="197">
        <f t="shared" si="39"/>
        <v>0</v>
      </c>
      <c r="P137" s="207">
        <f t="shared" si="24"/>
        <v>0</v>
      </c>
      <c r="Q137" s="194">
        <f>IFERROR(VLOOKUP(A137,[1]Energiindhold!$A$2:$C$11,3,FALSE),IFERROR(VLOOKUP(A137,[1]Biogasudbytte!$A$2:$B$18,2,FALSE)*[1]Energiindhold!$C$10,0))*O137</f>
        <v>0</v>
      </c>
      <c r="R137" s="194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0</v>
      </c>
      <c r="S137" s="194">
        <f>IFERROR(VLOOKUP(A137,[1]Biogasudbytte!$A$2:$B$18,2,FALSE)*[1]Energiindhold!$C$10,0)*J137*IFERROR(VLOOKUP(A137,Biogasanlæg!$F$3:$G$8,2,FALSE),1)</f>
        <v>0</v>
      </c>
      <c r="T137" s="195">
        <f t="shared" si="25"/>
        <v>0</v>
      </c>
      <c r="U137" s="193">
        <f>O137*IFERROR(VLOOKUP(A137,[1]Tørstofindhold!A$2:B$25,2,FALSE),0)</f>
        <v>0</v>
      </c>
      <c r="V137" s="194">
        <f>IF(D137=År1,P137,SUM(O137,P137))*IFERROR(VLOOKUP(A137,[1]Tørstofindhold!A$2:B$25,2,FALSE),0)</f>
        <v>0</v>
      </c>
      <c r="W137" s="194">
        <f>J137*IFERROR(VLOOKUP(A137,[1]Tørstofindhold!A$2:B$25,2,FALSE),0)</f>
        <v>0</v>
      </c>
      <c r="X137" s="195">
        <f t="shared" si="26"/>
        <v>0</v>
      </c>
      <c r="Y137" s="173">
        <f t="shared" si="43"/>
        <v>0</v>
      </c>
      <c r="Z137" s="104">
        <f t="shared" si="44"/>
        <v>1</v>
      </c>
    </row>
    <row r="138" spans="1:26" x14ac:dyDescent="0.25">
      <c r="A138" s="196" t="str">
        <f t="shared" si="45"/>
        <v>Slagteriaffald til andet</v>
      </c>
      <c r="B138" s="196" t="str">
        <f t="shared" si="46"/>
        <v/>
      </c>
      <c r="C138" s="196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6">
        <f t="shared" si="35"/>
        <v>2050</v>
      </c>
      <c r="E138" s="194" t="s">
        <v>24</v>
      </c>
      <c r="F138" s="197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4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7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9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6">
        <f t="shared" si="23"/>
        <v>185567.16171821824</v>
      </c>
      <c r="O138" s="197">
        <f t="shared" si="39"/>
        <v>0</v>
      </c>
      <c r="P138" s="207">
        <f t="shared" si="24"/>
        <v>0</v>
      </c>
      <c r="Q138" s="194">
        <f>IFERROR(VLOOKUP(A138,[1]Energiindhold!$A$2:$C$11,3,FALSE),IFERROR(VLOOKUP(A138,[1]Biogasudbytte!$A$2:$B$18,2,FALSE)*[1]Energiindhold!$C$10,0))*O138</f>
        <v>0</v>
      </c>
      <c r="R138" s="194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4">
        <f>IFERROR(VLOOKUP(A138,[1]Biogasudbytte!$A$2:$B$18,2,FALSE)*[1]Energiindhold!$C$10,0)*J138*IFERROR(VLOOKUP(A138,Biogasanlæg!$F$3:$G$8,2,FALSE),1)</f>
        <v>0</v>
      </c>
      <c r="T138" s="195">
        <f t="shared" si="25"/>
        <v>0</v>
      </c>
      <c r="U138" s="193">
        <f>O138*IFERROR(VLOOKUP(A138,[1]Tørstofindhold!A$2:B$25,2,FALSE),0)</f>
        <v>0</v>
      </c>
      <c r="V138" s="194">
        <f>IF(D138=År1,P138,SUM(O138,P138))*IFERROR(VLOOKUP(A138,[1]Tørstofindhold!A$2:B$25,2,FALSE),0)</f>
        <v>0</v>
      </c>
      <c r="W138" s="194">
        <f>J138*IFERROR(VLOOKUP(A138,[1]Tørstofindhold!A$2:B$25,2,FALSE),0)</f>
        <v>0</v>
      </c>
      <c r="X138" s="195">
        <f t="shared" si="26"/>
        <v>0</v>
      </c>
      <c r="Y138" s="173">
        <f t="shared" si="43"/>
        <v>0</v>
      </c>
      <c r="Z138" s="104">
        <f t="shared" si="44"/>
        <v>1</v>
      </c>
    </row>
    <row r="139" spans="1:26" x14ac:dyDescent="0.25">
      <c r="A139" s="196" t="str">
        <f t="shared" si="45"/>
        <v>Slagteriaffald til foder</v>
      </c>
      <c r="B139" s="196" t="str">
        <f t="shared" si="46"/>
        <v/>
      </c>
      <c r="C139" s="196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6">
        <f t="shared" si="35"/>
        <v>2050</v>
      </c>
      <c r="E139" s="194" t="s">
        <v>24</v>
      </c>
      <c r="F139" s="197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4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7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9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6">
        <f t="shared" si="23"/>
        <v>86684.513254845398</v>
      </c>
      <c r="O139" s="197">
        <f t="shared" si="39"/>
        <v>0</v>
      </c>
      <c r="P139" s="207">
        <f t="shared" si="24"/>
        <v>0</v>
      </c>
      <c r="Q139" s="194">
        <f>IFERROR(VLOOKUP(A139,[1]Energiindhold!$A$2:$C$11,3,FALSE),IFERROR(VLOOKUP(A139,[1]Biogasudbytte!$A$2:$B$18,2,FALSE)*[1]Energiindhold!$C$10,0))*O139</f>
        <v>0</v>
      </c>
      <c r="R139" s="194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4">
        <f>IFERROR(VLOOKUP(A139,[1]Biogasudbytte!$A$2:$B$18,2,FALSE)*[1]Energiindhold!$C$10,0)*J139*IFERROR(VLOOKUP(A139,Biogasanlæg!$F$3:$G$8,2,FALSE),1)</f>
        <v>0</v>
      </c>
      <c r="T139" s="195">
        <f t="shared" si="25"/>
        <v>0</v>
      </c>
      <c r="U139" s="193">
        <f>O139*IFERROR(VLOOKUP(A139,[1]Tørstofindhold!A$2:B$25,2,FALSE),0)</f>
        <v>0</v>
      </c>
      <c r="V139" s="194">
        <f>IF(D139=År1,P139,SUM(O139,P139))*IFERROR(VLOOKUP(A139,[1]Tørstofindhold!A$2:B$25,2,FALSE),0)</f>
        <v>0</v>
      </c>
      <c r="W139" s="194">
        <f>J139*IFERROR(VLOOKUP(A139,[1]Tørstofindhold!A$2:B$25,2,FALSE),0)</f>
        <v>0</v>
      </c>
      <c r="X139" s="195">
        <f t="shared" si="26"/>
        <v>0</v>
      </c>
      <c r="Y139" s="173">
        <f t="shared" si="43"/>
        <v>0</v>
      </c>
      <c r="Z139" s="104">
        <f t="shared" si="44"/>
        <v>1</v>
      </c>
    </row>
    <row r="140" spans="1:26" x14ac:dyDescent="0.25">
      <c r="A140" s="196" t="str">
        <f t="shared" si="45"/>
        <v>Spildevandsslam</v>
      </c>
      <c r="B140" s="196" t="str">
        <f t="shared" si="46"/>
        <v>Bionedbrydeligt affald</v>
      </c>
      <c r="C140" s="196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6">
        <f t="shared" si="35"/>
        <v>2050</v>
      </c>
      <c r="E140" s="194" t="s">
        <v>24</v>
      </c>
      <c r="F140" s="197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4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3297466.0782270324</v>
      </c>
      <c r="K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7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9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6">
        <f t="shared" si="23"/>
        <v>824366.51955675799</v>
      </c>
      <c r="O140" s="197">
        <f t="shared" si="39"/>
        <v>824366.51955675799</v>
      </c>
      <c r="P140" s="207">
        <f t="shared" si="24"/>
        <v>3297466.0782270324</v>
      </c>
      <c r="Q140" s="194">
        <f>IFERROR(VLOOKUP(A140,[1]Energiindhold!$A$2:$C$11,3,FALSE),IFERROR(VLOOKUP(A140,[1]Biogasudbytte!$A$2:$B$18,2,FALSE)*[1]Energiindhold!$C$10,0))*O140</f>
        <v>0.41136713692401788</v>
      </c>
      <c r="R140" s="194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4">
        <f>IFERROR(VLOOKUP(A140,[1]Biogasudbytte!$A$2:$B$18,2,FALSE)*[1]Energiindhold!$C$10,0)*J140*IFERROR(VLOOKUP(A140,Biogasanlæg!$F$3:$G$8,2,FALSE),1)</f>
        <v>1.6454685476960718</v>
      </c>
      <c r="T140" s="195">
        <f t="shared" si="25"/>
        <v>0.41136713692401772</v>
      </c>
      <c r="U140" s="193">
        <f>O140*IFERROR(VLOOKUP(A140,[1]Tørstofindhold!A$2:B$25,2,FALSE),0)</f>
        <v>49461.991173405477</v>
      </c>
      <c r="V140" s="194">
        <f>IF(D140=År1,P140,SUM(O140,P140))*IFERROR(VLOOKUP(A140,[1]Tørstofindhold!A$2:B$25,2,FALSE),0)</f>
        <v>247309.95586702743</v>
      </c>
      <c r="W140" s="194">
        <f>J140*IFERROR(VLOOKUP(A140,[1]Tørstofindhold!A$2:B$25,2,FALSE),0)</f>
        <v>197847.96469362194</v>
      </c>
      <c r="X140" s="195">
        <f t="shared" si="26"/>
        <v>49461.991173405491</v>
      </c>
      <c r="Y140" s="173">
        <f t="shared" si="43"/>
        <v>0</v>
      </c>
      <c r="Z140" s="104">
        <f t="shared" si="44"/>
        <v>1</v>
      </c>
    </row>
    <row r="141" spans="1:26" x14ac:dyDescent="0.25">
      <c r="A141" s="196" t="str">
        <f t="shared" si="45"/>
        <v>Svinegylle</v>
      </c>
      <c r="B141" s="196" t="str">
        <f t="shared" si="46"/>
        <v>Husdyrgødning</v>
      </c>
      <c r="C141" s="196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6">
        <f t="shared" si="35"/>
        <v>2050</v>
      </c>
      <c r="E141" s="194" t="s">
        <v>24</v>
      </c>
      <c r="F141" s="197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4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11545833.414063649</v>
      </c>
      <c r="K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2886458.3535159114</v>
      </c>
      <c r="L141" s="197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9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6">
        <f t="shared" si="23"/>
        <v>0</v>
      </c>
      <c r="O141" s="197">
        <f t="shared" si="39"/>
        <v>0</v>
      </c>
      <c r="P141" s="207">
        <f t="shared" si="24"/>
        <v>11545833.414063649</v>
      </c>
      <c r="Q141" s="194">
        <f>IFERROR(VLOOKUP(A141,[1]Energiindhold!$A$2:$C$11,3,FALSE),IFERROR(VLOOKUP(A141,[1]Biogasudbytte!$A$2:$B$18,2,FALSE)*[1]Energiindhold!$C$10,0))*O141</f>
        <v>0</v>
      </c>
      <c r="R141" s="194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4.9739450347786214</v>
      </c>
      <c r="S141" s="194">
        <f>IFERROR(VLOOKUP(A141,[1]Biogasudbytte!$A$2:$B$18,2,FALSE)*[1]Energiindhold!$C$10,0)*J141*IFERROR(VLOOKUP(A141,Biogasanlæg!$F$3:$G$8,2,FALSE),1)</f>
        <v>4.9739450347786214</v>
      </c>
      <c r="T141" s="195">
        <f t="shared" si="25"/>
        <v>0</v>
      </c>
      <c r="U141" s="193">
        <f>O141*IFERROR(VLOOKUP(A141,[1]Tørstofindhold!A$2:B$25,2,FALSE),0)</f>
        <v>0</v>
      </c>
      <c r="V141" s="194">
        <f>IF(D141=År1,P141,SUM(O141,P141))*IFERROR(VLOOKUP(A141,[1]Tørstofindhold!A$2:B$25,2,FALSE),0)</f>
        <v>577291.67070318246</v>
      </c>
      <c r="W141" s="194">
        <f>J141*IFERROR(VLOOKUP(A141,[1]Tørstofindhold!A$2:B$25,2,FALSE),0)</f>
        <v>577291.67070318246</v>
      </c>
      <c r="X141" s="195">
        <f t="shared" si="26"/>
        <v>0</v>
      </c>
      <c r="Y141" s="173">
        <f t="shared" si="43"/>
        <v>0</v>
      </c>
      <c r="Z141" s="104">
        <f t="shared" si="44"/>
        <v>0</v>
      </c>
    </row>
    <row r="142" spans="1:26" x14ac:dyDescent="0.25">
      <c r="A142" s="196" t="str">
        <f t="shared" si="45"/>
        <v>Svinekød</v>
      </c>
      <c r="B142" s="196" t="str">
        <f t="shared" si="46"/>
        <v/>
      </c>
      <c r="C142" s="196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6">
        <f t="shared" si="35"/>
        <v>2050</v>
      </c>
      <c r="E142" s="194" t="s">
        <v>24</v>
      </c>
      <c r="F142" s="197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4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7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9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6">
        <f t="shared" si="23"/>
        <v>1213523.7829408473</v>
      </c>
      <c r="O142" s="197">
        <f t="shared" si="39"/>
        <v>0</v>
      </c>
      <c r="P142" s="207">
        <f t="shared" si="24"/>
        <v>0</v>
      </c>
      <c r="Q142" s="194">
        <f>IFERROR(VLOOKUP(A142,[1]Energiindhold!$A$2:$C$11,3,FALSE),IFERROR(VLOOKUP(A142,[1]Biogasudbytte!$A$2:$B$18,2,FALSE)*[1]Energiindhold!$C$10,0))*O142</f>
        <v>0</v>
      </c>
      <c r="R142" s="194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4">
        <f>IFERROR(VLOOKUP(A142,[1]Biogasudbytte!$A$2:$B$18,2,FALSE)*[1]Energiindhold!$C$10,0)*J142*IFERROR(VLOOKUP(A142,Biogasanlæg!$F$3:$G$8,2,FALSE),1)</f>
        <v>0</v>
      </c>
      <c r="T142" s="195">
        <f t="shared" si="25"/>
        <v>0</v>
      </c>
      <c r="U142" s="193">
        <f>O142*IFERROR(VLOOKUP(A142,[1]Tørstofindhold!A$2:B$25,2,FALSE),0)</f>
        <v>0</v>
      </c>
      <c r="V142" s="194">
        <f>IF(D142=År1,P142,SUM(O142,P142))*IFERROR(VLOOKUP(A142,[1]Tørstofindhold!A$2:B$25,2,FALSE),0)</f>
        <v>0</v>
      </c>
      <c r="W142" s="194">
        <f>J142*IFERROR(VLOOKUP(A142,[1]Tørstofindhold!A$2:B$25,2,FALSE),0)</f>
        <v>0</v>
      </c>
      <c r="X142" s="195">
        <f t="shared" si="26"/>
        <v>0</v>
      </c>
      <c r="Y142" s="173">
        <f t="shared" si="43"/>
        <v>0</v>
      </c>
      <c r="Z142" s="104">
        <f t="shared" si="44"/>
        <v>1</v>
      </c>
    </row>
    <row r="143" spans="1:26" x14ac:dyDescent="0.25">
      <c r="A143" s="196" t="str">
        <f t="shared" si="45"/>
        <v>Tang</v>
      </c>
      <c r="B143" s="196" t="str">
        <f t="shared" si="46"/>
        <v>Havbiomasse</v>
      </c>
      <c r="C143" s="196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6">
        <f t="shared" si="35"/>
        <v>2050</v>
      </c>
      <c r="E143" s="194" t="s">
        <v>24</v>
      </c>
      <c r="F143" s="197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9726.8074687720582</v>
      </c>
      <c r="H143" s="194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7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9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6">
        <f t="shared" si="23"/>
        <v>3773.1925312279418</v>
      </c>
      <c r="O143" s="197">
        <f t="shared" si="39"/>
        <v>3773.1925312279418</v>
      </c>
      <c r="P143" s="207">
        <f t="shared" si="24"/>
        <v>0</v>
      </c>
      <c r="Q143" s="194">
        <f>IFERROR(VLOOKUP(A143,[1]Energiindhold!$A$2:$C$11,3,FALSE),IFERROR(VLOOKUP(A143,[1]Biogasudbytte!$A$2:$B$18,2,FALSE)*[1]Energiindhold!$C$10,0))*O143</f>
        <v>3.3864402967770783E-3</v>
      </c>
      <c r="R143" s="194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3.3864402967770783E-3</v>
      </c>
      <c r="S143" s="194">
        <f>IFERROR(VLOOKUP(A143,[1]Biogasudbytte!$A$2:$B$18,2,FALSE)*[1]Energiindhold!$C$10,0)*J143*IFERROR(VLOOKUP(A143,Biogasanlæg!$F$3:$G$8,2,FALSE),1)</f>
        <v>0</v>
      </c>
      <c r="T143" s="195">
        <f t="shared" si="25"/>
        <v>3.3864402967770783E-3</v>
      </c>
      <c r="U143" s="193">
        <f>O143*IFERROR(VLOOKUP(A143,[1]Tørstofindhold!A$2:B$25,2,FALSE),0)</f>
        <v>565.97887968419127</v>
      </c>
      <c r="V143" s="194">
        <f>IF(D143=År1,P143,SUM(O143,P143))*IFERROR(VLOOKUP(A143,[1]Tørstofindhold!A$2:B$25,2,FALSE),0)</f>
        <v>565.97887968419127</v>
      </c>
      <c r="W143" s="194">
        <f>J143*IFERROR(VLOOKUP(A143,[1]Tørstofindhold!A$2:B$25,2,FALSE),0)</f>
        <v>0</v>
      </c>
      <c r="X143" s="195">
        <f t="shared" si="26"/>
        <v>565.97887968419127</v>
      </c>
      <c r="Y143" s="173">
        <f t="shared" si="43"/>
        <v>0</v>
      </c>
      <c r="Z143" s="104">
        <f t="shared" si="44"/>
        <v>1</v>
      </c>
    </row>
    <row r="144" spans="1:26" x14ac:dyDescent="0.25">
      <c r="A144" s="196" t="str">
        <f t="shared" si="45"/>
        <v>Total til biogas</v>
      </c>
      <c r="B144" s="196" t="str">
        <f t="shared" si="46"/>
        <v/>
      </c>
      <c r="C144" s="196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6">
        <f t="shared" si="35"/>
        <v>2050</v>
      </c>
      <c r="E144" s="194" t="s">
        <v>24</v>
      </c>
      <c r="F144" s="197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4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7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9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6">
        <f t="shared" si="23"/>
        <v>0</v>
      </c>
      <c r="O144" s="197">
        <f t="shared" si="39"/>
        <v>0</v>
      </c>
      <c r="P144" s="207">
        <f t="shared" si="24"/>
        <v>0</v>
      </c>
      <c r="Q144" s="194">
        <f>IFERROR(VLOOKUP(A144,[1]Energiindhold!$A$2:$C$11,3,FALSE),IFERROR(VLOOKUP(A144,[1]Biogasudbytte!$A$2:$B$18,2,FALSE)*[1]Energiindhold!$C$10,0))*O144</f>
        <v>0</v>
      </c>
      <c r="R144" s="194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4">
        <f>IFERROR(VLOOKUP(A144,[1]Biogasudbytte!$A$2:$B$18,2,FALSE)*[1]Energiindhold!$C$10,0)*J144*IFERROR(VLOOKUP(A144,Biogasanlæg!$F$3:$G$8,2,FALSE),1)</f>
        <v>0</v>
      </c>
      <c r="T144" s="195">
        <f t="shared" si="25"/>
        <v>0</v>
      </c>
      <c r="U144" s="193">
        <f>O144*IFERROR(VLOOKUP(A144,[1]Tørstofindhold!A$2:B$25,2,FALSE),0)</f>
        <v>0</v>
      </c>
      <c r="V144" s="194">
        <f>IF(D144=År1,P144,SUM(O144,P144))*IFERROR(VLOOKUP(A144,[1]Tørstofindhold!A$2:B$25,2,FALSE),0)</f>
        <v>0</v>
      </c>
      <c r="W144" s="194">
        <f>J144*IFERROR(VLOOKUP(A144,[1]Tørstofindhold!A$2:B$25,2,FALSE),0)</f>
        <v>0</v>
      </c>
      <c r="X144" s="195">
        <f t="shared" si="26"/>
        <v>0</v>
      </c>
      <c r="Y144" s="173">
        <f t="shared" si="43"/>
        <v>0</v>
      </c>
      <c r="Z144" s="104">
        <f t="shared" si="44"/>
        <v>0</v>
      </c>
    </row>
    <row r="145" spans="1:26" x14ac:dyDescent="0.25">
      <c r="A145" s="196" t="str">
        <f t="shared" si="45"/>
        <v>Træ til energi</v>
      </c>
      <c r="B145" s="196" t="str">
        <f t="shared" si="46"/>
        <v>Vedmasse</v>
      </c>
      <c r="C145" s="196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6">
        <f t="shared" si="35"/>
        <v>2050</v>
      </c>
      <c r="E145" s="194" t="s">
        <v>24</v>
      </c>
      <c r="F145" s="197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2094078.7176866641</v>
      </c>
      <c r="G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4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7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2094078.7176866641</v>
      </c>
      <c r="M145" s="159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6">
        <f t="shared" si="23"/>
        <v>0</v>
      </c>
      <c r="O145" s="197">
        <f t="shared" si="39"/>
        <v>0</v>
      </c>
      <c r="P145" s="207">
        <f t="shared" si="24"/>
        <v>2094078.7176866641</v>
      </c>
      <c r="Q145" s="194">
        <f>IFERROR(VLOOKUP(A145,[1]Energiindhold!$A$2:$C$11,3,FALSE),IFERROR(VLOOKUP(A145,[1]Biogasudbytte!$A$2:$B$18,2,FALSE)*[1]Energiindhold!$C$10,0))*O145</f>
        <v>0</v>
      </c>
      <c r="R145" s="194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30.350674178438894</v>
      </c>
      <c r="S145" s="194">
        <f>IFERROR(VLOOKUP(A145,[1]Biogasudbytte!$A$2:$B$18,2,FALSE)*[1]Energiindhold!$C$10,0)*J145*IFERROR(VLOOKUP(A145,Biogasanlæg!$F$3:$G$8,2,FALSE),1)</f>
        <v>0</v>
      </c>
      <c r="T145" s="195">
        <f t="shared" si="25"/>
        <v>30.350674178438894</v>
      </c>
      <c r="U145" s="193">
        <f>O145*IFERROR(VLOOKUP(A145,[1]Tørstofindhold!A$2:B$25,2,FALSE),0)</f>
        <v>0</v>
      </c>
      <c r="V145" s="194">
        <f>IF(D145=År1,P145,SUM(O145,P145))*IFERROR(VLOOKUP(A145,[1]Tørstofindhold!A$2:B$25,2,FALSE),0)</f>
        <v>1035696.4324558625</v>
      </c>
      <c r="W145" s="194">
        <f>J145*IFERROR(VLOOKUP(A145,[1]Tørstofindhold!A$2:B$25,2,FALSE),0)</f>
        <v>0</v>
      </c>
      <c r="X145" s="195">
        <f t="shared" si="26"/>
        <v>1035696.4324558625</v>
      </c>
      <c r="Y145" s="173">
        <f t="shared" si="43"/>
        <v>0</v>
      </c>
      <c r="Z145" s="104">
        <f t="shared" si="44"/>
        <v>0</v>
      </c>
    </row>
    <row r="146" spans="1:26" x14ac:dyDescent="0.25">
      <c r="A146" s="196" t="str">
        <f t="shared" si="45"/>
        <v>Træmaterialer</v>
      </c>
      <c r="B146" s="196" t="str">
        <f t="shared" si="46"/>
        <v/>
      </c>
      <c r="C146" s="196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6">
        <f t="shared" si="35"/>
        <v>2050</v>
      </c>
      <c r="E146" s="194" t="s">
        <v>24</v>
      </c>
      <c r="F146" s="197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594445.36947787507</v>
      </c>
      <c r="G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4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7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9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6">
        <f t="shared" si="23"/>
        <v>594445.36947787507</v>
      </c>
      <c r="O146" s="197">
        <f t="shared" si="39"/>
        <v>0</v>
      </c>
      <c r="P146" s="207">
        <f t="shared" si="24"/>
        <v>0</v>
      </c>
      <c r="Q146" s="194">
        <f>IFERROR(VLOOKUP(A146,[1]Energiindhold!$A$2:$C$11,3,FALSE),IFERROR(VLOOKUP(A146,[1]Biogasudbytte!$A$2:$B$18,2,FALSE)*[1]Energiindhold!$C$10,0))*O146</f>
        <v>0</v>
      </c>
      <c r="R146" s="194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4">
        <f>IFERROR(VLOOKUP(A146,[1]Biogasudbytte!$A$2:$B$18,2,FALSE)*[1]Energiindhold!$C$10,0)*J146*IFERROR(VLOOKUP(A146,Biogasanlæg!$F$3:$G$8,2,FALSE),1)</f>
        <v>0</v>
      </c>
      <c r="T146" s="195">
        <f t="shared" si="25"/>
        <v>0</v>
      </c>
      <c r="U146" s="193">
        <f>O146*IFERROR(VLOOKUP(A146,[1]Tørstofindhold!A$2:B$25,2,FALSE),0)</f>
        <v>0</v>
      </c>
      <c r="V146" s="194">
        <f>IF(D146=År1,P146,SUM(O146,P146))*IFERROR(VLOOKUP(A146,[1]Tørstofindhold!A$2:B$25,2,FALSE),0)</f>
        <v>0</v>
      </c>
      <c r="W146" s="194">
        <f>J146*IFERROR(VLOOKUP(A146,[1]Tørstofindhold!A$2:B$25,2,FALSE),0)</f>
        <v>0</v>
      </c>
      <c r="X146" s="195">
        <f t="shared" si="26"/>
        <v>0</v>
      </c>
      <c r="Y146" s="173">
        <f t="shared" si="43"/>
        <v>0</v>
      </c>
      <c r="Z146" s="104">
        <f t="shared" si="44"/>
        <v>1</v>
      </c>
    </row>
    <row r="147" spans="1:26" x14ac:dyDescent="0.25">
      <c r="A147" s="196" t="s">
        <v>15</v>
      </c>
      <c r="B147" s="196"/>
      <c r="C147" s="196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6">
        <f t="shared" ref="D147:D194" si="47">År1</f>
        <v>2019</v>
      </c>
      <c r="E147" s="194" t="s">
        <v>25</v>
      </c>
      <c r="F147" s="197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4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7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9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6">
        <f t="shared" si="23"/>
        <v>-8430.5352358472264</v>
      </c>
      <c r="O147" s="197">
        <f t="shared" si="39"/>
        <v>0</v>
      </c>
      <c r="P147" s="207">
        <f t="shared" si="24"/>
        <v>0</v>
      </c>
      <c r="Q147" s="194">
        <f>IFERROR(VLOOKUP(A147,[1]Energiindhold!$A$2:$C$11,3,FALSE),IFERROR(VLOOKUP(A147,[1]Biogasudbytte!$A$2:$B$18,2,FALSE)*[1]Energiindhold!$C$10,0))*O147</f>
        <v>0</v>
      </c>
      <c r="R147" s="194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4">
        <f>IFERROR(VLOOKUP(A147,[1]Biogasudbytte!$A$2:$B$18,2,FALSE)*[1]Energiindhold!$C$10,0)*J147*IFERROR(VLOOKUP(A147,Biogasanlæg!$F$3:$G$8,2,FALSE),1)</f>
        <v>0</v>
      </c>
      <c r="T147" s="195">
        <f t="shared" si="25"/>
        <v>0</v>
      </c>
      <c r="U147" s="193">
        <f>O147*IFERROR(VLOOKUP(A147,[1]Tørstofindhold!A$2:B$25,2,FALSE),0)</f>
        <v>0</v>
      </c>
      <c r="V147" s="194">
        <f>IF(D147=År1,P147,SUM(O147,P147))*IFERROR(VLOOKUP(A147,[1]Tørstofindhold!A$2:B$25,2,FALSE),0)</f>
        <v>0</v>
      </c>
      <c r="W147" s="194">
        <f>J147*IFERROR(VLOOKUP(A147,[1]Tørstofindhold!A$2:B$25,2,FALSE),0)</f>
        <v>0</v>
      </c>
      <c r="X147" s="195">
        <f t="shared" si="26"/>
        <v>0</v>
      </c>
      <c r="Y147" s="173">
        <f t="shared" si="43"/>
        <v>0</v>
      </c>
      <c r="Z147" s="104">
        <f t="shared" si="44"/>
        <v>1</v>
      </c>
    </row>
    <row r="148" spans="1:26" x14ac:dyDescent="0.25">
      <c r="A148" s="196" t="s">
        <v>50</v>
      </c>
      <c r="B148" s="196"/>
      <c r="C148" s="196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6">
        <f t="shared" si="47"/>
        <v>2019</v>
      </c>
      <c r="E148" s="194" t="s">
        <v>25</v>
      </c>
      <c r="F148" s="197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4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7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9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6">
        <f t="shared" si="23"/>
        <v>19123.155694952475</v>
      </c>
      <c r="O148" s="197">
        <f t="shared" si="39"/>
        <v>0</v>
      </c>
      <c r="P148" s="207">
        <f t="shared" si="24"/>
        <v>0</v>
      </c>
      <c r="Q148" s="194">
        <f>IFERROR(VLOOKUP(A148,[1]Energiindhold!$A$2:$C$11,3,FALSE),IFERROR(VLOOKUP(A148,[1]Biogasudbytte!$A$2:$B$18,2,FALSE)*[1]Energiindhold!$C$10,0))*O148</f>
        <v>0</v>
      </c>
      <c r="R148" s="194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4">
        <f>IFERROR(VLOOKUP(A148,[1]Biogasudbytte!$A$2:$B$18,2,FALSE)*[1]Energiindhold!$C$10,0)*J148*IFERROR(VLOOKUP(A148,Biogasanlæg!$F$3:$G$8,2,FALSE),1)</f>
        <v>0</v>
      </c>
      <c r="T148" s="195">
        <f t="shared" si="25"/>
        <v>0</v>
      </c>
      <c r="U148" s="193">
        <f>O148*IFERROR(VLOOKUP(A148,[1]Tørstofindhold!A$2:B$25,2,FALSE),0)</f>
        <v>0</v>
      </c>
      <c r="V148" s="194">
        <f>IF(D148=År1,P148,SUM(O148,P148))*IFERROR(VLOOKUP(A148,[1]Tørstofindhold!A$2:B$25,2,FALSE),0)</f>
        <v>0</v>
      </c>
      <c r="W148" s="194">
        <f>J148*IFERROR(VLOOKUP(A148,[1]Tørstofindhold!A$2:B$25,2,FALSE),0)</f>
        <v>0</v>
      </c>
      <c r="X148" s="195">
        <f t="shared" si="26"/>
        <v>0</v>
      </c>
      <c r="Y148" s="173">
        <f t="shared" si="43"/>
        <v>0</v>
      </c>
      <c r="Z148" s="104">
        <f t="shared" si="44"/>
        <v>1</v>
      </c>
    </row>
    <row r="149" spans="1:26" x14ac:dyDescent="0.25">
      <c r="A149" s="196" t="s">
        <v>104</v>
      </c>
      <c r="B149" s="196" t="s">
        <v>242</v>
      </c>
      <c r="C149" s="196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6">
        <f t="shared" si="47"/>
        <v>2019</v>
      </c>
      <c r="E149" s="194" t="s">
        <v>25</v>
      </c>
      <c r="F149" s="197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4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7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7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9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6">
        <f t="shared" ca="1" si="23"/>
        <v>-170507.33327986751</v>
      </c>
      <c r="O149" s="197">
        <f t="shared" ca="1" si="39"/>
        <v>0</v>
      </c>
      <c r="P149" s="207">
        <f t="shared" ca="1" si="24"/>
        <v>335590.35573220561</v>
      </c>
      <c r="Q149" s="194">
        <f ca="1">IFERROR(VLOOKUP(A149,[1]Energiindhold!$A$2:$C$11,3,FALSE),IFERROR(VLOOKUP(A149,[1]Biogasudbytte!$A$2:$B$18,2,FALSE)*[1]Energiindhold!$C$10,0))*O149</f>
        <v>0</v>
      </c>
      <c r="R149" s="194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4">
        <f ca="1">IFERROR(VLOOKUP(A149,[1]Biogasudbytte!$A$2:$B$18,2,FALSE)*[1]Energiindhold!$C$10,0)*J149*IFERROR(VLOOKUP(A149,Biogasanlæg!$F$3:$G$8,2,FALSE),1)</f>
        <v>1.0289935249628479</v>
      </c>
      <c r="T149" s="195">
        <f t="shared" ca="1" si="25"/>
        <v>0</v>
      </c>
      <c r="U149" s="193">
        <f ca="1">O149*IFERROR(VLOOKUP(A149,[1]Tørstofindhold!A$2:B$25,2,FALSE),0)</f>
        <v>0</v>
      </c>
      <c r="V149" s="194">
        <f ca="1">IF(D149=År1,P149,SUM(O149,P149))*IFERROR(VLOOKUP(A149,[1]Tørstofindhold!A$2:B$25,2,FALSE),0)</f>
        <v>93965.299605017586</v>
      </c>
      <c r="W149" s="194">
        <f ca="1">J149*IFERROR(VLOOKUP(A149,[1]Tørstofindhold!A$2:B$25,2,FALSE),0)</f>
        <v>93965.299605017586</v>
      </c>
      <c r="X149" s="195">
        <f t="shared" ca="1" si="26"/>
        <v>0</v>
      </c>
      <c r="Y149" s="173">
        <f t="shared" ca="1" si="43"/>
        <v>1</v>
      </c>
      <c r="Z149" s="104">
        <f t="shared" ca="1" si="44"/>
        <v>0</v>
      </c>
    </row>
    <row r="150" spans="1:26" x14ac:dyDescent="0.25">
      <c r="A150" s="196" t="s">
        <v>112</v>
      </c>
      <c r="B150" s="196"/>
      <c r="C150" s="196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6">
        <f t="shared" si="47"/>
        <v>2019</v>
      </c>
      <c r="E150" s="194" t="s">
        <v>25</v>
      </c>
      <c r="F150" s="197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4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7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9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6">
        <f t="shared" ref="N150:N215" ca="1" si="48">F150-SUM(G150:M150)</f>
        <v>0</v>
      </c>
      <c r="O150" s="197">
        <f t="shared" ca="1" si="39"/>
        <v>0</v>
      </c>
      <c r="P150" s="207">
        <f t="shared" ref="P150:P215" ca="1" si="49">SUM(J150,L150)</f>
        <v>109319364.5235112</v>
      </c>
      <c r="Q150" s="194">
        <f ca="1">IFERROR(VLOOKUP(A150,[1]Energiindhold!$A$2:$C$11,3,FALSE),IFERROR(VLOOKUP(A150,[1]Biogasudbytte!$A$2:$B$18,2,FALSE)*[1]Energiindhold!$C$10,0))*O150</f>
        <v>0</v>
      </c>
      <c r="R150" s="194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4">
        <f>IFERROR(VLOOKUP(A150,[1]Biogasudbytte!$A$2:$B$18,2,FALSE)*[1]Energiindhold!$C$10,0)*J150*IFERROR(VLOOKUP(A150,Biogasanlæg!$F$3:$G$8,2,FALSE),1)</f>
        <v>0</v>
      </c>
      <c r="T150" s="195">
        <f t="shared" ref="T150:T215" si="50">R150-S150</f>
        <v>0</v>
      </c>
      <c r="U150" s="193">
        <f ca="1">O150*IFERROR(VLOOKUP(A150,[1]Tørstofindhold!A$2:B$25,2,FALSE),0)</f>
        <v>0</v>
      </c>
      <c r="V150" s="194">
        <f ca="1">IF(D150=År1,P150,SUM(O150,P150))*IFERROR(VLOOKUP(A150,[1]Tørstofindhold!A$2:B$25,2,FALSE),0)</f>
        <v>0</v>
      </c>
      <c r="W150" s="194">
        <f>J150*IFERROR(VLOOKUP(A150,[1]Tørstofindhold!A$2:B$25,2,FALSE),0)</f>
        <v>0</v>
      </c>
      <c r="X150" s="195">
        <f t="shared" ref="X150:X215" ca="1" si="51">V150-W150</f>
        <v>0</v>
      </c>
      <c r="Y150" s="173">
        <f t="shared" ca="1" si="43"/>
        <v>0</v>
      </c>
      <c r="Z150" s="104">
        <f t="shared" ca="1" si="44"/>
        <v>0</v>
      </c>
    </row>
    <row r="151" spans="1:26" x14ac:dyDescent="0.25">
      <c r="A151" s="196" t="s">
        <v>113</v>
      </c>
      <c r="B151" s="196"/>
      <c r="C151" s="196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6">
        <f t="shared" si="47"/>
        <v>2019</v>
      </c>
      <c r="E151" s="194" t="s">
        <v>25</v>
      </c>
      <c r="F151" s="197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4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7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7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9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6">
        <f t="shared" ca="1" si="48"/>
        <v>661163.5565235524</v>
      </c>
      <c r="O151" s="197">
        <f t="shared" si="39"/>
        <v>0</v>
      </c>
      <c r="P151" s="207">
        <f t="shared" si="49"/>
        <v>0</v>
      </c>
      <c r="Q151" s="194">
        <f>IFERROR(VLOOKUP(A151,[1]Energiindhold!$A$2:$C$11,3,FALSE),IFERROR(VLOOKUP(A151,[1]Biogasudbytte!$A$2:$B$18,2,FALSE)*[1]Energiindhold!$C$10,0))*O151</f>
        <v>0</v>
      </c>
      <c r="R151" s="194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4">
        <f>IFERROR(VLOOKUP(A151,[1]Biogasudbytte!$A$2:$B$18,2,FALSE)*[1]Energiindhold!$C$10,0)*J151*IFERROR(VLOOKUP(A151,Biogasanlæg!$F$3:$G$8,2,FALSE),1)</f>
        <v>0</v>
      </c>
      <c r="T151" s="195">
        <f t="shared" si="50"/>
        <v>0</v>
      </c>
      <c r="U151" s="193">
        <f>O151*IFERROR(VLOOKUP(A151,[1]Tørstofindhold!A$2:B$25,2,FALSE),0)</f>
        <v>0</v>
      </c>
      <c r="V151" s="194">
        <f>IF(D151=År1,P151,SUM(O151,P151))*IFERROR(VLOOKUP(A151,[1]Tørstofindhold!A$2:B$25,2,FALSE),0)</f>
        <v>0</v>
      </c>
      <c r="W151" s="194">
        <f>J151*IFERROR(VLOOKUP(A151,[1]Tørstofindhold!A$2:B$25,2,FALSE),0)</f>
        <v>0</v>
      </c>
      <c r="X151" s="195">
        <f t="shared" si="51"/>
        <v>0</v>
      </c>
      <c r="Y151" s="173">
        <f t="shared" ca="1" si="43"/>
        <v>0</v>
      </c>
      <c r="Z151" s="104">
        <f t="shared" ca="1" si="44"/>
        <v>1</v>
      </c>
    </row>
    <row r="152" spans="1:26" x14ac:dyDescent="0.25">
      <c r="A152" s="196" t="s">
        <v>217</v>
      </c>
      <c r="B152" s="196" t="s">
        <v>242</v>
      </c>
      <c r="C152" s="196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6">
        <f t="shared" si="47"/>
        <v>2019</v>
      </c>
      <c r="E152" s="194" t="s">
        <v>25</v>
      </c>
      <c r="F152" s="197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4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7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9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6">
        <f t="shared" si="48"/>
        <v>0</v>
      </c>
      <c r="O152" s="197">
        <f t="shared" si="39"/>
        <v>0</v>
      </c>
      <c r="P152" s="207">
        <f t="shared" si="49"/>
        <v>0</v>
      </c>
      <c r="Q152" s="194">
        <f>IFERROR(VLOOKUP(A152,[1]Energiindhold!$A$2:$C$11,3,FALSE),IFERROR(VLOOKUP(A152,[1]Biogasudbytte!$A$2:$B$18,2,FALSE)*[1]Energiindhold!$C$10,0))*O152</f>
        <v>0</v>
      </c>
      <c r="R152" s="194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4">
        <f>IFERROR(VLOOKUP(A152,[1]Biogasudbytte!$A$2:$B$18,2,FALSE)*[1]Energiindhold!$C$10,0)*J152*IFERROR(VLOOKUP(A152,Biogasanlæg!$F$3:$G$8,2,FALSE),1)</f>
        <v>0</v>
      </c>
      <c r="T152" s="195">
        <f t="shared" si="50"/>
        <v>0</v>
      </c>
      <c r="U152" s="193">
        <f>O152*IFERROR(VLOOKUP(A152,[1]Tørstofindhold!A$2:B$25,2,FALSE),0)</f>
        <v>0</v>
      </c>
      <c r="V152" s="194">
        <f>IF(D152=År1,P152,SUM(O152,P152))*IFERROR(VLOOKUP(A152,[1]Tørstofindhold!A$2:B$25,2,FALSE),0)</f>
        <v>0</v>
      </c>
      <c r="W152" s="194">
        <f>J152*IFERROR(VLOOKUP(A152,[1]Tørstofindhold!A$2:B$25,2,FALSE),0)</f>
        <v>0</v>
      </c>
      <c r="X152" s="195">
        <f t="shared" si="51"/>
        <v>0</v>
      </c>
      <c r="Y152" s="173">
        <f t="shared" si="43"/>
        <v>0</v>
      </c>
      <c r="Z152" s="104">
        <f t="shared" si="44"/>
        <v>0</v>
      </c>
    </row>
    <row r="153" spans="1:26" x14ac:dyDescent="0.25">
      <c r="A153" s="194" t="s">
        <v>103</v>
      </c>
      <c r="B153" s="196" t="s">
        <v>234</v>
      </c>
      <c r="C153" s="196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6">
        <f t="shared" si="47"/>
        <v>2019</v>
      </c>
      <c r="E153" s="194" t="s">
        <v>25</v>
      </c>
      <c r="F153" s="197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4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7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9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6">
        <f t="shared" si="48"/>
        <v>153410.57659836096</v>
      </c>
      <c r="O153" s="197">
        <f t="shared" si="39"/>
        <v>153410.57659836096</v>
      </c>
      <c r="P153" s="207">
        <f t="shared" si="49"/>
        <v>85892.328449707566</v>
      </c>
      <c r="Q153" s="194">
        <f>IFERROR(VLOOKUP(A153,[1]Energiindhold!$A$2:$C$11,3,FALSE),IFERROR(VLOOKUP(A153,[1]Biogasudbytte!$A$2:$B$18,2,FALSE)*[1]Energiindhold!$C$10,0))*O153</f>
        <v>0.33044638199286952</v>
      </c>
      <c r="R153" s="194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4">
        <f>IFERROR(VLOOKUP(A153,[1]Biogasudbytte!$A$2:$B$18,2,FALSE)*[1]Energiindhold!$C$10,0)*J153*IFERROR(VLOOKUP(A153,Biogasanlæg!$F$3:$G$8,2,FALSE),1)</f>
        <v>0.18501207548067011</v>
      </c>
      <c r="T153" s="195">
        <f t="shared" si="50"/>
        <v>0</v>
      </c>
      <c r="U153" s="193">
        <f>O153*IFERROR(VLOOKUP(A153,[1]Tørstofindhold!A$2:B$25,2,FALSE),0)</f>
        <v>46023.172979508287</v>
      </c>
      <c r="V153" s="194">
        <f>IF(D153=År1,P153,SUM(O153,P153))*IFERROR(VLOOKUP(A153,[1]Tørstofindhold!A$2:B$25,2,FALSE),0)</f>
        <v>25767.69853491227</v>
      </c>
      <c r="W153" s="194">
        <f>J153*IFERROR(VLOOKUP(A153,[1]Tørstofindhold!A$2:B$25,2,FALSE),0)</f>
        <v>25767.69853491227</v>
      </c>
      <c r="X153" s="195">
        <f t="shared" si="51"/>
        <v>0</v>
      </c>
      <c r="Y153" s="173">
        <f t="shared" si="43"/>
        <v>0</v>
      </c>
      <c r="Z153" s="104">
        <f t="shared" si="44"/>
        <v>1</v>
      </c>
    </row>
    <row r="154" spans="1:26" x14ac:dyDescent="0.25">
      <c r="A154" s="194" t="s">
        <v>213</v>
      </c>
      <c r="B154" s="196"/>
      <c r="C154" s="196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6">
        <f t="shared" si="47"/>
        <v>2019</v>
      </c>
      <c r="E154" s="194" t="s">
        <v>25</v>
      </c>
      <c r="F154" s="197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4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7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9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6">
        <f t="shared" si="48"/>
        <v>0</v>
      </c>
      <c r="O154" s="197">
        <f t="shared" si="39"/>
        <v>0</v>
      </c>
      <c r="P154" s="207">
        <f t="shared" si="49"/>
        <v>0</v>
      </c>
      <c r="Q154" s="194">
        <f>IFERROR(VLOOKUP(A154,[1]Energiindhold!$A$2:$C$11,3,FALSE),IFERROR(VLOOKUP(A154,[1]Biogasudbytte!$A$2:$B$18,2,FALSE)*[1]Energiindhold!$C$10,0))*O154</f>
        <v>0</v>
      </c>
      <c r="R154" s="194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4">
        <f>IFERROR(VLOOKUP(A154,[1]Biogasudbytte!$A$2:$B$18,2,FALSE)*[1]Energiindhold!$C$10,0)*J154*IFERROR(VLOOKUP(A154,Biogasanlæg!$F$3:$G$8,2,FALSE),1)</f>
        <v>0</v>
      </c>
      <c r="T154" s="195">
        <f t="shared" si="50"/>
        <v>0</v>
      </c>
      <c r="U154" s="193">
        <f>O154*IFERROR(VLOOKUP(A154,[1]Tørstofindhold!A$2:B$25,2,FALSE),0)</f>
        <v>0</v>
      </c>
      <c r="V154" s="194">
        <f>IF(D154=År1,P154,SUM(O154,P154))*IFERROR(VLOOKUP(A154,[1]Tørstofindhold!A$2:B$25,2,FALSE),0)</f>
        <v>0</v>
      </c>
      <c r="W154" s="194">
        <f>J154*IFERROR(VLOOKUP(A154,[1]Tørstofindhold!A$2:B$25,2,FALSE),0)</f>
        <v>0</v>
      </c>
      <c r="X154" s="195">
        <f t="shared" si="51"/>
        <v>0</v>
      </c>
      <c r="Y154" s="173">
        <f t="shared" si="43"/>
        <v>0</v>
      </c>
      <c r="Z154" s="104">
        <f t="shared" si="44"/>
        <v>0</v>
      </c>
    </row>
    <row r="155" spans="1:26" x14ac:dyDescent="0.25">
      <c r="A155" s="194" t="s">
        <v>143</v>
      </c>
      <c r="B155" s="196" t="s">
        <v>234</v>
      </c>
      <c r="C155" s="196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6">
        <f t="shared" si="47"/>
        <v>2019</v>
      </c>
      <c r="E155" s="194" t="s">
        <v>25</v>
      </c>
      <c r="F155" s="197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4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7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9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6">
        <f t="shared" si="48"/>
        <v>82.011356759878481</v>
      </c>
      <c r="O155" s="197">
        <f t="shared" si="39"/>
        <v>82.011356759878481</v>
      </c>
      <c r="P155" s="207">
        <f t="shared" si="49"/>
        <v>337.693821952441</v>
      </c>
      <c r="Q155" s="194">
        <f>IFERROR(VLOOKUP(A155,[1]Energiindhold!$A$2:$C$11,3,FALSE),IFERROR(VLOOKUP(A155,[1]Biogasudbytte!$A$2:$B$18,2,FALSE)*[1]Energiindhold!$C$10,0))*O155</f>
        <v>3.8569120970603255E-5</v>
      </c>
      <c r="R155" s="194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4">
        <f>IFERROR(VLOOKUP(A155,[1]Biogasudbytte!$A$2:$B$18,2,FALSE)*[1]Energiindhold!$C$10,0)*J155*IFERROR(VLOOKUP(A155,Biogasanlæg!$F$3:$G$8,2,FALSE),1)</f>
        <v>1.5881402752601349E-4</v>
      </c>
      <c r="T155" s="195">
        <f t="shared" si="50"/>
        <v>0</v>
      </c>
      <c r="U155" s="193">
        <f>O155*IFERROR(VLOOKUP(A155,[1]Tørstofindhold!A$2:B$25,2,FALSE),0)</f>
        <v>5.1667154758723441</v>
      </c>
      <c r="V155" s="194">
        <f>IF(D155=År1,P155,SUM(O155,P155))*IFERROR(VLOOKUP(A155,[1]Tørstofindhold!A$2:B$25,2,FALSE),0)</f>
        <v>21.274710783003783</v>
      </c>
      <c r="W155" s="194">
        <f>J155*IFERROR(VLOOKUP(A155,[1]Tørstofindhold!A$2:B$25,2,FALSE),0)</f>
        <v>21.274710783003783</v>
      </c>
      <c r="X155" s="195">
        <f t="shared" si="51"/>
        <v>0</v>
      </c>
      <c r="Y155" s="173">
        <f t="shared" si="43"/>
        <v>0</v>
      </c>
      <c r="Z155" s="104">
        <f t="shared" si="44"/>
        <v>1</v>
      </c>
    </row>
    <row r="156" spans="1:26" x14ac:dyDescent="0.25">
      <c r="A156" s="194" t="s">
        <v>98</v>
      </c>
      <c r="B156" s="196"/>
      <c r="C156" s="196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6">
        <f t="shared" si="47"/>
        <v>2019</v>
      </c>
      <c r="E156" s="194" t="s">
        <v>25</v>
      </c>
      <c r="F156" s="197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4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7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9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6">
        <f t="shared" si="48"/>
        <v>-13151.581373695415</v>
      </c>
      <c r="O156" s="197">
        <f t="shared" si="39"/>
        <v>0</v>
      </c>
      <c r="P156" s="207">
        <f t="shared" si="49"/>
        <v>0</v>
      </c>
      <c r="Q156" s="194">
        <f>IFERROR(VLOOKUP(A156,[1]Energiindhold!$A$2:$C$11,3,FALSE),IFERROR(VLOOKUP(A156,[1]Biogasudbytte!$A$2:$B$18,2,FALSE)*[1]Energiindhold!$C$10,0))*O156</f>
        <v>0</v>
      </c>
      <c r="R156" s="194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4">
        <f>IFERROR(VLOOKUP(A156,[1]Biogasudbytte!$A$2:$B$18,2,FALSE)*[1]Energiindhold!$C$10,0)*J156*IFERROR(VLOOKUP(A156,Biogasanlæg!$F$3:$G$8,2,FALSE),1)</f>
        <v>0</v>
      </c>
      <c r="T156" s="195">
        <f t="shared" si="50"/>
        <v>0</v>
      </c>
      <c r="U156" s="193">
        <f>O156*IFERROR(VLOOKUP(A156,[1]Tørstofindhold!A$2:B$25,2,FALSE),0)</f>
        <v>0</v>
      </c>
      <c r="V156" s="194">
        <f>IF(D156=År1,P156,SUM(O156,P156))*IFERROR(VLOOKUP(A156,[1]Tørstofindhold!A$2:B$25,2,FALSE),0)</f>
        <v>0</v>
      </c>
      <c r="W156" s="194">
        <f>J156*IFERROR(VLOOKUP(A156,[1]Tørstofindhold!A$2:B$25,2,FALSE),0)</f>
        <v>0</v>
      </c>
      <c r="X156" s="195">
        <f t="shared" si="51"/>
        <v>0</v>
      </c>
      <c r="Y156" s="173">
        <f t="shared" si="43"/>
        <v>0</v>
      </c>
      <c r="Z156" s="104">
        <f t="shared" si="44"/>
        <v>1</v>
      </c>
    </row>
    <row r="157" spans="1:26" x14ac:dyDescent="0.25">
      <c r="A157" s="194" t="s">
        <v>116</v>
      </c>
      <c r="B157" s="196"/>
      <c r="C157" s="196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6">
        <f t="shared" si="47"/>
        <v>2019</v>
      </c>
      <c r="E157" s="194" t="s">
        <v>25</v>
      </c>
      <c r="F157" s="197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4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7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9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6">
        <f t="shared" si="48"/>
        <v>612515.4514426298</v>
      </c>
      <c r="O157" s="197">
        <f t="shared" si="39"/>
        <v>0</v>
      </c>
      <c r="P157" s="207">
        <f t="shared" si="49"/>
        <v>0</v>
      </c>
      <c r="Q157" s="194">
        <f>IFERROR(VLOOKUP(A157,[1]Energiindhold!$A$2:$C$11,3,FALSE),IFERROR(VLOOKUP(A157,[1]Biogasudbytte!$A$2:$B$18,2,FALSE)*[1]Energiindhold!$C$10,0))*O157</f>
        <v>0</v>
      </c>
      <c r="R157" s="194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4">
        <f>IFERROR(VLOOKUP(A157,[1]Biogasudbytte!$A$2:$B$18,2,FALSE)*[1]Energiindhold!$C$10,0)*J157*IFERROR(VLOOKUP(A157,Biogasanlæg!$F$3:$G$8,2,FALSE),1)</f>
        <v>0</v>
      </c>
      <c r="T157" s="195">
        <f t="shared" si="50"/>
        <v>0</v>
      </c>
      <c r="U157" s="193">
        <f>O157*IFERROR(VLOOKUP(A157,[1]Tørstofindhold!A$2:B$25,2,FALSE),0)</f>
        <v>0</v>
      </c>
      <c r="V157" s="194">
        <f>IF(D157=År1,P157,SUM(O157,P157))*IFERROR(VLOOKUP(A157,[1]Tørstofindhold!A$2:B$25,2,FALSE),0)</f>
        <v>0</v>
      </c>
      <c r="W157" s="194">
        <f>J157*IFERROR(VLOOKUP(A157,[1]Tørstofindhold!A$2:B$25,2,FALSE),0)</f>
        <v>0</v>
      </c>
      <c r="X157" s="195">
        <f t="shared" si="51"/>
        <v>0</v>
      </c>
      <c r="Y157" s="173">
        <f t="shared" si="43"/>
        <v>0</v>
      </c>
      <c r="Z157" s="104">
        <f t="shared" si="44"/>
        <v>1</v>
      </c>
    </row>
    <row r="158" spans="1:26" x14ac:dyDescent="0.25">
      <c r="A158" s="194" t="s">
        <v>55</v>
      </c>
      <c r="B158" s="196"/>
      <c r="C158" s="196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6">
        <f t="shared" si="47"/>
        <v>2019</v>
      </c>
      <c r="E158" s="194" t="s">
        <v>25</v>
      </c>
      <c r="F158" s="197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4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7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9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6">
        <f t="shared" si="48"/>
        <v>-196999.76656780957</v>
      </c>
      <c r="O158" s="197">
        <f t="shared" si="39"/>
        <v>0</v>
      </c>
      <c r="P158" s="207">
        <f t="shared" si="49"/>
        <v>0</v>
      </c>
      <c r="Q158" s="194">
        <f>IFERROR(VLOOKUP(A158,[1]Energiindhold!$A$2:$C$11,3,FALSE),IFERROR(VLOOKUP(A158,[1]Biogasudbytte!$A$2:$B$18,2,FALSE)*[1]Energiindhold!$C$10,0))*O158</f>
        <v>0</v>
      </c>
      <c r="R158" s="194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4">
        <f>IFERROR(VLOOKUP(A158,[1]Biogasudbytte!$A$2:$B$18,2,FALSE)*[1]Energiindhold!$C$10,0)*J158*IFERROR(VLOOKUP(A158,Biogasanlæg!$F$3:$G$8,2,FALSE),1)</f>
        <v>0</v>
      </c>
      <c r="T158" s="195">
        <f t="shared" si="50"/>
        <v>0</v>
      </c>
      <c r="U158" s="193">
        <f>O158*IFERROR(VLOOKUP(A158,[1]Tørstofindhold!A$2:B$25,2,FALSE),0)</f>
        <v>0</v>
      </c>
      <c r="V158" s="194">
        <f>IF(D158=År1,P158,SUM(O158,P158))*IFERROR(VLOOKUP(A158,[1]Tørstofindhold!A$2:B$25,2,FALSE),0)</f>
        <v>0</v>
      </c>
      <c r="W158" s="194">
        <f>J158*IFERROR(VLOOKUP(A158,[1]Tørstofindhold!A$2:B$25,2,FALSE),0)</f>
        <v>0</v>
      </c>
      <c r="X158" s="195">
        <f t="shared" si="51"/>
        <v>0</v>
      </c>
      <c r="Y158" s="173">
        <f t="shared" si="43"/>
        <v>1</v>
      </c>
      <c r="Z158" s="104">
        <f t="shared" si="44"/>
        <v>0</v>
      </c>
    </row>
    <row r="159" spans="1:26" x14ac:dyDescent="0.25">
      <c r="A159" s="196" t="s">
        <v>165</v>
      </c>
      <c r="B159" s="196" t="s">
        <v>165</v>
      </c>
      <c r="C159" s="196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6">
        <f t="shared" si="47"/>
        <v>2019</v>
      </c>
      <c r="E159" s="194" t="s">
        <v>25</v>
      </c>
      <c r="F159" s="197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4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7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9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6">
        <f t="shared" si="48"/>
        <v>-28548.400000000001</v>
      </c>
      <c r="O159" s="197">
        <f t="shared" si="39"/>
        <v>0</v>
      </c>
      <c r="P159" s="207">
        <f t="shared" si="49"/>
        <v>28548.400000000001</v>
      </c>
      <c r="Q159" s="194">
        <f>IFERROR(VLOOKUP(A159,[1]Energiindhold!$A$2:$C$11,3,FALSE),IFERROR(VLOOKUP(A159,[1]Biogasudbytte!$A$2:$B$18,2,FALSE)*[1]Energiindhold!$C$10,0))*O159</f>
        <v>0</v>
      </c>
      <c r="R159" s="194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4">
        <f>IFERROR(VLOOKUP(A159,[1]Biogasudbytte!$A$2:$B$18,2,FALSE)*[1]Energiindhold!$C$10,0)*J159*IFERROR(VLOOKUP(A159,Biogasanlæg!$F$3:$G$8,2,FALSE),1)</f>
        <v>0.43389639740160008</v>
      </c>
      <c r="T159" s="195">
        <f t="shared" si="50"/>
        <v>0</v>
      </c>
      <c r="U159" s="193">
        <f>O159*IFERROR(VLOOKUP(A159,[1]Tørstofindhold!A$2:B$25,2,FALSE),0)</f>
        <v>0</v>
      </c>
      <c r="V159" s="194">
        <f>IF(D159=År1,P159,SUM(O159,P159))*IFERROR(VLOOKUP(A159,[1]Tørstofindhold!A$2:B$25,2,FALSE),0)</f>
        <v>25693.56</v>
      </c>
      <c r="W159" s="194">
        <f>J159*IFERROR(VLOOKUP(A159,[1]Tørstofindhold!A$2:B$25,2,FALSE),0)</f>
        <v>25693.56</v>
      </c>
      <c r="X159" s="195">
        <f t="shared" si="51"/>
        <v>0</v>
      </c>
      <c r="Y159" s="173">
        <f t="shared" si="43"/>
        <v>1</v>
      </c>
      <c r="Z159" s="104">
        <f t="shared" si="44"/>
        <v>0</v>
      </c>
    </row>
    <row r="160" spans="1:26" x14ac:dyDescent="0.25">
      <c r="A160" s="196" t="s">
        <v>52</v>
      </c>
      <c r="B160" s="196" t="s">
        <v>236</v>
      </c>
      <c r="C160" s="196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6">
        <f t="shared" si="47"/>
        <v>2019</v>
      </c>
      <c r="E160" s="194" t="s">
        <v>25</v>
      </c>
      <c r="F160" s="197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4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7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9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6">
        <f t="shared" si="48"/>
        <v>567828.21491337055</v>
      </c>
      <c r="O160" s="197">
        <f t="shared" si="39"/>
        <v>567828.21491337055</v>
      </c>
      <c r="P160" s="207">
        <f t="shared" si="49"/>
        <v>9930.836100337272</v>
      </c>
      <c r="Q160" s="194">
        <f>IFERROR(VLOOKUP(A160,[1]Energiindhold!$A$2:$C$11,3,FALSE),IFERROR(VLOOKUP(A160,[1]Biogasudbytte!$A$2:$B$18,2,FALSE)*[1]Energiindhold!$C$10,0))*O160</f>
        <v>1.0447329369137377</v>
      </c>
      <c r="R160" s="194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4">
        <f>IFERROR(VLOOKUP(A160,[1]Biogasudbytte!$A$2:$B$18,2,FALSE)*[1]Energiindhold!$C$10,0)*J160*IFERROR(VLOOKUP(A160,Biogasanlæg!$F$3:$G$8,2,FALSE),1)</f>
        <v>1.8271497070108039E-2</v>
      </c>
      <c r="T160" s="195">
        <f t="shared" si="50"/>
        <v>0</v>
      </c>
      <c r="U160" s="193">
        <f>O160*IFERROR(VLOOKUP(A160,[1]Tørstofindhold!A$2:B$25,2,FALSE),0)</f>
        <v>158991.90017574377</v>
      </c>
      <c r="V160" s="194">
        <f>IF(D160=År1,P160,SUM(O160,P160))*IFERROR(VLOOKUP(A160,[1]Tørstofindhold!A$2:B$25,2,FALSE),0)</f>
        <v>2780.6341080944362</v>
      </c>
      <c r="W160" s="194">
        <f>J160*IFERROR(VLOOKUP(A160,[1]Tørstofindhold!A$2:B$25,2,FALSE),0)</f>
        <v>2780.6341080944362</v>
      </c>
      <c r="X160" s="195">
        <f t="shared" si="51"/>
        <v>0</v>
      </c>
      <c r="Y160" s="173">
        <f t="shared" si="43"/>
        <v>0</v>
      </c>
      <c r="Z160" s="104">
        <f t="shared" si="44"/>
        <v>1</v>
      </c>
    </row>
    <row r="161" spans="1:26" x14ac:dyDescent="0.25">
      <c r="A161" s="196" t="s">
        <v>212</v>
      </c>
      <c r="B161" s="196"/>
      <c r="C161" s="196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6">
        <f t="shared" si="47"/>
        <v>2019</v>
      </c>
      <c r="E161" s="194" t="s">
        <v>25</v>
      </c>
      <c r="F161" s="197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4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7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9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6">
        <f t="shared" si="48"/>
        <v>0</v>
      </c>
      <c r="O161" s="197">
        <f t="shared" si="39"/>
        <v>0</v>
      </c>
      <c r="P161" s="207">
        <f t="shared" si="49"/>
        <v>0</v>
      </c>
      <c r="Q161" s="194">
        <f>IFERROR(VLOOKUP(A161,[1]Energiindhold!$A$2:$C$11,3,FALSE),IFERROR(VLOOKUP(A161,[1]Biogasudbytte!$A$2:$B$18,2,FALSE)*[1]Energiindhold!$C$10,0))*O161</f>
        <v>0</v>
      </c>
      <c r="R161" s="194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4">
        <f>IFERROR(VLOOKUP(A161,[1]Biogasudbytte!$A$2:$B$18,2,FALSE)*[1]Energiindhold!$C$10,0)*J161*IFERROR(VLOOKUP(A161,Biogasanlæg!$F$3:$G$8,2,FALSE),1)</f>
        <v>0</v>
      </c>
      <c r="T161" s="195">
        <f t="shared" si="50"/>
        <v>0</v>
      </c>
      <c r="U161" s="193">
        <f>O161*IFERROR(VLOOKUP(A161,[1]Tørstofindhold!A$2:B$25,2,FALSE),0)</f>
        <v>0</v>
      </c>
      <c r="V161" s="194">
        <f>IF(D161=År1,P161,SUM(O161,P161))*IFERROR(VLOOKUP(A161,[1]Tørstofindhold!A$2:B$25,2,FALSE),0)</f>
        <v>0</v>
      </c>
      <c r="W161" s="194">
        <f>J161*IFERROR(VLOOKUP(A161,[1]Tørstofindhold!A$2:B$25,2,FALSE),0)</f>
        <v>0</v>
      </c>
      <c r="X161" s="195">
        <f t="shared" si="51"/>
        <v>0</v>
      </c>
      <c r="Y161" s="173">
        <f t="shared" si="43"/>
        <v>0</v>
      </c>
      <c r="Z161" s="104">
        <f t="shared" si="44"/>
        <v>0</v>
      </c>
    </row>
    <row r="162" spans="1:26" x14ac:dyDescent="0.25">
      <c r="A162" s="196" t="s">
        <v>6</v>
      </c>
      <c r="B162" s="196"/>
      <c r="C162" s="196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6">
        <f t="shared" si="47"/>
        <v>2019</v>
      </c>
      <c r="E162" s="194" t="s">
        <v>25</v>
      </c>
      <c r="F162" s="197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4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7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9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6">
        <f t="shared" si="48"/>
        <v>-126804.69555271766</v>
      </c>
      <c r="O162" s="197">
        <f t="shared" si="39"/>
        <v>0</v>
      </c>
      <c r="P162" s="207">
        <f t="shared" si="49"/>
        <v>0</v>
      </c>
      <c r="Q162" s="194">
        <f>IFERROR(VLOOKUP(A162,[1]Energiindhold!$A$2:$C$11,3,FALSE),IFERROR(VLOOKUP(A162,[1]Biogasudbytte!$A$2:$B$18,2,FALSE)*[1]Energiindhold!$C$10,0))*O162</f>
        <v>0</v>
      </c>
      <c r="R162" s="194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4">
        <f>IFERROR(VLOOKUP(A162,[1]Biogasudbytte!$A$2:$B$18,2,FALSE)*[1]Energiindhold!$C$10,0)*J162*IFERROR(VLOOKUP(A162,Biogasanlæg!$F$3:$G$8,2,FALSE),1)</f>
        <v>0</v>
      </c>
      <c r="T162" s="195">
        <f t="shared" si="50"/>
        <v>0</v>
      </c>
      <c r="U162" s="193">
        <f>O162*IFERROR(VLOOKUP(A162,[1]Tørstofindhold!A$2:B$25,2,FALSE),0)</f>
        <v>0</v>
      </c>
      <c r="V162" s="194">
        <f>IF(D162=År1,P162,SUM(O162,P162))*IFERROR(VLOOKUP(A162,[1]Tørstofindhold!A$2:B$25,2,FALSE),0)</f>
        <v>0</v>
      </c>
      <c r="W162" s="194">
        <f>J162*IFERROR(VLOOKUP(A162,[1]Tørstofindhold!A$2:B$25,2,FALSE),0)</f>
        <v>0</v>
      </c>
      <c r="X162" s="195">
        <f t="shared" si="51"/>
        <v>0</v>
      </c>
      <c r="Y162" s="173">
        <f t="shared" si="43"/>
        <v>1</v>
      </c>
      <c r="Z162" s="104">
        <f t="shared" si="44"/>
        <v>0</v>
      </c>
    </row>
    <row r="163" spans="1:26" x14ac:dyDescent="0.25">
      <c r="A163" s="196" t="s">
        <v>69</v>
      </c>
      <c r="B163" s="196" t="s">
        <v>239</v>
      </c>
      <c r="C163" s="196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6">
        <f t="shared" si="47"/>
        <v>2019</v>
      </c>
      <c r="E163" s="194" t="s">
        <v>25</v>
      </c>
      <c r="F163" s="197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4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7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9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6">
        <f t="shared" si="48"/>
        <v>0</v>
      </c>
      <c r="O163" s="197">
        <f t="shared" si="39"/>
        <v>0</v>
      </c>
      <c r="P163" s="207">
        <f t="shared" si="49"/>
        <v>756970.00635565282</v>
      </c>
      <c r="Q163" s="194">
        <f>IFERROR(VLOOKUP(A163,[1]Energiindhold!$A$2:$C$11,3,FALSE),IFERROR(VLOOKUP(A163,[1]Biogasudbytte!$A$2:$B$18,2,FALSE)*[1]Energiindhold!$C$10,0))*O163</f>
        <v>0</v>
      </c>
      <c r="R163" s="194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4">
        <f>IFERROR(VLOOKUP(A163,[1]Biogasudbytte!$A$2:$B$18,2,FALSE)*[1]Energiindhold!$C$10,0)*J163*IFERROR(VLOOKUP(A163,Biogasanlæg!$F$3:$G$8,2,FALSE),1)</f>
        <v>0.13142610267053248</v>
      </c>
      <c r="T163" s="195">
        <f t="shared" si="50"/>
        <v>7.5882895761801983</v>
      </c>
      <c r="U163" s="193">
        <f>O163*IFERROR(VLOOKUP(A163,[1]Tørstofindhold!A$2:B$25,2,FALSE),0)</f>
        <v>0</v>
      </c>
      <c r="V163" s="194">
        <f>IF(D163=År1,P163,SUM(O163,P163))*IFERROR(VLOOKUP(A163,[1]Tørstofindhold!A$2:B$25,2,FALSE),0)</f>
        <v>643424.50540230493</v>
      </c>
      <c r="W163" s="194">
        <f>J163*IFERROR(VLOOKUP(A163,[1]Tørstofindhold!A$2:B$25,2,FALSE),0)</f>
        <v>19375.841164913018</v>
      </c>
      <c r="X163" s="195">
        <f t="shared" si="51"/>
        <v>624048.6642373919</v>
      </c>
      <c r="Y163" s="173">
        <f t="shared" si="43"/>
        <v>0</v>
      </c>
      <c r="Z163" s="104">
        <f t="shared" si="44"/>
        <v>0</v>
      </c>
    </row>
    <row r="164" spans="1:26" x14ac:dyDescent="0.25">
      <c r="A164" s="196" t="s">
        <v>169</v>
      </c>
      <c r="B164" s="196" t="s">
        <v>242</v>
      </c>
      <c r="C164" s="196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6">
        <f t="shared" si="47"/>
        <v>2019</v>
      </c>
      <c r="E164" s="194" t="s">
        <v>25</v>
      </c>
      <c r="F164" s="197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4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7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9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6">
        <f t="shared" si="48"/>
        <v>0</v>
      </c>
      <c r="O164" s="197">
        <f t="shared" si="39"/>
        <v>0</v>
      </c>
      <c r="P164" s="207">
        <f t="shared" si="49"/>
        <v>452346.51233766804</v>
      </c>
      <c r="Q164" s="194">
        <f>IFERROR(VLOOKUP(A164,[1]Energiindhold!$A$2:$C$11,3,FALSE),IFERROR(VLOOKUP(A164,[1]Biogasudbytte!$A$2:$B$18,2,FALSE)*[1]Energiindhold!$C$10,0))*O164</f>
        <v>0</v>
      </c>
      <c r="R164" s="194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4">
        <f>IFERROR(VLOOKUP(A164,[1]Biogasudbytte!$A$2:$B$18,2,FALSE)*[1]Energiindhold!$C$10,0)*J164*IFERROR(VLOOKUP(A164,Biogasanlæg!$F$3:$G$8,2,FALSE),1)</f>
        <v>6.0961032399995807E-5</v>
      </c>
      <c r="T164" s="195">
        <f t="shared" si="50"/>
        <v>8.0747487919351268</v>
      </c>
      <c r="U164" s="193">
        <f>O164*IFERROR(VLOOKUP(A164,[1]Tørstofindhold!A$2:B$25,2,FALSE),0)</f>
        <v>0</v>
      </c>
      <c r="V164" s="194">
        <f>IF(D164=År1,P164,SUM(O164,P164))*IFERROR(VLOOKUP(A164,[1]Tørstofindhold!A$2:B$25,2,FALSE),0)</f>
        <v>135703.9537013004</v>
      </c>
      <c r="W164" s="194">
        <f>J164*IFERROR(VLOOKUP(A164,[1]Tørstofindhold!A$2:B$25,2,FALSE),0)</f>
        <v>10.77005642876839</v>
      </c>
      <c r="X164" s="195">
        <f t="shared" si="51"/>
        <v>135693.18364487163</v>
      </c>
      <c r="Y164" s="173">
        <f t="shared" si="43"/>
        <v>0</v>
      </c>
      <c r="Z164" s="104">
        <f t="shared" si="44"/>
        <v>0</v>
      </c>
    </row>
    <row r="165" spans="1:26" x14ac:dyDescent="0.25">
      <c r="A165" s="194" t="s">
        <v>166</v>
      </c>
      <c r="B165" s="196"/>
      <c r="C165" s="196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6">
        <f t="shared" si="47"/>
        <v>2019</v>
      </c>
      <c r="E165" s="194" t="s">
        <v>25</v>
      </c>
      <c r="F165" s="197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4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7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9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6">
        <f t="shared" si="48"/>
        <v>-592646.72642582108</v>
      </c>
      <c r="O165" s="197">
        <f t="shared" si="39"/>
        <v>0</v>
      </c>
      <c r="P165" s="207">
        <f t="shared" si="49"/>
        <v>0</v>
      </c>
      <c r="Q165" s="194">
        <f>IFERROR(VLOOKUP(A165,[1]Energiindhold!$A$2:$C$11,3,FALSE),IFERROR(VLOOKUP(A165,[1]Biogasudbytte!$A$2:$B$18,2,FALSE)*[1]Energiindhold!$C$10,0))*O165</f>
        <v>0</v>
      </c>
      <c r="R165" s="194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4">
        <f>IFERROR(VLOOKUP(A165,[1]Biogasudbytte!$A$2:$B$18,2,FALSE)*[1]Energiindhold!$C$10,0)*J165*IFERROR(VLOOKUP(A165,Biogasanlæg!$F$3:$G$8,2,FALSE),1)</f>
        <v>0</v>
      </c>
      <c r="T165" s="195">
        <f t="shared" si="50"/>
        <v>0</v>
      </c>
      <c r="U165" s="193">
        <f>O165*IFERROR(VLOOKUP(A165,[1]Tørstofindhold!A$2:B$25,2,FALSE),0)</f>
        <v>0</v>
      </c>
      <c r="V165" s="194">
        <f>IF(D165=År1,P165,SUM(O165,P165))*IFERROR(VLOOKUP(A165,[1]Tørstofindhold!A$2:B$25,2,FALSE),0)</f>
        <v>0</v>
      </c>
      <c r="W165" s="194">
        <f>J165*IFERROR(VLOOKUP(A165,[1]Tørstofindhold!A$2:B$25,2,FALSE),0)</f>
        <v>0</v>
      </c>
      <c r="X165" s="195">
        <f t="shared" si="51"/>
        <v>0</v>
      </c>
      <c r="Y165" s="173">
        <f t="shared" si="43"/>
        <v>1</v>
      </c>
      <c r="Z165" s="104">
        <f t="shared" si="44"/>
        <v>0</v>
      </c>
    </row>
    <row r="166" spans="1:26" x14ac:dyDescent="0.25">
      <c r="A166" s="196" t="s">
        <v>105</v>
      </c>
      <c r="B166" s="196" t="s">
        <v>242</v>
      </c>
      <c r="C166" s="196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6">
        <f t="shared" si="47"/>
        <v>2019</v>
      </c>
      <c r="E166" s="194" t="s">
        <v>25</v>
      </c>
      <c r="F166" s="197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4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7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9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6">
        <f t="shared" si="48"/>
        <v>-79270.498677373223</v>
      </c>
      <c r="O166" s="197">
        <f t="shared" si="39"/>
        <v>0</v>
      </c>
      <c r="P166" s="207">
        <f t="shared" si="49"/>
        <v>279550.24796430691</v>
      </c>
      <c r="Q166" s="194">
        <f>IFERROR(VLOOKUP(A166,[1]Energiindhold!$A$2:$C$11,3,FALSE),IFERROR(VLOOKUP(A166,[1]Biogasudbytte!$A$2:$B$18,2,FALSE)*[1]Energiindhold!$C$10,0))*O166</f>
        <v>0</v>
      </c>
      <c r="R166" s="194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4">
        <f>IFERROR(VLOOKUP(A166,[1]Biogasudbytte!$A$2:$B$18,2,FALSE)*[1]Energiindhold!$C$10,0)*J166*IFERROR(VLOOKUP(A166,Biogasanlæg!$F$3:$G$8,2,FALSE),1)</f>
        <v>1.0901948093654197</v>
      </c>
      <c r="T166" s="195">
        <f t="shared" si="50"/>
        <v>0</v>
      </c>
      <c r="U166" s="193">
        <f>O166*IFERROR(VLOOKUP(A166,[1]Tørstofindhold!A$2:B$25,2,FALSE),0)</f>
        <v>0</v>
      </c>
      <c r="V166" s="194">
        <f>IF(D166=År1,P166,SUM(O166,P166))*IFERROR(VLOOKUP(A166,[1]Tørstofindhold!A$2:B$25,2,FALSE),0)</f>
        <v>117411.1041450089</v>
      </c>
      <c r="W166" s="194">
        <f>J166*IFERROR(VLOOKUP(A166,[1]Tørstofindhold!A$2:B$25,2,FALSE),0)</f>
        <v>117411.1041450089</v>
      </c>
      <c r="X166" s="195">
        <f t="shared" si="51"/>
        <v>0</v>
      </c>
      <c r="Y166" s="173">
        <f t="shared" si="43"/>
        <v>1</v>
      </c>
      <c r="Z166" s="104">
        <f t="shared" si="44"/>
        <v>0</v>
      </c>
    </row>
    <row r="167" spans="1:26" x14ac:dyDescent="0.25">
      <c r="A167" s="196" t="s">
        <v>57</v>
      </c>
      <c r="B167" s="196"/>
      <c r="C167" s="196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6">
        <f t="shared" si="47"/>
        <v>2019</v>
      </c>
      <c r="E167" s="194" t="s">
        <v>25</v>
      </c>
      <c r="F167" s="197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4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7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9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6">
        <f t="shared" si="48"/>
        <v>145851.60720031991</v>
      </c>
      <c r="O167" s="197">
        <f t="shared" si="39"/>
        <v>0</v>
      </c>
      <c r="P167" s="207">
        <f t="shared" si="49"/>
        <v>0</v>
      </c>
      <c r="Q167" s="194">
        <f>IFERROR(VLOOKUP(A167,[1]Energiindhold!$A$2:$C$11,3,FALSE),IFERROR(VLOOKUP(A167,[1]Biogasudbytte!$A$2:$B$18,2,FALSE)*[1]Energiindhold!$C$10,0))*O167</f>
        <v>0</v>
      </c>
      <c r="R167" s="194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4">
        <f>IFERROR(VLOOKUP(A167,[1]Biogasudbytte!$A$2:$B$18,2,FALSE)*[1]Energiindhold!$C$10,0)*J167*IFERROR(VLOOKUP(A167,Biogasanlæg!$F$3:$G$8,2,FALSE),1)</f>
        <v>0</v>
      </c>
      <c r="T167" s="195">
        <f t="shared" si="50"/>
        <v>0</v>
      </c>
      <c r="U167" s="193">
        <f>O167*IFERROR(VLOOKUP(A167,[1]Tørstofindhold!A$2:B$25,2,FALSE),0)</f>
        <v>0</v>
      </c>
      <c r="V167" s="194">
        <f>IF(D167=År1,P167,SUM(O167,P167))*IFERROR(VLOOKUP(A167,[1]Tørstofindhold!A$2:B$25,2,FALSE),0)</f>
        <v>0</v>
      </c>
      <c r="W167" s="194">
        <f>J167*IFERROR(VLOOKUP(A167,[1]Tørstofindhold!A$2:B$25,2,FALSE),0)</f>
        <v>0</v>
      </c>
      <c r="X167" s="195">
        <f t="shared" si="51"/>
        <v>0</v>
      </c>
      <c r="Y167" s="173">
        <f t="shared" si="43"/>
        <v>0</v>
      </c>
      <c r="Z167" s="104">
        <f t="shared" si="44"/>
        <v>1</v>
      </c>
    </row>
    <row r="168" spans="1:26" x14ac:dyDescent="0.25">
      <c r="A168" s="196" t="s">
        <v>12</v>
      </c>
      <c r="B168" s="196"/>
      <c r="C168" s="196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6">
        <f t="shared" si="47"/>
        <v>2019</v>
      </c>
      <c r="E168" s="194" t="s">
        <v>25</v>
      </c>
      <c r="F168" s="197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4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7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9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6">
        <f t="shared" si="48"/>
        <v>14492.735557536857</v>
      </c>
      <c r="O168" s="197">
        <f t="shared" si="39"/>
        <v>0</v>
      </c>
      <c r="P168" s="207">
        <f t="shared" si="49"/>
        <v>0</v>
      </c>
      <c r="Q168" s="194">
        <f>IFERROR(VLOOKUP(A168,[1]Energiindhold!$A$2:$C$11,3,FALSE),IFERROR(VLOOKUP(A168,[1]Biogasudbytte!$A$2:$B$18,2,FALSE)*[1]Energiindhold!$C$10,0))*O168</f>
        <v>0</v>
      </c>
      <c r="R168" s="194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4">
        <f>IFERROR(VLOOKUP(A168,[1]Biogasudbytte!$A$2:$B$18,2,FALSE)*[1]Energiindhold!$C$10,0)*J168*IFERROR(VLOOKUP(A168,Biogasanlæg!$F$3:$G$8,2,FALSE),1)</f>
        <v>0</v>
      </c>
      <c r="T168" s="195">
        <f t="shared" si="50"/>
        <v>0</v>
      </c>
      <c r="U168" s="193">
        <f>O168*IFERROR(VLOOKUP(A168,[1]Tørstofindhold!A$2:B$25,2,FALSE),0)</f>
        <v>0</v>
      </c>
      <c r="V168" s="194">
        <f>IF(D168=År1,P168,SUM(O168,P168))*IFERROR(VLOOKUP(A168,[1]Tørstofindhold!A$2:B$25,2,FALSE),0)</f>
        <v>0</v>
      </c>
      <c r="W168" s="194">
        <f>J168*IFERROR(VLOOKUP(A168,[1]Tørstofindhold!A$2:B$25,2,FALSE),0)</f>
        <v>0</v>
      </c>
      <c r="X168" s="195">
        <f t="shared" si="51"/>
        <v>0</v>
      </c>
      <c r="Y168" s="173">
        <f t="shared" si="43"/>
        <v>0</v>
      </c>
      <c r="Z168" s="104">
        <f t="shared" si="44"/>
        <v>1</v>
      </c>
    </row>
    <row r="169" spans="1:26" x14ac:dyDescent="0.25">
      <c r="A169" s="196" t="s">
        <v>49</v>
      </c>
      <c r="B169" s="196" t="s">
        <v>239</v>
      </c>
      <c r="C169" s="196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6">
        <f t="shared" si="47"/>
        <v>2019</v>
      </c>
      <c r="E169" s="194" t="s">
        <v>25</v>
      </c>
      <c r="F169" s="197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4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7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9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6">
        <f t="shared" si="48"/>
        <v>1309065.6209408126</v>
      </c>
      <c r="O169" s="197">
        <f t="shared" si="39"/>
        <v>1309065.6209408126</v>
      </c>
      <c r="P169" s="207">
        <f t="shared" si="49"/>
        <v>945.81467090137289</v>
      </c>
      <c r="Q169" s="194">
        <f>IFERROR(VLOOKUP(A169,[1]Energiindhold!$A$2:$C$11,3,FALSE),IFERROR(VLOOKUP(A169,[1]Biogasudbytte!$A$2:$B$18,2,FALSE)*[1]Energiindhold!$C$10,0))*O169</f>
        <v>4.4833664825353523</v>
      </c>
      <c r="R169" s="194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4">
        <f>IFERROR(VLOOKUP(A169,[1]Biogasudbytte!$A$2:$B$18,2,FALSE)*[1]Energiindhold!$C$10,0)*J169*IFERROR(VLOOKUP(A169,Biogasanlæg!$F$3:$G$8,2,FALSE),1)</f>
        <v>3.2392828337832764E-3</v>
      </c>
      <c r="T169" s="195">
        <f t="shared" si="50"/>
        <v>0</v>
      </c>
      <c r="U169" s="193">
        <f>O169*IFERROR(VLOOKUP(A169,[1]Tørstofindhold!A$2:B$25,2,FALSE),0)</f>
        <v>405810.34249165189</v>
      </c>
      <c r="V169" s="194">
        <f>IF(D169=År1,P169,SUM(O169,P169))*IFERROR(VLOOKUP(A169,[1]Tørstofindhold!A$2:B$25,2,FALSE),0)</f>
        <v>293.20254797942562</v>
      </c>
      <c r="W169" s="194">
        <f>J169*IFERROR(VLOOKUP(A169,[1]Tørstofindhold!A$2:B$25,2,FALSE),0)</f>
        <v>293.20254797942562</v>
      </c>
      <c r="X169" s="195">
        <f t="shared" si="51"/>
        <v>0</v>
      </c>
      <c r="Y169" s="173">
        <f t="shared" si="43"/>
        <v>0</v>
      </c>
      <c r="Z169" s="104">
        <f t="shared" si="44"/>
        <v>1</v>
      </c>
    </row>
    <row r="170" spans="1:26" x14ac:dyDescent="0.25">
      <c r="A170" s="196" t="s">
        <v>118</v>
      </c>
      <c r="B170" s="196"/>
      <c r="C170" s="196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6">
        <f t="shared" si="47"/>
        <v>2019</v>
      </c>
      <c r="E170" s="194" t="s">
        <v>25</v>
      </c>
      <c r="F170" s="197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4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7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7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9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6">
        <f t="shared" ca="1" si="48"/>
        <v>-387847.14852834243</v>
      </c>
      <c r="O170" s="197">
        <f t="shared" si="39"/>
        <v>0</v>
      </c>
      <c r="P170" s="207">
        <f t="shared" si="49"/>
        <v>0</v>
      </c>
      <c r="Q170" s="194">
        <f>IFERROR(VLOOKUP(A170,[1]Energiindhold!$A$2:$C$11,3,FALSE),IFERROR(VLOOKUP(A170,[1]Biogasudbytte!$A$2:$B$18,2,FALSE)*[1]Energiindhold!$C$10,0))*O170</f>
        <v>0</v>
      </c>
      <c r="R170" s="194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4">
        <f>IFERROR(VLOOKUP(A170,[1]Biogasudbytte!$A$2:$B$18,2,FALSE)*[1]Energiindhold!$C$10,0)*J170*IFERROR(VLOOKUP(A170,Biogasanlæg!$F$3:$G$8,2,FALSE),1)</f>
        <v>0</v>
      </c>
      <c r="T170" s="195">
        <f t="shared" si="50"/>
        <v>0</v>
      </c>
      <c r="U170" s="193">
        <f>O170*IFERROR(VLOOKUP(A170,[1]Tørstofindhold!A$2:B$25,2,FALSE),0)</f>
        <v>0</v>
      </c>
      <c r="V170" s="194">
        <f>IF(D170=År1,P170,SUM(O170,P170))*IFERROR(VLOOKUP(A170,[1]Tørstofindhold!A$2:B$25,2,FALSE),0)</f>
        <v>0</v>
      </c>
      <c r="W170" s="194">
        <f>J170*IFERROR(VLOOKUP(A170,[1]Tørstofindhold!A$2:B$25,2,FALSE),0)</f>
        <v>0</v>
      </c>
      <c r="X170" s="195">
        <f t="shared" si="51"/>
        <v>0</v>
      </c>
      <c r="Y170" s="173">
        <f t="shared" ca="1" si="43"/>
        <v>1</v>
      </c>
      <c r="Z170" s="104">
        <f t="shared" ca="1" si="44"/>
        <v>0</v>
      </c>
    </row>
    <row r="171" spans="1:26" x14ac:dyDescent="0.25">
      <c r="A171" s="196" t="s">
        <v>142</v>
      </c>
      <c r="B171" s="196" t="s">
        <v>234</v>
      </c>
      <c r="C171" s="196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6">
        <f t="shared" si="47"/>
        <v>2019</v>
      </c>
      <c r="E171" s="194" t="s">
        <v>25</v>
      </c>
      <c r="F171" s="197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4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7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9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6">
        <f t="shared" si="48"/>
        <v>215473.21629047208</v>
      </c>
      <c r="O171" s="197">
        <f t="shared" si="39"/>
        <v>215473.21629047208</v>
      </c>
      <c r="P171" s="207">
        <f t="shared" si="49"/>
        <v>286645.05985025823</v>
      </c>
      <c r="Q171" s="194">
        <f>IFERROR(VLOOKUP(A171,[1]Energiindhold!$A$2:$C$11,3,FALSE),IFERROR(VLOOKUP(A171,[1]Biogasudbytte!$A$2:$B$18,2,FALSE)*[1]Energiindhold!$C$10,0))*O171</f>
        <v>0.10907038735407407</v>
      </c>
      <c r="R171" s="194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4">
        <f>IFERROR(VLOOKUP(A171,[1]Biogasudbytte!$A$2:$B$18,2,FALSE)*[1]Energiindhold!$C$10,0)*J171*IFERROR(VLOOKUP(A171,Biogasanlæg!$F$3:$G$8,2,FALSE),1)</f>
        <v>0.14509686284560222</v>
      </c>
      <c r="T171" s="195">
        <f t="shared" si="50"/>
        <v>0</v>
      </c>
      <c r="U171" s="193">
        <f>O171*IFERROR(VLOOKUP(A171,[1]Tørstofindhold!A$2:B$25,2,FALSE),0)</f>
        <v>16375.964438075878</v>
      </c>
      <c r="V171" s="194">
        <f>IF(D171=År1,P171,SUM(O171,P171))*IFERROR(VLOOKUP(A171,[1]Tørstofindhold!A$2:B$25,2,FALSE),0)</f>
        <v>21785.024548619625</v>
      </c>
      <c r="W171" s="194">
        <f>J171*IFERROR(VLOOKUP(A171,[1]Tørstofindhold!A$2:B$25,2,FALSE),0)</f>
        <v>21785.024548619625</v>
      </c>
      <c r="X171" s="195">
        <f t="shared" si="51"/>
        <v>0</v>
      </c>
      <c r="Y171" s="173">
        <f t="shared" si="43"/>
        <v>0</v>
      </c>
      <c r="Z171" s="104">
        <f t="shared" si="44"/>
        <v>1</v>
      </c>
    </row>
    <row r="172" spans="1:26" x14ac:dyDescent="0.25">
      <c r="A172" s="196" t="s">
        <v>111</v>
      </c>
      <c r="B172" s="196"/>
      <c r="C172" s="196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6">
        <f t="shared" si="47"/>
        <v>2019</v>
      </c>
      <c r="E172" s="194" t="s">
        <v>25</v>
      </c>
      <c r="F172" s="197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4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7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9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6">
        <f t="shared" si="48"/>
        <v>-70551.412916692323</v>
      </c>
      <c r="O172" s="197">
        <f t="shared" si="39"/>
        <v>0</v>
      </c>
      <c r="P172" s="207">
        <f t="shared" si="49"/>
        <v>0</v>
      </c>
      <c r="Q172" s="194">
        <f>IFERROR(VLOOKUP(A172,[1]Energiindhold!$A$2:$C$11,3,FALSE),IFERROR(VLOOKUP(A172,[1]Biogasudbytte!$A$2:$B$18,2,FALSE)*[1]Energiindhold!$C$10,0))*O172</f>
        <v>0</v>
      </c>
      <c r="R172" s="194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4">
        <f>IFERROR(VLOOKUP(A172,[1]Biogasudbytte!$A$2:$B$18,2,FALSE)*[1]Energiindhold!$C$10,0)*J172*IFERROR(VLOOKUP(A172,Biogasanlæg!$F$3:$G$8,2,FALSE),1)</f>
        <v>0</v>
      </c>
      <c r="T172" s="195">
        <f t="shared" si="50"/>
        <v>0</v>
      </c>
      <c r="U172" s="193">
        <f>O172*IFERROR(VLOOKUP(A172,[1]Tørstofindhold!A$2:B$25,2,FALSE),0)</f>
        <v>0</v>
      </c>
      <c r="V172" s="194">
        <f>IF(D172=År1,P172,SUM(O172,P172))*IFERROR(VLOOKUP(A172,[1]Tørstofindhold!A$2:B$25,2,FALSE),0)</f>
        <v>0</v>
      </c>
      <c r="W172" s="194">
        <f>J172*IFERROR(VLOOKUP(A172,[1]Tørstofindhold!A$2:B$25,2,FALSE),0)</f>
        <v>0</v>
      </c>
      <c r="X172" s="195">
        <f t="shared" si="51"/>
        <v>0</v>
      </c>
      <c r="Y172" s="173">
        <f t="shared" si="43"/>
        <v>0</v>
      </c>
      <c r="Z172" s="104">
        <f t="shared" si="44"/>
        <v>1</v>
      </c>
    </row>
    <row r="173" spans="1:26" x14ac:dyDescent="0.25">
      <c r="A173" s="194" t="s">
        <v>54</v>
      </c>
      <c r="B173" s="196" t="s">
        <v>236</v>
      </c>
      <c r="C173" s="196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6">
        <f t="shared" si="47"/>
        <v>2019</v>
      </c>
      <c r="E173" s="194" t="s">
        <v>25</v>
      </c>
      <c r="F173" s="197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4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7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9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6">
        <f t="shared" si="48"/>
        <v>-343401.0681058818</v>
      </c>
      <c r="O173" s="197">
        <f t="shared" si="39"/>
        <v>0</v>
      </c>
      <c r="P173" s="207">
        <f t="shared" si="49"/>
        <v>15204.565068438918</v>
      </c>
      <c r="Q173" s="194">
        <f>IFERROR(VLOOKUP(A173,[1]Energiindhold!$A$2:$C$11,3,FALSE),IFERROR(VLOOKUP(A173,[1]Biogasudbytte!$A$2:$B$18,2,FALSE)*[1]Energiindhold!$C$10,0))*O173</f>
        <v>0</v>
      </c>
      <c r="R173" s="194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4">
        <f>IFERROR(VLOOKUP(A173,[1]Biogasudbytte!$A$2:$B$18,2,FALSE)*[1]Energiindhold!$C$10,0)*J173*IFERROR(VLOOKUP(A173,Biogasanlæg!$F$3:$G$8,2,FALSE),1)</f>
        <v>5.4584388595695719E-2</v>
      </c>
      <c r="T173" s="195">
        <f t="shared" si="50"/>
        <v>0</v>
      </c>
      <c r="U173" s="193">
        <f>O173*IFERROR(VLOOKUP(A173,[1]Tørstofindhold!A$2:B$25,2,FALSE),0)</f>
        <v>0</v>
      </c>
      <c r="V173" s="194">
        <f>IF(D173=År1,P173,SUM(O173,P173))*IFERROR(VLOOKUP(A173,[1]Tørstofindhold!A$2:B$25,2,FALSE),0)</f>
        <v>4561.3695205316753</v>
      </c>
      <c r="W173" s="194">
        <f>J173*IFERROR(VLOOKUP(A173,[1]Tørstofindhold!A$2:B$25,2,FALSE),0)</f>
        <v>4561.3695205316753</v>
      </c>
      <c r="X173" s="195">
        <f t="shared" si="51"/>
        <v>0</v>
      </c>
      <c r="Y173" s="173">
        <f t="shared" si="43"/>
        <v>0</v>
      </c>
      <c r="Z173" s="104">
        <f t="shared" si="44"/>
        <v>1</v>
      </c>
    </row>
    <row r="174" spans="1:26" x14ac:dyDescent="0.25">
      <c r="A174" s="196" t="s">
        <v>119</v>
      </c>
      <c r="B174" s="196"/>
      <c r="C174" s="196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6">
        <f t="shared" si="47"/>
        <v>2019</v>
      </c>
      <c r="E174" s="194" t="s">
        <v>25</v>
      </c>
      <c r="F174" s="197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4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7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9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6">
        <f t="shared" si="48"/>
        <v>-166933.87454175885</v>
      </c>
      <c r="O174" s="197">
        <f t="shared" si="39"/>
        <v>0</v>
      </c>
      <c r="P174" s="207">
        <f t="shared" si="49"/>
        <v>0</v>
      </c>
      <c r="Q174" s="194">
        <f>IFERROR(VLOOKUP(A174,[1]Energiindhold!$A$2:$C$11,3,FALSE),IFERROR(VLOOKUP(A174,[1]Biogasudbytte!$A$2:$B$18,2,FALSE)*[1]Energiindhold!$C$10,0))*O174</f>
        <v>0</v>
      </c>
      <c r="R174" s="194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4">
        <f>IFERROR(VLOOKUP(A174,[1]Biogasudbytte!$A$2:$B$18,2,FALSE)*[1]Energiindhold!$C$10,0)*J174*IFERROR(VLOOKUP(A174,Biogasanlæg!$F$3:$G$8,2,FALSE),1)</f>
        <v>0</v>
      </c>
      <c r="T174" s="195">
        <f t="shared" si="50"/>
        <v>0</v>
      </c>
      <c r="U174" s="193">
        <f>O174*IFERROR(VLOOKUP(A174,[1]Tørstofindhold!A$2:B$25,2,FALSE),0)</f>
        <v>0</v>
      </c>
      <c r="V174" s="194">
        <f>IF(D174=År1,P174,SUM(O174,P174))*IFERROR(VLOOKUP(A174,[1]Tørstofindhold!A$2:B$25,2,FALSE),0)</f>
        <v>0</v>
      </c>
      <c r="W174" s="194">
        <f>J174*IFERROR(VLOOKUP(A174,[1]Tørstofindhold!A$2:B$25,2,FALSE),0)</f>
        <v>0</v>
      </c>
      <c r="X174" s="195">
        <f t="shared" si="51"/>
        <v>0</v>
      </c>
      <c r="Y174" s="173">
        <f t="shared" si="43"/>
        <v>0</v>
      </c>
      <c r="Z174" s="104">
        <f t="shared" si="44"/>
        <v>1</v>
      </c>
    </row>
    <row r="175" spans="1:26" x14ac:dyDescent="0.25">
      <c r="A175" s="196" t="s">
        <v>109</v>
      </c>
      <c r="B175" s="196" t="s">
        <v>238</v>
      </c>
      <c r="C175" s="196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6">
        <f t="shared" si="47"/>
        <v>2019</v>
      </c>
      <c r="E175" s="194" t="s">
        <v>25</v>
      </c>
      <c r="F175" s="197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4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7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9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6">
        <f t="shared" si="48"/>
        <v>1.1976865502381491</v>
      </c>
      <c r="O175" s="197">
        <f t="shared" si="39"/>
        <v>1.1976865502381491</v>
      </c>
      <c r="P175" s="207">
        <f t="shared" si="49"/>
        <v>0</v>
      </c>
      <c r="Q175" s="194">
        <f>IFERROR(VLOOKUP(A175,[1]Energiindhold!$A$2:$C$11,3,FALSE),IFERROR(VLOOKUP(A175,[1]Biogasudbytte!$A$2:$B$18,2,FALSE)*[1]Energiindhold!$C$10,0))*O175</f>
        <v>1.0749236788387388E-6</v>
      </c>
      <c r="R175" s="194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4">
        <f>IFERROR(VLOOKUP(A175,[1]Biogasudbytte!$A$2:$B$18,2,FALSE)*[1]Energiindhold!$C$10,0)*J175*IFERROR(VLOOKUP(A175,Biogasanlæg!$F$3:$G$8,2,FALSE),1)</f>
        <v>0</v>
      </c>
      <c r="T175" s="195">
        <f t="shared" si="50"/>
        <v>0</v>
      </c>
      <c r="U175" s="193">
        <f>O175*IFERROR(VLOOKUP(A175,[1]Tørstofindhold!A$2:B$25,2,FALSE),0)</f>
        <v>0.17965298253572234</v>
      </c>
      <c r="V175" s="194">
        <f>IF(D175=År1,P175,SUM(O175,P175))*IFERROR(VLOOKUP(A175,[1]Tørstofindhold!A$2:B$25,2,FALSE),0)</f>
        <v>0</v>
      </c>
      <c r="W175" s="194">
        <f>J175*IFERROR(VLOOKUP(A175,[1]Tørstofindhold!A$2:B$25,2,FALSE),0)</f>
        <v>0</v>
      </c>
      <c r="X175" s="195">
        <f t="shared" si="51"/>
        <v>0</v>
      </c>
      <c r="Y175" s="173">
        <f t="shared" si="43"/>
        <v>0</v>
      </c>
      <c r="Z175" s="104">
        <f t="shared" si="44"/>
        <v>1</v>
      </c>
    </row>
    <row r="176" spans="1:26" x14ac:dyDescent="0.25">
      <c r="A176" s="196" t="s">
        <v>14</v>
      </c>
      <c r="B176" s="196"/>
      <c r="C176" s="196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6">
        <f t="shared" si="47"/>
        <v>2019</v>
      </c>
      <c r="E176" s="194" t="s">
        <v>25</v>
      </c>
      <c r="F176" s="197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4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7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9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6">
        <f t="shared" si="48"/>
        <v>-41950.335705993944</v>
      </c>
      <c r="O176" s="197">
        <f t="shared" si="39"/>
        <v>0</v>
      </c>
      <c r="P176" s="207">
        <f t="shared" si="49"/>
        <v>0</v>
      </c>
      <c r="Q176" s="194">
        <f>IFERROR(VLOOKUP(A176,[1]Energiindhold!$A$2:$C$11,3,FALSE),IFERROR(VLOOKUP(A176,[1]Biogasudbytte!$A$2:$B$18,2,FALSE)*[1]Energiindhold!$C$10,0))*O176</f>
        <v>0</v>
      </c>
      <c r="R176" s="194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4">
        <f>IFERROR(VLOOKUP(A176,[1]Biogasudbytte!$A$2:$B$18,2,FALSE)*[1]Energiindhold!$C$10,0)*J176*IFERROR(VLOOKUP(A176,Biogasanlæg!$F$3:$G$8,2,FALSE),1)</f>
        <v>0</v>
      </c>
      <c r="T176" s="195">
        <f t="shared" si="50"/>
        <v>0</v>
      </c>
      <c r="U176" s="193">
        <f>O176*IFERROR(VLOOKUP(A176,[1]Tørstofindhold!A$2:B$25,2,FALSE),0)</f>
        <v>0</v>
      </c>
      <c r="V176" s="194">
        <f>IF(D176=År1,P176,SUM(O176,P176))*IFERROR(VLOOKUP(A176,[1]Tørstofindhold!A$2:B$25,2,FALSE),0)</f>
        <v>0</v>
      </c>
      <c r="W176" s="194">
        <f>J176*IFERROR(VLOOKUP(A176,[1]Tørstofindhold!A$2:B$25,2,FALSE),0)</f>
        <v>0</v>
      </c>
      <c r="X176" s="195">
        <f t="shared" si="51"/>
        <v>0</v>
      </c>
      <c r="Y176" s="173">
        <f t="shared" si="43"/>
        <v>0</v>
      </c>
      <c r="Z176" s="104">
        <f t="shared" si="44"/>
        <v>1</v>
      </c>
    </row>
    <row r="177" spans="1:26" x14ac:dyDescent="0.25">
      <c r="A177" s="196" t="s">
        <v>56</v>
      </c>
      <c r="B177" s="196"/>
      <c r="C177" s="196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6">
        <f t="shared" si="47"/>
        <v>2019</v>
      </c>
      <c r="E177" s="194" t="s">
        <v>25</v>
      </c>
      <c r="F177" s="197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4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7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9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6">
        <f t="shared" si="48"/>
        <v>396057.87190930446</v>
      </c>
      <c r="O177" s="197">
        <f t="shared" si="39"/>
        <v>0</v>
      </c>
      <c r="P177" s="207">
        <f t="shared" si="49"/>
        <v>0</v>
      </c>
      <c r="Q177" s="194">
        <f>IFERROR(VLOOKUP(A177,[1]Energiindhold!$A$2:$C$11,3,FALSE),IFERROR(VLOOKUP(A177,[1]Biogasudbytte!$A$2:$B$18,2,FALSE)*[1]Energiindhold!$C$10,0))*O177</f>
        <v>0</v>
      </c>
      <c r="R177" s="194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4">
        <f>IFERROR(VLOOKUP(A177,[1]Biogasudbytte!$A$2:$B$18,2,FALSE)*[1]Energiindhold!$C$10,0)*J177*IFERROR(VLOOKUP(A177,Biogasanlæg!$F$3:$G$8,2,FALSE),1)</f>
        <v>0</v>
      </c>
      <c r="T177" s="195">
        <f t="shared" si="50"/>
        <v>0</v>
      </c>
      <c r="U177" s="193">
        <f>O177*IFERROR(VLOOKUP(A177,[1]Tørstofindhold!A$2:B$25,2,FALSE),0)</f>
        <v>0</v>
      </c>
      <c r="V177" s="194">
        <f>IF(D177=År1,P177,SUM(O177,P177))*IFERROR(VLOOKUP(A177,[1]Tørstofindhold!A$2:B$25,2,FALSE),0)</f>
        <v>0</v>
      </c>
      <c r="W177" s="194">
        <f>J177*IFERROR(VLOOKUP(A177,[1]Tørstofindhold!A$2:B$25,2,FALSE),0)</f>
        <v>0</v>
      </c>
      <c r="X177" s="195">
        <f t="shared" si="51"/>
        <v>0</v>
      </c>
      <c r="Y177" s="173">
        <f t="shared" si="43"/>
        <v>0</v>
      </c>
      <c r="Z177" s="104">
        <f t="shared" si="44"/>
        <v>1</v>
      </c>
    </row>
    <row r="178" spans="1:26" x14ac:dyDescent="0.25">
      <c r="A178" s="196" t="s">
        <v>97</v>
      </c>
      <c r="B178" s="196" t="s">
        <v>237</v>
      </c>
      <c r="C178" s="196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6">
        <f t="shared" si="47"/>
        <v>2019</v>
      </c>
      <c r="E178" s="194" t="s">
        <v>25</v>
      </c>
      <c r="F178" s="197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4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7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9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6">
        <f t="shared" si="48"/>
        <v>0</v>
      </c>
      <c r="O178" s="197">
        <f t="shared" si="39"/>
        <v>0</v>
      </c>
      <c r="P178" s="207">
        <f t="shared" si="49"/>
        <v>37577.319945022478</v>
      </c>
      <c r="Q178" s="194">
        <f>IFERROR(VLOOKUP(A178,[1]Energiindhold!$A$2:$C$11,3,FALSE),IFERROR(VLOOKUP(A178,[1]Biogasudbytte!$A$2:$B$18,2,FALSE)*[1]Energiindhold!$C$10,0))*O178</f>
        <v>0</v>
      </c>
      <c r="R178" s="194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4">
        <f>IFERROR(VLOOKUP(A178,[1]Biogasudbytte!$A$2:$B$18,2,FALSE)*[1]Energiindhold!$C$10,0)*J178*IFERROR(VLOOKUP(A178,Biogasanlæg!$F$3:$G$8,2,FALSE),1)</f>
        <v>0</v>
      </c>
      <c r="T178" s="195">
        <f t="shared" si="50"/>
        <v>0.69142268698841347</v>
      </c>
      <c r="U178" s="193">
        <f>O178*IFERROR(VLOOKUP(A178,[1]Tørstofindhold!A$2:B$25,2,FALSE),0)</f>
        <v>0</v>
      </c>
      <c r="V178" s="194">
        <f>IF(D178=År1,P178,SUM(O178,P178))*IFERROR(VLOOKUP(A178,[1]Tørstofindhold!A$2:B$25,2,FALSE),0)</f>
        <v>15594.58777718433</v>
      </c>
      <c r="W178" s="194">
        <f>J178*IFERROR(VLOOKUP(A178,[1]Tørstofindhold!A$2:B$25,2,FALSE),0)</f>
        <v>0</v>
      </c>
      <c r="X178" s="195">
        <f t="shared" si="51"/>
        <v>15594.58777718433</v>
      </c>
      <c r="Y178" s="173">
        <f t="shared" si="43"/>
        <v>0</v>
      </c>
      <c r="Z178" s="104">
        <f t="shared" si="44"/>
        <v>0</v>
      </c>
    </row>
    <row r="179" spans="1:26" x14ac:dyDescent="0.25">
      <c r="A179" s="196" t="s">
        <v>336</v>
      </c>
      <c r="B179" s="196" t="s">
        <v>342</v>
      </c>
      <c r="C179" s="196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6">
        <f t="shared" si="47"/>
        <v>2019</v>
      </c>
      <c r="E179" s="194" t="s">
        <v>25</v>
      </c>
      <c r="F179" s="197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4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7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9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6">
        <f t="shared" ref="N179:N180" si="52">F179-SUM(G179:M179)</f>
        <v>0</v>
      </c>
      <c r="O179" s="197">
        <f t="shared" si="39"/>
        <v>0</v>
      </c>
      <c r="P179" s="207">
        <f t="shared" ref="P179:P180" si="53">SUM(J179,L179)</f>
        <v>0</v>
      </c>
      <c r="Q179" s="194">
        <f>IFERROR(VLOOKUP(A179,[1]Energiindhold!$A$2:$C$11,3,FALSE),IFERROR(VLOOKUP(A179,[1]Biogasudbytte!$A$2:$B$18,2,FALSE)*[1]Energiindhold!$C$10,0))*O179</f>
        <v>0</v>
      </c>
      <c r="R179" s="194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4">
        <f>IFERROR(VLOOKUP(A179,[1]Biogasudbytte!$A$2:$B$18,2,FALSE)*[1]Energiindhold!$C$10,0)*J179*IFERROR(VLOOKUP(A179,Biogasanlæg!$F$3:$G$8,2,FALSE),1)</f>
        <v>0</v>
      </c>
      <c r="T179" s="195">
        <f t="shared" ref="T179:T180" si="54">R179-S179</f>
        <v>0</v>
      </c>
      <c r="U179" s="193">
        <f>O179*IFERROR(VLOOKUP(A179,[1]Tørstofindhold!A$2:B$25,2,FALSE),0)</f>
        <v>0</v>
      </c>
      <c r="V179" s="194">
        <f>IF(D179=År1,P179,SUM(O179,P179))*IFERROR(VLOOKUP(A179,[1]Tørstofindhold!A$2:B$25,2,FALSE),0)</f>
        <v>0</v>
      </c>
      <c r="W179" s="194">
        <f>J179*IFERROR(VLOOKUP(A179,[1]Tørstofindhold!A$2:B$25,2,FALSE),0)</f>
        <v>0</v>
      </c>
      <c r="X179" s="195">
        <f t="shared" ref="X179:X180" si="55">V179-W179</f>
        <v>0</v>
      </c>
      <c r="Y179" s="173">
        <f t="shared" si="43"/>
        <v>0</v>
      </c>
      <c r="Z179" s="104">
        <f t="shared" si="44"/>
        <v>0</v>
      </c>
    </row>
    <row r="180" spans="1:26" x14ac:dyDescent="0.25">
      <c r="A180" s="196" t="s">
        <v>337</v>
      </c>
      <c r="B180" s="196" t="s">
        <v>342</v>
      </c>
      <c r="C180" s="196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6">
        <f t="shared" si="47"/>
        <v>2019</v>
      </c>
      <c r="E180" s="194" t="s">
        <v>25</v>
      </c>
      <c r="F180" s="197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4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7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9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6">
        <f t="shared" si="52"/>
        <v>0</v>
      </c>
      <c r="O180" s="197">
        <f t="shared" si="39"/>
        <v>0</v>
      </c>
      <c r="P180" s="207">
        <f t="shared" si="53"/>
        <v>0</v>
      </c>
      <c r="Q180" s="194">
        <f>IFERROR(VLOOKUP(A180,[1]Energiindhold!$A$2:$C$11,3,FALSE),IFERROR(VLOOKUP(A180,[1]Biogasudbytte!$A$2:$B$18,2,FALSE)*[1]Energiindhold!$C$10,0))*O180</f>
        <v>0</v>
      </c>
      <c r="R180" s="194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4">
        <f>IFERROR(VLOOKUP(A180,[1]Biogasudbytte!$A$2:$B$18,2,FALSE)*[1]Energiindhold!$C$10,0)*J180*IFERROR(VLOOKUP(A180,Biogasanlæg!$F$3:$G$8,2,FALSE),1)</f>
        <v>0</v>
      </c>
      <c r="T180" s="195">
        <f t="shared" si="54"/>
        <v>0</v>
      </c>
      <c r="U180" s="193">
        <f>O180*IFERROR(VLOOKUP(A180,[1]Tørstofindhold!A$2:B$25,2,FALSE),0)</f>
        <v>0</v>
      </c>
      <c r="V180" s="194">
        <f>IF(D180=År1,P180,SUM(O180,P180))*IFERROR(VLOOKUP(A180,[1]Tørstofindhold!A$2:B$25,2,FALSE),0)</f>
        <v>0</v>
      </c>
      <c r="W180" s="194">
        <f>J180*IFERROR(VLOOKUP(A180,[1]Tørstofindhold!A$2:B$25,2,FALSE),0)</f>
        <v>0</v>
      </c>
      <c r="X180" s="195">
        <f t="shared" si="55"/>
        <v>0</v>
      </c>
      <c r="Y180" s="173">
        <f t="shared" si="43"/>
        <v>0</v>
      </c>
      <c r="Z180" s="104">
        <f t="shared" si="44"/>
        <v>0</v>
      </c>
    </row>
    <row r="181" spans="1:26" x14ac:dyDescent="0.25">
      <c r="A181" s="196" t="s">
        <v>120</v>
      </c>
      <c r="B181" s="196"/>
      <c r="C181" s="196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6">
        <f t="shared" si="47"/>
        <v>2019</v>
      </c>
      <c r="E181" s="194" t="s">
        <v>25</v>
      </c>
      <c r="F181" s="197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4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7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9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6">
        <f t="shared" si="48"/>
        <v>346998.01962126989</v>
      </c>
      <c r="O181" s="197">
        <f t="shared" si="39"/>
        <v>0</v>
      </c>
      <c r="P181" s="207">
        <f t="shared" si="49"/>
        <v>0</v>
      </c>
      <c r="Q181" s="194">
        <f>IFERROR(VLOOKUP(A181,[1]Energiindhold!$A$2:$C$11,3,FALSE),IFERROR(VLOOKUP(A181,[1]Biogasudbytte!$A$2:$B$18,2,FALSE)*[1]Energiindhold!$C$10,0))*O181</f>
        <v>0</v>
      </c>
      <c r="R181" s="194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4">
        <f>IFERROR(VLOOKUP(A181,[1]Biogasudbytte!$A$2:$B$18,2,FALSE)*[1]Energiindhold!$C$10,0)*J181*IFERROR(VLOOKUP(A181,Biogasanlæg!$F$3:$G$8,2,FALSE),1)</f>
        <v>0</v>
      </c>
      <c r="T181" s="195">
        <f t="shared" si="50"/>
        <v>0</v>
      </c>
      <c r="U181" s="193">
        <f>O181*IFERROR(VLOOKUP(A181,[1]Tørstofindhold!A$2:B$25,2,FALSE),0)</f>
        <v>0</v>
      </c>
      <c r="V181" s="194">
        <f>IF(D181=År1,P181,SUM(O181,P181))*IFERROR(VLOOKUP(A181,[1]Tørstofindhold!A$2:B$25,2,FALSE),0)</f>
        <v>0</v>
      </c>
      <c r="W181" s="194">
        <f>J181*IFERROR(VLOOKUP(A181,[1]Tørstofindhold!A$2:B$25,2,FALSE),0)</f>
        <v>0</v>
      </c>
      <c r="X181" s="195">
        <f t="shared" si="51"/>
        <v>0</v>
      </c>
      <c r="Y181" s="173">
        <f t="shared" si="43"/>
        <v>0</v>
      </c>
      <c r="Z181" s="104">
        <f t="shared" si="44"/>
        <v>1</v>
      </c>
    </row>
    <row r="182" spans="1:26" x14ac:dyDescent="0.25">
      <c r="A182" s="194" t="s">
        <v>51</v>
      </c>
      <c r="B182" s="196"/>
      <c r="C182" s="196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6">
        <f t="shared" si="47"/>
        <v>2019</v>
      </c>
      <c r="E182" s="194" t="s">
        <v>25</v>
      </c>
      <c r="F182" s="197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4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7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9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6">
        <f t="shared" si="48"/>
        <v>0</v>
      </c>
      <c r="O182" s="197">
        <f t="shared" si="39"/>
        <v>0</v>
      </c>
      <c r="P182" s="207">
        <f t="shared" si="49"/>
        <v>0</v>
      </c>
      <c r="Q182" s="194">
        <f>IFERROR(VLOOKUP(A182,[1]Energiindhold!$A$2:$C$11,3,FALSE),IFERROR(VLOOKUP(A182,[1]Biogasudbytte!$A$2:$B$18,2,FALSE)*[1]Energiindhold!$C$10,0))*O182</f>
        <v>0</v>
      </c>
      <c r="R182" s="194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4">
        <f>IFERROR(VLOOKUP(A182,[1]Biogasudbytte!$A$2:$B$18,2,FALSE)*[1]Energiindhold!$C$10,0)*J182*IFERROR(VLOOKUP(A182,Biogasanlæg!$F$3:$G$8,2,FALSE),1)</f>
        <v>0</v>
      </c>
      <c r="T182" s="195">
        <f t="shared" si="50"/>
        <v>0</v>
      </c>
      <c r="U182" s="193">
        <f>O182*IFERROR(VLOOKUP(A182,[1]Tørstofindhold!A$2:B$25,2,FALSE),0)</f>
        <v>0</v>
      </c>
      <c r="V182" s="194">
        <f>IF(D182=År1,P182,SUM(O182,P182))*IFERROR(VLOOKUP(A182,[1]Tørstofindhold!A$2:B$25,2,FALSE),0)</f>
        <v>0</v>
      </c>
      <c r="W182" s="194">
        <f>J182*IFERROR(VLOOKUP(A182,[1]Tørstofindhold!A$2:B$25,2,FALSE),0)</f>
        <v>0</v>
      </c>
      <c r="X182" s="195">
        <f t="shared" si="51"/>
        <v>0</v>
      </c>
      <c r="Y182" s="173">
        <f t="shared" si="43"/>
        <v>0</v>
      </c>
      <c r="Z182" s="104">
        <f t="shared" si="44"/>
        <v>0</v>
      </c>
    </row>
    <row r="183" spans="1:26" x14ac:dyDescent="0.25">
      <c r="A183" s="194" t="s">
        <v>250</v>
      </c>
      <c r="B183" s="196"/>
      <c r="C183" s="196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6">
        <f t="shared" si="47"/>
        <v>2019</v>
      </c>
      <c r="E183" s="194" t="s">
        <v>25</v>
      </c>
      <c r="F183" s="197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4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7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9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6">
        <f t="shared" si="48"/>
        <v>70508.296689855866</v>
      </c>
      <c r="O183" s="197">
        <f t="shared" si="39"/>
        <v>0</v>
      </c>
      <c r="P183" s="207">
        <f t="shared" si="49"/>
        <v>0</v>
      </c>
      <c r="Q183" s="194">
        <f>IFERROR(VLOOKUP(A183,[1]Energiindhold!$A$2:$C$11,3,FALSE),IFERROR(VLOOKUP(A183,[1]Biogasudbytte!$A$2:$B$18,2,FALSE)*[1]Energiindhold!$C$10,0))*O183</f>
        <v>0</v>
      </c>
      <c r="R183" s="194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4">
        <f>IFERROR(VLOOKUP(A183,[1]Biogasudbytte!$A$2:$B$18,2,FALSE)*[1]Energiindhold!$C$10,0)*J183*IFERROR(VLOOKUP(A183,Biogasanlæg!$F$3:$G$8,2,FALSE),1)</f>
        <v>0</v>
      </c>
      <c r="T183" s="195">
        <f t="shared" si="50"/>
        <v>0</v>
      </c>
      <c r="U183" s="193">
        <f>O183*IFERROR(VLOOKUP(A183,[1]Tørstofindhold!A$2:B$25,2,FALSE),0)</f>
        <v>0</v>
      </c>
      <c r="V183" s="194">
        <f>IF(D183=År1,P183,SUM(O183,P183))*IFERROR(VLOOKUP(A183,[1]Tørstofindhold!A$2:B$25,2,FALSE),0)</f>
        <v>0</v>
      </c>
      <c r="W183" s="194">
        <f>J183*IFERROR(VLOOKUP(A183,[1]Tørstofindhold!A$2:B$25,2,FALSE),0)</f>
        <v>0</v>
      </c>
      <c r="X183" s="195">
        <f t="shared" si="51"/>
        <v>0</v>
      </c>
      <c r="Y183" s="173">
        <f t="shared" si="43"/>
        <v>0</v>
      </c>
      <c r="Z183" s="104">
        <f t="shared" si="44"/>
        <v>1</v>
      </c>
    </row>
    <row r="184" spans="1:26" x14ac:dyDescent="0.25">
      <c r="A184" s="194" t="s">
        <v>243</v>
      </c>
      <c r="B184" s="196" t="s">
        <v>243</v>
      </c>
      <c r="C184" s="196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6">
        <f t="shared" si="47"/>
        <v>2019</v>
      </c>
      <c r="E184" s="194" t="s">
        <v>25</v>
      </c>
      <c r="F184" s="197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4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7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61943.722362786721</v>
      </c>
      <c r="M184" s="159">
        <f>SUMIFS('Forbrug af biomasse'!E:E,'Forbrug af biomasse'!C:C,'Resultat-Produktion &amp; forbrug'!$A184,'Forbrug af biomasse'!D:D,'Resultat-Produktion &amp; forbrug'!$D184,'Forbrug af biomasse'!G:G,1,'Forbrug af biomasse'!B:B,$E184)</f>
        <v>0</v>
      </c>
      <c r="N184" s="206">
        <f t="shared" si="48"/>
        <v>0</v>
      </c>
      <c r="O184" s="197">
        <f t="shared" si="39"/>
        <v>0</v>
      </c>
      <c r="P184" s="207">
        <f t="shared" si="49"/>
        <v>61943.722362786721</v>
      </c>
      <c r="Q184" s="194">
        <f>IFERROR(VLOOKUP(A184,[1]Energiindhold!$A$2:$C$11,3,FALSE),IFERROR(VLOOKUP(A184,[1]Biogasudbytte!$A$2:$B$18,2,FALSE)*[1]Energiindhold!$C$10,0))*O184</f>
        <v>0</v>
      </c>
      <c r="R184" s="194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2.1680302826975351</v>
      </c>
      <c r="S184" s="194">
        <f>IFERROR(VLOOKUP(A184,[1]Biogasudbytte!$A$2:$B$18,2,FALSE)*[1]Energiindhold!$C$10,0)*J184*IFERROR(VLOOKUP(A184,Biogasanlæg!$F$3:$G$8,2,FALSE),1)</f>
        <v>0</v>
      </c>
      <c r="T184" s="195">
        <f t="shared" si="50"/>
        <v>2.1680302826975351</v>
      </c>
      <c r="U184" s="193">
        <f>O184*IFERROR(VLOOKUP(A184,[1]Tørstofindhold!A$2:B$25,2,FALSE),0)</f>
        <v>0</v>
      </c>
      <c r="V184" s="194">
        <f>IF(D184=År1,P184,SUM(O184,P184))*IFERROR(VLOOKUP(A184,[1]Tørstofindhold!A$2:B$25,2,FALSE),0)</f>
        <v>56368.787350135921</v>
      </c>
      <c r="W184" s="194">
        <f>J184*IFERROR(VLOOKUP(A184,[1]Tørstofindhold!A$2:B$25,2,FALSE),0)</f>
        <v>0</v>
      </c>
      <c r="X184" s="195">
        <f t="shared" si="51"/>
        <v>56368.787350135921</v>
      </c>
      <c r="Y184" s="173">
        <f t="shared" si="43"/>
        <v>0</v>
      </c>
      <c r="Z184" s="104">
        <f t="shared" si="44"/>
        <v>0</v>
      </c>
    </row>
    <row r="185" spans="1:26" x14ac:dyDescent="0.25">
      <c r="A185" s="194" t="s">
        <v>53</v>
      </c>
      <c r="B185" s="196" t="s">
        <v>236</v>
      </c>
      <c r="C185" s="196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6">
        <f t="shared" si="47"/>
        <v>2019</v>
      </c>
      <c r="E185" s="194" t="s">
        <v>25</v>
      </c>
      <c r="F185" s="197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4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7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9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6">
        <f t="shared" si="48"/>
        <v>2125183.9129647682</v>
      </c>
      <c r="O185" s="197">
        <f t="shared" si="39"/>
        <v>1656364.6415009145</v>
      </c>
      <c r="P185" s="207">
        <f t="shared" si="49"/>
        <v>24543.951075802775</v>
      </c>
      <c r="Q185" s="194">
        <f>IFERROR(VLOOKUP(A185,[1]Energiindhold!$A$2:$C$11,3,FALSE),IFERROR(VLOOKUP(A185,[1]Biogasudbytte!$A$2:$B$18,2,FALSE)*[1]Energiindhold!$C$10,0))*O185</f>
        <v>4.4954398916191423</v>
      </c>
      <c r="R185" s="194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4">
        <f>IFERROR(VLOOKUP(A185,[1]Biogasudbytte!$A$2:$B$18,2,FALSE)*[1]Energiindhold!$C$10,0)*J185*IFERROR(VLOOKUP(A185,Biogasanlæg!$F$3:$G$8,2,FALSE),1)</f>
        <v>6.6613264977771772E-2</v>
      </c>
      <c r="T185" s="195">
        <f t="shared" si="50"/>
        <v>0</v>
      </c>
      <c r="U185" s="193">
        <f>O185*IFERROR(VLOOKUP(A185,[1]Tørstofindhold!A$2:B$25,2,FALSE),0)</f>
        <v>331272.92830018292</v>
      </c>
      <c r="V185" s="194">
        <f>IF(D185=År1,P185,SUM(O185,P185))*IFERROR(VLOOKUP(A185,[1]Tørstofindhold!A$2:B$25,2,FALSE),0)</f>
        <v>4908.7902151605549</v>
      </c>
      <c r="W185" s="194">
        <f>J185*IFERROR(VLOOKUP(A185,[1]Tørstofindhold!A$2:B$25,2,FALSE),0)</f>
        <v>4908.7902151605549</v>
      </c>
      <c r="X185" s="195">
        <f t="shared" si="51"/>
        <v>0</v>
      </c>
      <c r="Y185" s="173">
        <f t="shared" si="43"/>
        <v>0</v>
      </c>
      <c r="Z185" s="104">
        <f t="shared" si="44"/>
        <v>1</v>
      </c>
    </row>
    <row r="186" spans="1:26" x14ac:dyDescent="0.25">
      <c r="A186" s="194" t="s">
        <v>124</v>
      </c>
      <c r="B186" s="196"/>
      <c r="C186" s="196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6">
        <f t="shared" si="47"/>
        <v>2019</v>
      </c>
      <c r="E186" s="194" t="s">
        <v>25</v>
      </c>
      <c r="F186" s="197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4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7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9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6">
        <f t="shared" si="48"/>
        <v>23179.475218292017</v>
      </c>
      <c r="O186" s="197">
        <f t="shared" si="39"/>
        <v>0</v>
      </c>
      <c r="P186" s="207">
        <f t="shared" si="49"/>
        <v>0</v>
      </c>
      <c r="Q186" s="194">
        <f>IFERROR(VLOOKUP(A186,[1]Energiindhold!$A$2:$C$11,3,FALSE),IFERROR(VLOOKUP(A186,[1]Biogasudbytte!$A$2:$B$18,2,FALSE)*[1]Energiindhold!$C$10,0))*O186</f>
        <v>0</v>
      </c>
      <c r="R186" s="194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4">
        <f>IFERROR(VLOOKUP(A186,[1]Biogasudbytte!$A$2:$B$18,2,FALSE)*[1]Energiindhold!$C$10,0)*J186*IFERROR(VLOOKUP(A186,Biogasanlæg!$F$3:$G$8,2,FALSE),1)</f>
        <v>0</v>
      </c>
      <c r="T186" s="195">
        <f t="shared" si="50"/>
        <v>0</v>
      </c>
      <c r="U186" s="193">
        <f>O186*IFERROR(VLOOKUP(A186,[1]Tørstofindhold!A$2:B$25,2,FALSE),0)</f>
        <v>0</v>
      </c>
      <c r="V186" s="194">
        <f>IF(D186=År1,P186,SUM(O186,P186))*IFERROR(VLOOKUP(A186,[1]Tørstofindhold!A$2:B$25,2,FALSE),0)</f>
        <v>0</v>
      </c>
      <c r="W186" s="194">
        <f>J186*IFERROR(VLOOKUP(A186,[1]Tørstofindhold!A$2:B$25,2,FALSE),0)</f>
        <v>0</v>
      </c>
      <c r="X186" s="195">
        <f t="shared" si="51"/>
        <v>0</v>
      </c>
      <c r="Y186" s="173">
        <f t="shared" si="43"/>
        <v>0</v>
      </c>
      <c r="Z186" s="104">
        <f t="shared" si="44"/>
        <v>1</v>
      </c>
    </row>
    <row r="187" spans="1:26" x14ac:dyDescent="0.25">
      <c r="A187" s="194" t="s">
        <v>110</v>
      </c>
      <c r="B187" s="196"/>
      <c r="C187" s="196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6">
        <f t="shared" si="47"/>
        <v>2019</v>
      </c>
      <c r="E187" s="194" t="s">
        <v>25</v>
      </c>
      <c r="F187" s="197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4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7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9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6">
        <f t="shared" si="48"/>
        <v>14085.970705770382</v>
      </c>
      <c r="O187" s="197">
        <f t="shared" si="39"/>
        <v>0</v>
      </c>
      <c r="P187" s="207">
        <f t="shared" si="49"/>
        <v>0</v>
      </c>
      <c r="Q187" s="194">
        <f>IFERROR(VLOOKUP(A187,[1]Energiindhold!$A$2:$C$11,3,FALSE),IFERROR(VLOOKUP(A187,[1]Biogasudbytte!$A$2:$B$18,2,FALSE)*[1]Energiindhold!$C$10,0))*O187</f>
        <v>0</v>
      </c>
      <c r="R187" s="194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4">
        <f>IFERROR(VLOOKUP(A187,[1]Biogasudbytte!$A$2:$B$18,2,FALSE)*[1]Energiindhold!$C$10,0)*J187*IFERROR(VLOOKUP(A187,Biogasanlæg!$F$3:$G$8,2,FALSE),1)</f>
        <v>0</v>
      </c>
      <c r="T187" s="195">
        <f t="shared" si="50"/>
        <v>0</v>
      </c>
      <c r="U187" s="193">
        <f>O187*IFERROR(VLOOKUP(A187,[1]Tørstofindhold!A$2:B$25,2,FALSE),0)</f>
        <v>0</v>
      </c>
      <c r="V187" s="194">
        <f>IF(D187=År1,P187,SUM(O187,P187))*IFERROR(VLOOKUP(A187,[1]Tørstofindhold!A$2:B$25,2,FALSE),0)</f>
        <v>0</v>
      </c>
      <c r="W187" s="194">
        <f>J187*IFERROR(VLOOKUP(A187,[1]Tørstofindhold!A$2:B$25,2,FALSE),0)</f>
        <v>0</v>
      </c>
      <c r="X187" s="195">
        <f t="shared" si="51"/>
        <v>0</v>
      </c>
      <c r="Y187" s="173">
        <f t="shared" si="43"/>
        <v>0</v>
      </c>
      <c r="Z187" s="104">
        <f t="shared" si="44"/>
        <v>1</v>
      </c>
    </row>
    <row r="188" spans="1:26" x14ac:dyDescent="0.25">
      <c r="A188" s="196" t="s">
        <v>146</v>
      </c>
      <c r="B188" s="196" t="s">
        <v>242</v>
      </c>
      <c r="C188" s="196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6">
        <f t="shared" si="47"/>
        <v>2019</v>
      </c>
      <c r="E188" s="194" t="s">
        <v>25</v>
      </c>
      <c r="F188" s="197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4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7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9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6">
        <f t="shared" si="48"/>
        <v>1978309.9489030582</v>
      </c>
      <c r="O188" s="197">
        <f t="shared" si="39"/>
        <v>1978309.9489030582</v>
      </c>
      <c r="P188" s="207">
        <f t="shared" si="49"/>
        <v>1208651.4125341829</v>
      </c>
      <c r="Q188" s="194">
        <f>IFERROR(VLOOKUP(A188,[1]Energiindhold!$A$2:$C$11,3,FALSE),IFERROR(VLOOKUP(A188,[1]Biogasudbytte!$A$2:$B$18,2,FALSE)*[1]Energiindhold!$C$10,0))*O188</f>
        <v>0.98719644760211522</v>
      </c>
      <c r="R188" s="194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4">
        <f>IFERROR(VLOOKUP(A188,[1]Biogasudbytte!$A$2:$B$18,2,FALSE)*[1]Energiindhold!$C$10,0)*J188*IFERROR(VLOOKUP(A188,Biogasanlæg!$F$3:$G$8,2,FALSE),1)</f>
        <v>0.60312914136868268</v>
      </c>
      <c r="T188" s="195">
        <f t="shared" si="50"/>
        <v>0</v>
      </c>
      <c r="U188" s="193">
        <f>O188*IFERROR(VLOOKUP(A188,[1]Tørstofindhold!A$2:B$25,2,FALSE),0)</f>
        <v>118698.59693418349</v>
      </c>
      <c r="V188" s="194">
        <f>IF(D188=År1,P188,SUM(O188,P188))*IFERROR(VLOOKUP(A188,[1]Tørstofindhold!A$2:B$25,2,FALSE),0)</f>
        <v>72519.084752050971</v>
      </c>
      <c r="W188" s="194">
        <f>J188*IFERROR(VLOOKUP(A188,[1]Tørstofindhold!A$2:B$25,2,FALSE),0)</f>
        <v>72519.084752050971</v>
      </c>
      <c r="X188" s="195">
        <f t="shared" si="51"/>
        <v>0</v>
      </c>
      <c r="Y188" s="173">
        <f t="shared" si="43"/>
        <v>0</v>
      </c>
      <c r="Z188" s="104">
        <f t="shared" si="44"/>
        <v>1</v>
      </c>
    </row>
    <row r="189" spans="1:26" x14ac:dyDescent="0.25">
      <c r="A189" s="196" t="s">
        <v>141</v>
      </c>
      <c r="B189" s="196" t="s">
        <v>234</v>
      </c>
      <c r="C189" s="196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6">
        <f t="shared" si="47"/>
        <v>2019</v>
      </c>
      <c r="E189" s="194" t="s">
        <v>25</v>
      </c>
      <c r="F189" s="197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4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7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9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6">
        <f t="shared" si="48"/>
        <v>0</v>
      </c>
      <c r="O189" s="197">
        <f t="shared" si="39"/>
        <v>0</v>
      </c>
      <c r="P189" s="207">
        <f t="shared" si="49"/>
        <v>380427.26035611134</v>
      </c>
      <c r="Q189" s="194">
        <f>IFERROR(VLOOKUP(A189,[1]Energiindhold!$A$2:$C$11,3,FALSE),IFERROR(VLOOKUP(A189,[1]Biogasudbytte!$A$2:$B$18,2,FALSE)*[1]Energiindhold!$C$10,0))*O189</f>
        <v>0</v>
      </c>
      <c r="R189" s="194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4">
        <f>IFERROR(VLOOKUP(A189,[1]Biogasudbytte!$A$2:$B$18,2,FALSE)*[1]Energiindhold!$C$10,0)*J189*IFERROR(VLOOKUP(A189,Biogasanlæg!$F$3:$G$8,2,FALSE),1)</f>
        <v>0.16388806376141279</v>
      </c>
      <c r="T189" s="195">
        <f t="shared" si="50"/>
        <v>0</v>
      </c>
      <c r="U189" s="193">
        <f>O189*IFERROR(VLOOKUP(A189,[1]Tørstofindhold!A$2:B$25,2,FALSE),0)</f>
        <v>0</v>
      </c>
      <c r="V189" s="194">
        <f>IF(D189=År1,P189,SUM(O189,P189))*IFERROR(VLOOKUP(A189,[1]Tørstofindhold!A$2:B$25,2,FALSE),0)</f>
        <v>19021.363017805568</v>
      </c>
      <c r="W189" s="194">
        <f>J189*IFERROR(VLOOKUP(A189,[1]Tørstofindhold!A$2:B$25,2,FALSE),0)</f>
        <v>19021.363017805568</v>
      </c>
      <c r="X189" s="195">
        <f t="shared" si="51"/>
        <v>0</v>
      </c>
      <c r="Y189" s="173">
        <f t="shared" si="43"/>
        <v>0</v>
      </c>
      <c r="Z189" s="104">
        <f t="shared" si="44"/>
        <v>0</v>
      </c>
    </row>
    <row r="190" spans="1:26" x14ac:dyDescent="0.25">
      <c r="A190" s="196" t="s">
        <v>13</v>
      </c>
      <c r="B190" s="196"/>
      <c r="C190" s="196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6">
        <f t="shared" si="47"/>
        <v>2019</v>
      </c>
      <c r="E190" s="194" t="s">
        <v>25</v>
      </c>
      <c r="F190" s="197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4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7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9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6">
        <f t="shared" si="48"/>
        <v>106195.08352871139</v>
      </c>
      <c r="O190" s="197">
        <f t="shared" si="39"/>
        <v>0</v>
      </c>
      <c r="P190" s="207">
        <f t="shared" si="49"/>
        <v>0</v>
      </c>
      <c r="Q190" s="194">
        <f>IFERROR(VLOOKUP(A190,[1]Energiindhold!$A$2:$C$11,3,FALSE),IFERROR(VLOOKUP(A190,[1]Biogasudbytte!$A$2:$B$18,2,FALSE)*[1]Energiindhold!$C$10,0))*O190</f>
        <v>0</v>
      </c>
      <c r="R190" s="194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4">
        <f>IFERROR(VLOOKUP(A190,[1]Biogasudbytte!$A$2:$B$18,2,FALSE)*[1]Energiindhold!$C$10,0)*J190*IFERROR(VLOOKUP(A190,Biogasanlæg!$F$3:$G$8,2,FALSE),1)</f>
        <v>0</v>
      </c>
      <c r="T190" s="195">
        <f t="shared" si="50"/>
        <v>0</v>
      </c>
      <c r="U190" s="193">
        <f>O190*IFERROR(VLOOKUP(A190,[1]Tørstofindhold!A$2:B$25,2,FALSE),0)</f>
        <v>0</v>
      </c>
      <c r="V190" s="194">
        <f>IF(D190=År1,P190,SUM(O190,P190))*IFERROR(VLOOKUP(A190,[1]Tørstofindhold!A$2:B$25,2,FALSE),0)</f>
        <v>0</v>
      </c>
      <c r="W190" s="194">
        <f>J190*IFERROR(VLOOKUP(A190,[1]Tørstofindhold!A$2:B$25,2,FALSE),0)</f>
        <v>0</v>
      </c>
      <c r="X190" s="195">
        <f t="shared" si="51"/>
        <v>0</v>
      </c>
      <c r="Y190" s="173">
        <f t="shared" si="43"/>
        <v>0</v>
      </c>
      <c r="Z190" s="104">
        <f t="shared" si="44"/>
        <v>1</v>
      </c>
    </row>
    <row r="191" spans="1:26" x14ac:dyDescent="0.25">
      <c r="A191" s="196" t="s">
        <v>101</v>
      </c>
      <c r="B191" s="196" t="s">
        <v>238</v>
      </c>
      <c r="C191" s="196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6">
        <f t="shared" si="47"/>
        <v>2019</v>
      </c>
      <c r="E191" s="194" t="s">
        <v>25</v>
      </c>
      <c r="F191" s="197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4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7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9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6">
        <f t="shared" si="48"/>
        <v>0</v>
      </c>
      <c r="O191" s="197">
        <f t="shared" si="39"/>
        <v>0</v>
      </c>
      <c r="P191" s="207">
        <f t="shared" si="49"/>
        <v>0</v>
      </c>
      <c r="Q191" s="194">
        <f>IFERROR(VLOOKUP(A191,[1]Energiindhold!$A$2:$C$11,3,FALSE),IFERROR(VLOOKUP(A191,[1]Biogasudbytte!$A$2:$B$18,2,FALSE)*[1]Energiindhold!$C$10,0))*O191</f>
        <v>0</v>
      </c>
      <c r="R191" s="194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4">
        <f>IFERROR(VLOOKUP(A191,[1]Biogasudbytte!$A$2:$B$18,2,FALSE)*[1]Energiindhold!$C$10,0)*J191*IFERROR(VLOOKUP(A191,Biogasanlæg!$F$3:$G$8,2,FALSE),1)</f>
        <v>0</v>
      </c>
      <c r="T191" s="195">
        <f t="shared" si="50"/>
        <v>0</v>
      </c>
      <c r="U191" s="193">
        <f>O191*IFERROR(VLOOKUP(A191,[1]Tørstofindhold!A$2:B$25,2,FALSE),0)</f>
        <v>0</v>
      </c>
      <c r="V191" s="194">
        <f>IF(D191=År1,P191,SUM(O191,P191))*IFERROR(VLOOKUP(A191,[1]Tørstofindhold!A$2:B$25,2,FALSE),0)</f>
        <v>0</v>
      </c>
      <c r="W191" s="194">
        <f>J191*IFERROR(VLOOKUP(A191,[1]Tørstofindhold!A$2:B$25,2,FALSE),0)</f>
        <v>0</v>
      </c>
      <c r="X191" s="195">
        <f t="shared" si="51"/>
        <v>0</v>
      </c>
      <c r="Y191" s="173">
        <f t="shared" si="43"/>
        <v>0</v>
      </c>
      <c r="Z191" s="104">
        <f t="shared" si="44"/>
        <v>1</v>
      </c>
    </row>
    <row r="192" spans="1:26" x14ac:dyDescent="0.25">
      <c r="A192" s="196" t="s">
        <v>106</v>
      </c>
      <c r="B192" s="196"/>
      <c r="C192" s="196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6">
        <f t="shared" si="47"/>
        <v>2019</v>
      </c>
      <c r="E192" s="194" t="s">
        <v>25</v>
      </c>
      <c r="F192" s="197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4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7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9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6">
        <f t="shared" si="48"/>
        <v>0</v>
      </c>
      <c r="O192" s="197">
        <f t="shared" si="39"/>
        <v>0</v>
      </c>
      <c r="P192" s="207">
        <f t="shared" si="49"/>
        <v>0</v>
      </c>
      <c r="Q192" s="194">
        <f>IFERROR(VLOOKUP(A192,[1]Energiindhold!$A$2:$C$11,3,FALSE),IFERROR(VLOOKUP(A192,[1]Biogasudbytte!$A$2:$B$18,2,FALSE)*[1]Energiindhold!$C$10,0))*O192</f>
        <v>0</v>
      </c>
      <c r="R192" s="194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4">
        <f>IFERROR(VLOOKUP(A192,[1]Biogasudbytte!$A$2:$B$18,2,FALSE)*[1]Energiindhold!$C$10,0)*J192*IFERROR(VLOOKUP(A192,Biogasanlæg!$F$3:$G$8,2,FALSE),1)</f>
        <v>0</v>
      </c>
      <c r="T192" s="195">
        <f t="shared" si="50"/>
        <v>0</v>
      </c>
      <c r="U192" s="193">
        <f>O192*IFERROR(VLOOKUP(A192,[1]Tørstofindhold!A$2:B$25,2,FALSE),0)</f>
        <v>0</v>
      </c>
      <c r="V192" s="194">
        <f>IF(D192=År1,P192,SUM(O192,P192))*IFERROR(VLOOKUP(A192,[1]Tørstofindhold!A$2:B$25,2,FALSE),0)</f>
        <v>0</v>
      </c>
      <c r="W192" s="194">
        <f>J192*IFERROR(VLOOKUP(A192,[1]Tørstofindhold!A$2:B$25,2,FALSE),0)</f>
        <v>0</v>
      </c>
      <c r="X192" s="195">
        <f t="shared" si="51"/>
        <v>0</v>
      </c>
      <c r="Y192" s="173">
        <f t="shared" si="43"/>
        <v>0</v>
      </c>
      <c r="Z192" s="104">
        <f t="shared" si="44"/>
        <v>0</v>
      </c>
    </row>
    <row r="193" spans="1:26" x14ac:dyDescent="0.25">
      <c r="A193" s="196" t="s">
        <v>122</v>
      </c>
      <c r="B193" s="196" t="s">
        <v>237</v>
      </c>
      <c r="C193" s="196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6">
        <f t="shared" si="47"/>
        <v>2019</v>
      </c>
      <c r="E193" s="194" t="s">
        <v>25</v>
      </c>
      <c r="F193" s="197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4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7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9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6">
        <f t="shared" si="48"/>
        <v>0</v>
      </c>
      <c r="O193" s="197">
        <f t="shared" si="39"/>
        <v>0</v>
      </c>
      <c r="P193" s="207">
        <f t="shared" si="49"/>
        <v>681602.85349434032</v>
      </c>
      <c r="Q193" s="194">
        <f>IFERROR(VLOOKUP(A193,[1]Energiindhold!$A$2:$C$11,3,FALSE),IFERROR(VLOOKUP(A193,[1]Biogasudbytte!$A$2:$B$18,2,FALSE)*[1]Energiindhold!$C$10,0))*O193</f>
        <v>0</v>
      </c>
      <c r="R193" s="194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4">
        <f>IFERROR(VLOOKUP(A193,[1]Biogasudbytte!$A$2:$B$18,2,FALSE)*[1]Energiindhold!$C$10,0)*J193*IFERROR(VLOOKUP(A193,Biogasanlæg!$F$3:$G$8,2,FALSE),1)</f>
        <v>0</v>
      </c>
      <c r="T193" s="195">
        <f t="shared" si="50"/>
        <v>9.878857920085288</v>
      </c>
      <c r="U193" s="193">
        <f>O193*IFERROR(VLOOKUP(A193,[1]Tørstofindhold!A$2:B$25,2,FALSE),0)</f>
        <v>0</v>
      </c>
      <c r="V193" s="194">
        <f>IF(D193=År1,P193,SUM(O193,P193))*IFERROR(VLOOKUP(A193,[1]Tørstofindhold!A$2:B$25,2,FALSE),0)</f>
        <v>337109.41129074246</v>
      </c>
      <c r="W193" s="194">
        <f>J193*IFERROR(VLOOKUP(A193,[1]Tørstofindhold!A$2:B$25,2,FALSE),0)</f>
        <v>0</v>
      </c>
      <c r="X193" s="195">
        <f t="shared" si="51"/>
        <v>337109.41129074246</v>
      </c>
      <c r="Y193" s="173">
        <f t="shared" si="43"/>
        <v>0</v>
      </c>
      <c r="Z193" s="104">
        <f t="shared" si="44"/>
        <v>0</v>
      </c>
    </row>
    <row r="194" spans="1:26" x14ac:dyDescent="0.25">
      <c r="A194" s="196" t="s">
        <v>121</v>
      </c>
      <c r="B194" s="196"/>
      <c r="C194" s="196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6">
        <f t="shared" si="47"/>
        <v>2019</v>
      </c>
      <c r="E194" s="194" t="s">
        <v>25</v>
      </c>
      <c r="F194" s="197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4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7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9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6">
        <f t="shared" si="48"/>
        <v>187413.07432328182</v>
      </c>
      <c r="O194" s="197">
        <f t="shared" si="39"/>
        <v>0</v>
      </c>
      <c r="P194" s="207">
        <f t="shared" si="49"/>
        <v>0</v>
      </c>
      <c r="Q194" s="194">
        <f>IFERROR(VLOOKUP(A194,[1]Energiindhold!$A$2:$C$11,3,FALSE),IFERROR(VLOOKUP(A194,[1]Biogasudbytte!$A$2:$B$18,2,FALSE)*[1]Energiindhold!$C$10,0))*O194</f>
        <v>0</v>
      </c>
      <c r="R194" s="194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4">
        <f>IFERROR(VLOOKUP(A194,[1]Biogasudbytte!$A$2:$B$18,2,FALSE)*[1]Energiindhold!$C$10,0)*J194*IFERROR(VLOOKUP(A194,Biogasanlæg!$F$3:$G$8,2,FALSE),1)</f>
        <v>0</v>
      </c>
      <c r="T194" s="195">
        <f t="shared" si="50"/>
        <v>0</v>
      </c>
      <c r="U194" s="193">
        <f>O194*IFERROR(VLOOKUP(A194,[1]Tørstofindhold!A$2:B$25,2,FALSE),0)</f>
        <v>0</v>
      </c>
      <c r="V194" s="194">
        <f>IF(D194=År1,P194,SUM(O194,P194))*IFERROR(VLOOKUP(A194,[1]Tørstofindhold!A$2:B$25,2,FALSE),0)</f>
        <v>0</v>
      </c>
      <c r="W194" s="194">
        <f>J194*IFERROR(VLOOKUP(A194,[1]Tørstofindhold!A$2:B$25,2,FALSE),0)</f>
        <v>0</v>
      </c>
      <c r="X194" s="195">
        <f t="shared" si="51"/>
        <v>0</v>
      </c>
      <c r="Y194" s="173">
        <f t="shared" si="43"/>
        <v>0</v>
      </c>
      <c r="Z194" s="104">
        <f t="shared" si="44"/>
        <v>1</v>
      </c>
    </row>
    <row r="195" spans="1:26" x14ac:dyDescent="0.25">
      <c r="A195" s="196" t="str">
        <f t="shared" ref="A195:A226" si="56">A147</f>
        <v>Æg</v>
      </c>
      <c r="B195" s="196" t="str">
        <f t="shared" ref="B195:B226" si="57">IF(B147&lt;&gt;"",B147,"")</f>
        <v/>
      </c>
      <c r="C195" s="196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6">
        <f t="shared" ref="D195:D242" si="58">År2</f>
        <v>2030</v>
      </c>
      <c r="E195" s="194" t="s">
        <v>25</v>
      </c>
      <c r="F195" s="197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4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7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9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6">
        <f t="shared" si="48"/>
        <v>-10265.860686730583</v>
      </c>
      <c r="O195" s="197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7">
        <f t="shared" si="49"/>
        <v>0</v>
      </c>
      <c r="Q195" s="194">
        <f>IFERROR(VLOOKUP(A195,[1]Energiindhold!$A$2:$C$11,3,FALSE),IFERROR(VLOOKUP(A195,[1]Biogasudbytte!$A$2:$B$18,2,FALSE)*[1]Energiindhold!$C$10,0))*O195</f>
        <v>0</v>
      </c>
      <c r="R195" s="194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4">
        <f>IFERROR(VLOOKUP(A195,[1]Biogasudbytte!$A$2:$B$18,2,FALSE)*[1]Energiindhold!$C$10,0)*J195*IFERROR(VLOOKUP(A195,Biogasanlæg!$F$3:$G$8,2,FALSE),1)</f>
        <v>0</v>
      </c>
      <c r="T195" s="195">
        <f t="shared" si="50"/>
        <v>0</v>
      </c>
      <c r="U195" s="193">
        <f>O195*IFERROR(VLOOKUP(A195,[1]Tørstofindhold!A$2:B$25,2,FALSE),0)</f>
        <v>0</v>
      </c>
      <c r="V195" s="194">
        <f>IF(D195=År1,P195,SUM(O195,P195))*IFERROR(VLOOKUP(A195,[1]Tørstofindhold!A$2:B$25,2,FALSE),0)</f>
        <v>0</v>
      </c>
      <c r="W195" s="194">
        <f>J195*IFERROR(VLOOKUP(A195,[1]Tørstofindhold!A$2:B$25,2,FALSE),0)</f>
        <v>0</v>
      </c>
      <c r="X195" s="195">
        <f t="shared" si="51"/>
        <v>0</v>
      </c>
      <c r="Y195" s="173">
        <f t="shared" ref="Y195:Y258" si="60">IF(SUMIFS($N$3:$N$290,$A$3:$A$290,A195,$D$3:$D$290,D195)&lt;0,1,0)</f>
        <v>0</v>
      </c>
      <c r="Z195" s="104">
        <f t="shared" ref="Z195:Z258" si="61">IF(SUMIFS($N$3:$N$290,$A$3:$A$290,A195,$D$3:$D$290,D195)&gt;0,1,0)</f>
        <v>1</v>
      </c>
    </row>
    <row r="196" spans="1:26" x14ac:dyDescent="0.25">
      <c r="A196" s="196" t="str">
        <f t="shared" si="56"/>
        <v>Bælgsæd</v>
      </c>
      <c r="B196" s="196" t="str">
        <f t="shared" si="57"/>
        <v/>
      </c>
      <c r="C196" s="196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6">
        <f t="shared" si="58"/>
        <v>2030</v>
      </c>
      <c r="E196" s="194" t="s">
        <v>25</v>
      </c>
      <c r="F196" s="197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25116.855127591796</v>
      </c>
      <c r="G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4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7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9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6">
        <f t="shared" si="48"/>
        <v>17200.238373851698</v>
      </c>
      <c r="O196" s="197">
        <f t="shared" si="59"/>
        <v>0</v>
      </c>
      <c r="P196" s="207">
        <f t="shared" si="49"/>
        <v>0</v>
      </c>
      <c r="Q196" s="194">
        <f>IFERROR(VLOOKUP(A196,[1]Energiindhold!$A$2:$C$11,3,FALSE),IFERROR(VLOOKUP(A196,[1]Biogasudbytte!$A$2:$B$18,2,FALSE)*[1]Energiindhold!$C$10,0))*O196</f>
        <v>0</v>
      </c>
      <c r="R196" s="194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4">
        <f>IFERROR(VLOOKUP(A196,[1]Biogasudbytte!$A$2:$B$18,2,FALSE)*[1]Energiindhold!$C$10,0)*J196*IFERROR(VLOOKUP(A196,Biogasanlæg!$F$3:$G$8,2,FALSE),1)</f>
        <v>0</v>
      </c>
      <c r="T196" s="195">
        <f t="shared" si="50"/>
        <v>0</v>
      </c>
      <c r="U196" s="193">
        <f>O196*IFERROR(VLOOKUP(A196,[1]Tørstofindhold!A$2:B$25,2,FALSE),0)</f>
        <v>0</v>
      </c>
      <c r="V196" s="194">
        <f>IF(D196=År1,P196,SUM(O196,P196))*IFERROR(VLOOKUP(A196,[1]Tørstofindhold!A$2:B$25,2,FALSE),0)</f>
        <v>0</v>
      </c>
      <c r="W196" s="194">
        <f>J196*IFERROR(VLOOKUP(A196,[1]Tørstofindhold!A$2:B$25,2,FALSE),0)</f>
        <v>0</v>
      </c>
      <c r="X196" s="195">
        <f t="shared" si="51"/>
        <v>0</v>
      </c>
      <c r="Y196" s="173">
        <f t="shared" si="60"/>
        <v>0</v>
      </c>
      <c r="Z196" s="104">
        <f t="shared" si="61"/>
        <v>1</v>
      </c>
    </row>
    <row r="197" spans="1:26" x14ac:dyDescent="0.25">
      <c r="A197" s="196" t="str">
        <f t="shared" si="56"/>
        <v>Bioaffald</v>
      </c>
      <c r="B197" s="196" t="str">
        <f t="shared" si="57"/>
        <v>Bionedbrydeligt affald</v>
      </c>
      <c r="C197" s="196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6">
        <f t="shared" si="58"/>
        <v>2030</v>
      </c>
      <c r="E197" s="194" t="s">
        <v>25</v>
      </c>
      <c r="F197" s="197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4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7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7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9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6">
        <f t="shared" ca="1" si="48"/>
        <v>-1.3112847955198959E-2</v>
      </c>
      <c r="O197" s="197">
        <f t="shared" ca="1" si="59"/>
        <v>0</v>
      </c>
      <c r="P197" s="207">
        <f t="shared" ca="1" si="49"/>
        <v>168912.75887120995</v>
      </c>
      <c r="Q197" s="194">
        <f ca="1">IFERROR(VLOOKUP(A197,[1]Energiindhold!$A$2:$C$11,3,FALSE),IFERROR(VLOOKUP(A197,[1]Biogasudbytte!$A$2:$B$18,2,FALSE)*[1]Energiindhold!$C$10,0))*O197</f>
        <v>0</v>
      </c>
      <c r="R197" s="194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4">
        <f ca="1">IFERROR(VLOOKUP(A197,[1]Biogasudbytte!$A$2:$B$18,2,FALSE)*[1]Energiindhold!$C$10,0)*J197*IFERROR(VLOOKUP(A197,Biogasanlæg!$F$3:$G$8,2,FALSE),1)</f>
        <v>0.51792351059332264</v>
      </c>
      <c r="T197" s="195">
        <f t="shared" ca="1" si="50"/>
        <v>0</v>
      </c>
      <c r="U197" s="193">
        <f ca="1">O197*IFERROR(VLOOKUP(A197,[1]Tørstofindhold!A$2:B$25,2,FALSE),0)</f>
        <v>0</v>
      </c>
      <c r="V197" s="194">
        <f ca="1">IF(D197=År1,P197,SUM(O197,P197))*IFERROR(VLOOKUP(A197,[1]Tørstofindhold!A$2:B$25,2,FALSE),0)</f>
        <v>47295.572483938791</v>
      </c>
      <c r="W197" s="194">
        <f ca="1">J197*IFERROR(VLOOKUP(A197,[1]Tørstofindhold!A$2:B$25,2,FALSE),0)</f>
        <v>47295.572483938791</v>
      </c>
      <c r="X197" s="195">
        <f t="shared" ca="1" si="51"/>
        <v>0</v>
      </c>
      <c r="Y197" s="173">
        <f t="shared" ca="1" si="60"/>
        <v>1</v>
      </c>
      <c r="Z197" s="104">
        <f t="shared" ca="1" si="61"/>
        <v>0</v>
      </c>
    </row>
    <row r="198" spans="1:26" x14ac:dyDescent="0.25">
      <c r="A198" s="196" t="str">
        <f t="shared" si="56"/>
        <v>Biogas</v>
      </c>
      <c r="B198" s="196" t="str">
        <f t="shared" si="57"/>
        <v/>
      </c>
      <c r="C198" s="196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6">
        <f t="shared" si="58"/>
        <v>2030</v>
      </c>
      <c r="E198" s="194" t="s">
        <v>25</v>
      </c>
      <c r="F198" s="197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125823070.82650796</v>
      </c>
      <c r="G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4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7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125823070.82650796</v>
      </c>
      <c r="M198" s="159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6">
        <f t="shared" ca="1" si="48"/>
        <v>0</v>
      </c>
      <c r="O198" s="197">
        <f t="shared" ca="1" si="59"/>
        <v>0</v>
      </c>
      <c r="P198" s="207">
        <f t="shared" ca="1" si="49"/>
        <v>125823070.82650796</v>
      </c>
      <c r="Q198" s="194">
        <f ca="1">IFERROR(VLOOKUP(A198,[1]Energiindhold!$A$2:$C$11,3,FALSE),IFERROR(VLOOKUP(A198,[1]Biogasudbytte!$A$2:$B$18,2,FALSE)*[1]Energiindhold!$C$10,0))*O198</f>
        <v>0</v>
      </c>
      <c r="R198" s="194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4">
        <f>IFERROR(VLOOKUP(A198,[1]Biogasudbytte!$A$2:$B$18,2,FALSE)*[1]Energiindhold!$C$10,0)*J198*IFERROR(VLOOKUP(A198,Biogasanlæg!$F$3:$G$8,2,FALSE),1)</f>
        <v>0</v>
      </c>
      <c r="T198" s="195">
        <f t="shared" si="50"/>
        <v>0</v>
      </c>
      <c r="U198" s="193">
        <f ca="1">O198*IFERROR(VLOOKUP(A198,[1]Tørstofindhold!A$2:B$25,2,FALSE),0)</f>
        <v>0</v>
      </c>
      <c r="V198" s="194">
        <f ca="1">IF(D198=År1,P198,SUM(O198,P198))*IFERROR(VLOOKUP(A198,[1]Tørstofindhold!A$2:B$25,2,FALSE),0)</f>
        <v>0</v>
      </c>
      <c r="W198" s="194">
        <f>J198*IFERROR(VLOOKUP(A198,[1]Tørstofindhold!A$2:B$25,2,FALSE),0)</f>
        <v>0</v>
      </c>
      <c r="X198" s="195">
        <f t="shared" ca="1" si="51"/>
        <v>0</v>
      </c>
      <c r="Y198" s="173">
        <f t="shared" ca="1" si="60"/>
        <v>0</v>
      </c>
      <c r="Z198" s="104">
        <f t="shared" ca="1" si="61"/>
        <v>0</v>
      </c>
    </row>
    <row r="199" spans="1:26" x14ac:dyDescent="0.25">
      <c r="A199" s="196" t="str">
        <f t="shared" si="56"/>
        <v>Biogasgylle</v>
      </c>
      <c r="B199" s="196" t="str">
        <f t="shared" si="57"/>
        <v/>
      </c>
      <c r="C199" s="196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6">
        <f t="shared" si="58"/>
        <v>2030</v>
      </c>
      <c r="E199" s="194" t="s">
        <v>25</v>
      </c>
      <c r="F199" s="197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4316103.8219465185</v>
      </c>
      <c r="G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4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7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3695622.0320317331</v>
      </c>
      <c r="L199" s="197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9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6">
        <f t="shared" ca="1" si="48"/>
        <v>620481.78991478542</v>
      </c>
      <c r="O199" s="197">
        <f t="shared" si="59"/>
        <v>0</v>
      </c>
      <c r="P199" s="207">
        <f t="shared" si="49"/>
        <v>0</v>
      </c>
      <c r="Q199" s="194">
        <f>IFERROR(VLOOKUP(A199,[1]Energiindhold!$A$2:$C$11,3,FALSE),IFERROR(VLOOKUP(A199,[1]Biogasudbytte!$A$2:$B$18,2,FALSE)*[1]Energiindhold!$C$10,0))*O199</f>
        <v>0</v>
      </c>
      <c r="R199" s="194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4">
        <f>IFERROR(VLOOKUP(A199,[1]Biogasudbytte!$A$2:$B$18,2,FALSE)*[1]Energiindhold!$C$10,0)*J199*IFERROR(VLOOKUP(A199,Biogasanlæg!$F$3:$G$8,2,FALSE),1)</f>
        <v>0</v>
      </c>
      <c r="T199" s="195">
        <f t="shared" si="50"/>
        <v>0</v>
      </c>
      <c r="U199" s="193">
        <f>O199*IFERROR(VLOOKUP(A199,[1]Tørstofindhold!A$2:B$25,2,FALSE),0)</f>
        <v>0</v>
      </c>
      <c r="V199" s="194">
        <f>IF(D199=År1,P199,SUM(O199,P199))*IFERROR(VLOOKUP(A199,[1]Tørstofindhold!A$2:B$25,2,FALSE),0)</f>
        <v>0</v>
      </c>
      <c r="W199" s="194">
        <f>J199*IFERROR(VLOOKUP(A199,[1]Tørstofindhold!A$2:B$25,2,FALSE),0)</f>
        <v>0</v>
      </c>
      <c r="X199" s="195">
        <f t="shared" si="51"/>
        <v>0</v>
      </c>
      <c r="Y199" s="173">
        <f t="shared" ca="1" si="60"/>
        <v>0</v>
      </c>
      <c r="Z199" s="104">
        <f t="shared" ca="1" si="61"/>
        <v>1</v>
      </c>
    </row>
    <row r="200" spans="1:26" x14ac:dyDescent="0.25">
      <c r="A200" s="196" t="str">
        <f t="shared" si="56"/>
        <v>Brun saft</v>
      </c>
      <c r="B200" s="196" t="str">
        <f t="shared" si="57"/>
        <v>Bionedbrydeligt affald</v>
      </c>
      <c r="C200" s="196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6">
        <f t="shared" si="58"/>
        <v>2030</v>
      </c>
      <c r="E200" s="194" t="s">
        <v>25</v>
      </c>
      <c r="F200" s="197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906.12419784072335</v>
      </c>
      <c r="G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4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453.06209892036168</v>
      </c>
      <c r="K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7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9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6">
        <f t="shared" si="48"/>
        <v>453.06209892036168</v>
      </c>
      <c r="O200" s="197">
        <f t="shared" si="59"/>
        <v>453.06209892036168</v>
      </c>
      <c r="P200" s="207">
        <f t="shared" si="49"/>
        <v>453.06209892036168</v>
      </c>
      <c r="Q200" s="194">
        <f>IFERROR(VLOOKUP(A200,[1]Energiindhold!$A$2:$C$11,3,FALSE),IFERROR(VLOOKUP(A200,[1]Biogasudbytte!$A$2:$B$18,2,FALSE)*[1]Energiindhold!$C$10,0))*O200</f>
        <v>2.5735108665956772E-4</v>
      </c>
      <c r="R200" s="194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5.1470217331913543E-4</v>
      </c>
      <c r="S200" s="194">
        <f>IFERROR(VLOOKUP(A200,[1]Biogasudbytte!$A$2:$B$18,2,FALSE)*[1]Energiindhold!$C$10,0)*J200*IFERROR(VLOOKUP(A200,Biogasanlæg!$F$3:$G$8,2,FALSE),1)</f>
        <v>2.5735108665956772E-4</v>
      </c>
      <c r="T200" s="195">
        <f t="shared" si="50"/>
        <v>2.5735108665956772E-4</v>
      </c>
      <c r="U200" s="193">
        <f>O200*IFERROR(VLOOKUP(A200,[1]Tørstofindhold!A$2:B$25,2,FALSE),0)</f>
        <v>19.374470124186381</v>
      </c>
      <c r="V200" s="194">
        <f>IF(D200=År1,P200,SUM(O200,P200))*IFERROR(VLOOKUP(A200,[1]Tørstofindhold!A$2:B$25,2,FALSE),0)</f>
        <v>38.748940248372762</v>
      </c>
      <c r="W200" s="194">
        <f>J200*IFERROR(VLOOKUP(A200,[1]Tørstofindhold!A$2:B$25,2,FALSE),0)</f>
        <v>19.374470124186381</v>
      </c>
      <c r="X200" s="195">
        <f t="shared" si="51"/>
        <v>19.374470124186381</v>
      </c>
      <c r="Y200" s="173">
        <f t="shared" si="60"/>
        <v>0</v>
      </c>
      <c r="Z200" s="104">
        <f t="shared" si="61"/>
        <v>1</v>
      </c>
    </row>
    <row r="201" spans="1:26" x14ac:dyDescent="0.25">
      <c r="A201" s="196" t="str">
        <f t="shared" si="56"/>
        <v>Dybstrøelse</v>
      </c>
      <c r="B201" s="196" t="str">
        <f t="shared" si="57"/>
        <v>Husdyrgødning</v>
      </c>
      <c r="C201" s="196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6">
        <f t="shared" si="58"/>
        <v>2030</v>
      </c>
      <c r="E201" s="194" t="s">
        <v>25</v>
      </c>
      <c r="F201" s="197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4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268541.33219413611</v>
      </c>
      <c r="K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33887.358586402894</v>
      </c>
      <c r="L201" s="197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9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6">
        <f t="shared" si="48"/>
        <v>55626.418811642507</v>
      </c>
      <c r="O201" s="197">
        <f t="shared" si="59"/>
        <v>55626.418811642507</v>
      </c>
      <c r="P201" s="207">
        <f t="shared" si="49"/>
        <v>268541.33219413611</v>
      </c>
      <c r="Q201" s="194">
        <f>IFERROR(VLOOKUP(A201,[1]Energiindhold!$A$2:$C$11,3,FALSE),IFERROR(VLOOKUP(A201,[1]Biogasudbytte!$A$2:$B$18,2,FALSE)*[1]Energiindhold!$C$10,0))*O201</f>
        <v>0.11981930612027797</v>
      </c>
      <c r="R201" s="194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0.69825733566644721</v>
      </c>
      <c r="S201" s="194">
        <f>IFERROR(VLOOKUP(A201,[1]Biogasudbytte!$A$2:$B$18,2,FALSE)*[1]Energiindhold!$C$10,0)*J201*IFERROR(VLOOKUP(A201,Biogasanlæg!$F$3:$G$8,2,FALSE),1)</f>
        <v>0.57843802954616919</v>
      </c>
      <c r="T201" s="195">
        <f t="shared" si="50"/>
        <v>0.11981930612027802</v>
      </c>
      <c r="U201" s="193">
        <f>O201*IFERROR(VLOOKUP(A201,[1]Tørstofindhold!A$2:B$25,2,FALSE),0)</f>
        <v>16687.925643492752</v>
      </c>
      <c r="V201" s="194">
        <f>IF(D201=År1,P201,SUM(O201,P201))*IFERROR(VLOOKUP(A201,[1]Tørstofindhold!A$2:B$25,2,FALSE),0)</f>
        <v>97250.325301733581</v>
      </c>
      <c r="W201" s="194">
        <f>J201*IFERROR(VLOOKUP(A201,[1]Tørstofindhold!A$2:B$25,2,FALSE),0)</f>
        <v>80562.399658240829</v>
      </c>
      <c r="X201" s="195">
        <f t="shared" si="51"/>
        <v>16687.925643492752</v>
      </c>
      <c r="Y201" s="173">
        <f t="shared" si="60"/>
        <v>0</v>
      </c>
      <c r="Z201" s="104">
        <f t="shared" si="61"/>
        <v>1</v>
      </c>
    </row>
    <row r="202" spans="1:26" x14ac:dyDescent="0.25">
      <c r="A202" s="196" t="str">
        <f t="shared" si="56"/>
        <v>Fiberfraktion</v>
      </c>
      <c r="B202" s="196" t="str">
        <f t="shared" si="57"/>
        <v/>
      </c>
      <c r="C202" s="196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6">
        <f t="shared" si="58"/>
        <v>2030</v>
      </c>
      <c r="E202" s="194" t="s">
        <v>25</v>
      </c>
      <c r="F202" s="197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638.21783938496321</v>
      </c>
      <c r="G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638.41333437730827</v>
      </c>
      <c r="H202" s="194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7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9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6">
        <f t="shared" si="48"/>
        <v>-0.19549499234506129</v>
      </c>
      <c r="O202" s="197">
        <f t="shared" si="59"/>
        <v>0</v>
      </c>
      <c r="P202" s="207">
        <f t="shared" si="49"/>
        <v>0</v>
      </c>
      <c r="Q202" s="194">
        <f>IFERROR(VLOOKUP(A202,[1]Energiindhold!$A$2:$C$11,3,FALSE),IFERROR(VLOOKUP(A202,[1]Biogasudbytte!$A$2:$B$18,2,FALSE)*[1]Energiindhold!$C$10,0))*O202</f>
        <v>0</v>
      </c>
      <c r="R202" s="194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4">
        <f>IFERROR(VLOOKUP(A202,[1]Biogasudbytte!$A$2:$B$18,2,FALSE)*[1]Energiindhold!$C$10,0)*J202*IFERROR(VLOOKUP(A202,Biogasanlæg!$F$3:$G$8,2,FALSE),1)</f>
        <v>0</v>
      </c>
      <c r="T202" s="195">
        <f t="shared" si="50"/>
        <v>0</v>
      </c>
      <c r="U202" s="193">
        <f>O202*IFERROR(VLOOKUP(A202,[1]Tørstofindhold!A$2:B$25,2,FALSE),0)</f>
        <v>0</v>
      </c>
      <c r="V202" s="194">
        <f>IF(D202=År1,P202,SUM(O202,P202))*IFERROR(VLOOKUP(A202,[1]Tørstofindhold!A$2:B$25,2,FALSE),0)</f>
        <v>0</v>
      </c>
      <c r="W202" s="194">
        <f>J202*IFERROR(VLOOKUP(A202,[1]Tørstofindhold!A$2:B$25,2,FALSE),0)</f>
        <v>0</v>
      </c>
      <c r="X202" s="195">
        <f t="shared" si="51"/>
        <v>0</v>
      </c>
      <c r="Y202" s="173">
        <f t="shared" si="60"/>
        <v>1</v>
      </c>
      <c r="Z202" s="104">
        <f t="shared" si="61"/>
        <v>0</v>
      </c>
    </row>
    <row r="203" spans="1:26" x14ac:dyDescent="0.25">
      <c r="A203" s="196" t="str">
        <f t="shared" si="56"/>
        <v>Fjerkrægylle</v>
      </c>
      <c r="B203" s="196" t="str">
        <f t="shared" si="57"/>
        <v>Husdyrgødning</v>
      </c>
      <c r="C203" s="196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6">
        <f t="shared" si="58"/>
        <v>2030</v>
      </c>
      <c r="E203" s="194" t="s">
        <v>25</v>
      </c>
      <c r="F203" s="197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4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455.13125134935552</v>
      </c>
      <c r="K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185.55351016550645</v>
      </c>
      <c r="L203" s="197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9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6">
        <f t="shared" si="48"/>
        <v>59.517163637992667</v>
      </c>
      <c r="O203" s="197">
        <f t="shared" si="59"/>
        <v>59.517163637992667</v>
      </c>
      <c r="P203" s="207">
        <f t="shared" si="49"/>
        <v>455.13125134935552</v>
      </c>
      <c r="Q203" s="194">
        <f>IFERROR(VLOOKUP(A203,[1]Energiindhold!$A$2:$C$11,3,FALSE),IFERROR(VLOOKUP(A203,[1]Biogasudbytte!$A$2:$B$18,2,FALSE)*[1]Energiindhold!$C$10,0))*O203</f>
        <v>2.7990326887311573E-5</v>
      </c>
      <c r="R203" s="194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2.420340030844E-4</v>
      </c>
      <c r="S203" s="194">
        <f>IFERROR(VLOOKUP(A203,[1]Biogasudbytte!$A$2:$B$18,2,FALSE)*[1]Energiindhold!$C$10,0)*J203*IFERROR(VLOOKUP(A203,Biogasanlæg!$F$3:$G$8,2,FALSE),1)</f>
        <v>2.1404367619708842E-4</v>
      </c>
      <c r="T203" s="195">
        <f t="shared" si="50"/>
        <v>2.799032688731158E-5</v>
      </c>
      <c r="U203" s="193">
        <f>O203*IFERROR(VLOOKUP(A203,[1]Tørstofindhold!A$2:B$25,2,FALSE),0)</f>
        <v>3.7495813091935379</v>
      </c>
      <c r="V203" s="194">
        <f>IF(D203=År1,P203,SUM(O203,P203))*IFERROR(VLOOKUP(A203,[1]Tørstofindhold!A$2:B$25,2,FALSE),0)</f>
        <v>32.422850144202933</v>
      </c>
      <c r="W203" s="194">
        <f>J203*IFERROR(VLOOKUP(A203,[1]Tørstofindhold!A$2:B$25,2,FALSE),0)</f>
        <v>28.673268835009399</v>
      </c>
      <c r="X203" s="195">
        <f t="shared" si="51"/>
        <v>3.7495813091935339</v>
      </c>
      <c r="Y203" s="173">
        <f t="shared" si="60"/>
        <v>0</v>
      </c>
      <c r="Z203" s="104">
        <f t="shared" si="61"/>
        <v>1</v>
      </c>
    </row>
    <row r="204" spans="1:26" x14ac:dyDescent="0.25">
      <c r="A204" s="196" t="str">
        <f t="shared" si="56"/>
        <v>Fjerkrækød</v>
      </c>
      <c r="B204" s="196" t="str">
        <f t="shared" si="57"/>
        <v/>
      </c>
      <c r="C204" s="196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6">
        <f t="shared" si="58"/>
        <v>2030</v>
      </c>
      <c r="E204" s="194" t="s">
        <v>25</v>
      </c>
      <c r="F204" s="197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4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7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9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6">
        <f t="shared" si="48"/>
        <v>-15316.072808753132</v>
      </c>
      <c r="O204" s="197">
        <f t="shared" si="59"/>
        <v>0</v>
      </c>
      <c r="P204" s="207">
        <f t="shared" si="49"/>
        <v>0</v>
      </c>
      <c r="Q204" s="194">
        <f>IFERROR(VLOOKUP(A204,[1]Energiindhold!$A$2:$C$11,3,FALSE),IFERROR(VLOOKUP(A204,[1]Biogasudbytte!$A$2:$B$18,2,FALSE)*[1]Energiindhold!$C$10,0))*O204</f>
        <v>0</v>
      </c>
      <c r="R204" s="194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4">
        <f>IFERROR(VLOOKUP(A204,[1]Biogasudbytte!$A$2:$B$18,2,FALSE)*[1]Energiindhold!$C$10,0)*J204*IFERROR(VLOOKUP(A204,Biogasanlæg!$F$3:$G$8,2,FALSE),1)</f>
        <v>0</v>
      </c>
      <c r="T204" s="195">
        <f t="shared" si="50"/>
        <v>0</v>
      </c>
      <c r="U204" s="193">
        <f>O204*IFERROR(VLOOKUP(A204,[1]Tørstofindhold!A$2:B$25,2,FALSE),0)</f>
        <v>0</v>
      </c>
      <c r="V204" s="194">
        <f>IF(D204=År1,P204,SUM(O204,P204))*IFERROR(VLOOKUP(A204,[1]Tørstofindhold!A$2:B$25,2,FALSE),0)</f>
        <v>0</v>
      </c>
      <c r="W204" s="194">
        <f>J204*IFERROR(VLOOKUP(A204,[1]Tørstofindhold!A$2:B$25,2,FALSE),0)</f>
        <v>0</v>
      </c>
      <c r="X204" s="195">
        <f t="shared" si="51"/>
        <v>0</v>
      </c>
      <c r="Y204" s="173">
        <f t="shared" si="60"/>
        <v>0</v>
      </c>
      <c r="Z204" s="104">
        <f t="shared" si="61"/>
        <v>1</v>
      </c>
    </row>
    <row r="205" spans="1:26" x14ac:dyDescent="0.25">
      <c r="A205" s="196" t="str">
        <f t="shared" si="56"/>
        <v>Frø</v>
      </c>
      <c r="B205" s="196" t="str">
        <f t="shared" si="57"/>
        <v/>
      </c>
      <c r="C205" s="196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6">
        <f t="shared" si="58"/>
        <v>2030</v>
      </c>
      <c r="E205" s="194" t="s">
        <v>25</v>
      </c>
      <c r="F205" s="197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544404.7144636024</v>
      </c>
      <c r="G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4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7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9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6">
        <f t="shared" si="48"/>
        <v>544404.7144636024</v>
      </c>
      <c r="O205" s="197">
        <f t="shared" si="59"/>
        <v>0</v>
      </c>
      <c r="P205" s="207">
        <f t="shared" si="49"/>
        <v>0</v>
      </c>
      <c r="Q205" s="194">
        <f>IFERROR(VLOOKUP(A205,[1]Energiindhold!$A$2:$C$11,3,FALSE),IFERROR(VLOOKUP(A205,[1]Biogasudbytte!$A$2:$B$18,2,FALSE)*[1]Energiindhold!$C$10,0))*O205</f>
        <v>0</v>
      </c>
      <c r="R205" s="194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4">
        <f>IFERROR(VLOOKUP(A205,[1]Biogasudbytte!$A$2:$B$18,2,FALSE)*[1]Energiindhold!$C$10,0)*J205*IFERROR(VLOOKUP(A205,Biogasanlæg!$F$3:$G$8,2,FALSE),1)</f>
        <v>0</v>
      </c>
      <c r="T205" s="195">
        <f t="shared" si="50"/>
        <v>0</v>
      </c>
      <c r="U205" s="193">
        <f>O205*IFERROR(VLOOKUP(A205,[1]Tørstofindhold!A$2:B$25,2,FALSE),0)</f>
        <v>0</v>
      </c>
      <c r="V205" s="194">
        <f>IF(D205=År1,P205,SUM(O205,P205))*IFERROR(VLOOKUP(A205,[1]Tørstofindhold!A$2:B$25,2,FALSE),0)</f>
        <v>0</v>
      </c>
      <c r="W205" s="194">
        <f>J205*IFERROR(VLOOKUP(A205,[1]Tørstofindhold!A$2:B$25,2,FALSE),0)</f>
        <v>0</v>
      </c>
      <c r="X205" s="195">
        <f t="shared" si="51"/>
        <v>0</v>
      </c>
      <c r="Y205" s="173">
        <f t="shared" si="60"/>
        <v>0</v>
      </c>
      <c r="Z205" s="104">
        <f t="shared" si="61"/>
        <v>1</v>
      </c>
    </row>
    <row r="206" spans="1:26" x14ac:dyDescent="0.25">
      <c r="A206" s="196" t="str">
        <f t="shared" si="56"/>
        <v>Frugt</v>
      </c>
      <c r="B206" s="196" t="str">
        <f t="shared" si="57"/>
        <v/>
      </c>
      <c r="C206" s="196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6">
        <f t="shared" si="58"/>
        <v>2030</v>
      </c>
      <c r="E206" s="194" t="s">
        <v>25</v>
      </c>
      <c r="F206" s="197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14641.584638945284</v>
      </c>
      <c r="G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4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7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9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6">
        <f t="shared" si="48"/>
        <v>-208682.358014364</v>
      </c>
      <c r="O206" s="197">
        <f t="shared" si="59"/>
        <v>0</v>
      </c>
      <c r="P206" s="207">
        <f t="shared" si="49"/>
        <v>0</v>
      </c>
      <c r="Q206" s="194">
        <f>IFERROR(VLOOKUP(A206,[1]Energiindhold!$A$2:$C$11,3,FALSE),IFERROR(VLOOKUP(A206,[1]Biogasudbytte!$A$2:$B$18,2,FALSE)*[1]Energiindhold!$C$10,0))*O206</f>
        <v>0</v>
      </c>
      <c r="R206" s="194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4">
        <f>IFERROR(VLOOKUP(A206,[1]Biogasudbytte!$A$2:$B$18,2,FALSE)*[1]Energiindhold!$C$10,0)*J206*IFERROR(VLOOKUP(A206,Biogasanlæg!$F$3:$G$8,2,FALSE),1)</f>
        <v>0</v>
      </c>
      <c r="T206" s="195">
        <f t="shared" si="50"/>
        <v>0</v>
      </c>
      <c r="U206" s="193">
        <f>O206*IFERROR(VLOOKUP(A206,[1]Tørstofindhold!A$2:B$25,2,FALSE),0)</f>
        <v>0</v>
      </c>
      <c r="V206" s="194">
        <f>IF(D206=År1,P206,SUM(O206,P206))*IFERROR(VLOOKUP(A206,[1]Tørstofindhold!A$2:B$25,2,FALSE),0)</f>
        <v>0</v>
      </c>
      <c r="W206" s="194">
        <f>J206*IFERROR(VLOOKUP(A206,[1]Tørstofindhold!A$2:B$25,2,FALSE),0)</f>
        <v>0</v>
      </c>
      <c r="X206" s="195">
        <f t="shared" si="51"/>
        <v>0</v>
      </c>
      <c r="Y206" s="173">
        <f t="shared" si="60"/>
        <v>1</v>
      </c>
      <c r="Z206" s="104">
        <f t="shared" si="61"/>
        <v>0</v>
      </c>
    </row>
    <row r="207" spans="1:26" x14ac:dyDescent="0.25">
      <c r="A207" s="196" t="str">
        <f t="shared" si="56"/>
        <v>Glycerin</v>
      </c>
      <c r="B207" s="196" t="str">
        <f t="shared" si="57"/>
        <v>Glycerin</v>
      </c>
      <c r="C207" s="196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6">
        <f t="shared" si="58"/>
        <v>2030</v>
      </c>
      <c r="E207" s="194" t="s">
        <v>25</v>
      </c>
      <c r="F207" s="197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4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7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9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6">
        <f t="shared" si="48"/>
        <v>-28548.400000000001</v>
      </c>
      <c r="O207" s="197">
        <f t="shared" si="59"/>
        <v>0</v>
      </c>
      <c r="P207" s="207">
        <f t="shared" si="49"/>
        <v>28548.400000000001</v>
      </c>
      <c r="Q207" s="194">
        <f>IFERROR(VLOOKUP(A207,[1]Energiindhold!$A$2:$C$11,3,FALSE),IFERROR(VLOOKUP(A207,[1]Biogasudbytte!$A$2:$B$18,2,FALSE)*[1]Energiindhold!$C$10,0))*O207</f>
        <v>0</v>
      </c>
      <c r="R207" s="194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4">
        <f>IFERROR(VLOOKUP(A207,[1]Biogasudbytte!$A$2:$B$18,2,FALSE)*[1]Energiindhold!$C$10,0)*J207*IFERROR(VLOOKUP(A207,Biogasanlæg!$F$3:$G$8,2,FALSE),1)</f>
        <v>0.43389639740160008</v>
      </c>
      <c r="T207" s="195">
        <f t="shared" si="50"/>
        <v>0</v>
      </c>
      <c r="U207" s="193">
        <f>O207*IFERROR(VLOOKUP(A207,[1]Tørstofindhold!A$2:B$25,2,FALSE),0)</f>
        <v>0</v>
      </c>
      <c r="V207" s="194">
        <f>IF(D207=År1,P207,SUM(O207,P207))*IFERROR(VLOOKUP(A207,[1]Tørstofindhold!A$2:B$25,2,FALSE),0)</f>
        <v>25693.56</v>
      </c>
      <c r="W207" s="194">
        <f>J207*IFERROR(VLOOKUP(A207,[1]Tørstofindhold!A$2:B$25,2,FALSE),0)</f>
        <v>25693.56</v>
      </c>
      <c r="X207" s="195">
        <f t="shared" si="51"/>
        <v>0</v>
      </c>
      <c r="Y207" s="173">
        <f t="shared" si="60"/>
        <v>1</v>
      </c>
      <c r="Z207" s="104">
        <f t="shared" si="61"/>
        <v>0</v>
      </c>
    </row>
    <row r="208" spans="1:26" x14ac:dyDescent="0.25">
      <c r="A208" s="196" t="str">
        <f t="shared" si="56"/>
        <v>Græs</v>
      </c>
      <c r="B208" s="196" t="str">
        <f t="shared" si="57"/>
        <v>Græs og urter</v>
      </c>
      <c r="C208" s="196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6">
        <f t="shared" si="58"/>
        <v>2030</v>
      </c>
      <c r="E208" s="194" t="s">
        <v>25</v>
      </c>
      <c r="F208" s="197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1896413.0302612376</v>
      </c>
      <c r="G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1298449.9225509875</v>
      </c>
      <c r="H208" s="194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0</v>
      </c>
      <c r="K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7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9">
        <f>SUMIFS('Forbrug af biomasse'!E:E,'Forbrug af biomasse'!C:C,'Resultat-Produktion &amp; forbrug'!$A208,'Forbrug af biomasse'!D:D,'Resultat-Produktion &amp; forbrug'!$D208,'Forbrug af biomasse'!G:G,1,'Forbrug af biomasse'!B:B,$E208)</f>
        <v>1854.3335592126687</v>
      </c>
      <c r="N208" s="206">
        <f t="shared" si="48"/>
        <v>596108.77415103745</v>
      </c>
      <c r="O208" s="197">
        <f t="shared" si="59"/>
        <v>44494.197606562637</v>
      </c>
      <c r="P208" s="207">
        <f t="shared" si="49"/>
        <v>0</v>
      </c>
      <c r="Q208" s="194">
        <f>IFERROR(VLOOKUP(A208,[1]Energiindhold!$A$2:$C$11,3,FALSE),IFERROR(VLOOKUP(A208,[1]Biogasudbytte!$A$2:$B$18,2,FALSE)*[1]Energiindhold!$C$10,0))*O208</f>
        <v>8.1863761821374434E-2</v>
      </c>
      <c r="R208" s="194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8.1863761821374434E-2</v>
      </c>
      <c r="S208" s="194">
        <f>IFERROR(VLOOKUP(A208,[1]Biogasudbytte!$A$2:$B$18,2,FALSE)*[1]Energiindhold!$C$10,0)*J208*IFERROR(VLOOKUP(A208,Biogasanlæg!$F$3:$G$8,2,FALSE),1)</f>
        <v>0</v>
      </c>
      <c r="T208" s="195">
        <f t="shared" si="50"/>
        <v>8.1863761821374434E-2</v>
      </c>
      <c r="U208" s="193">
        <f>O208*IFERROR(VLOOKUP(A208,[1]Tørstofindhold!A$2:B$25,2,FALSE),0)</f>
        <v>12458.37532983754</v>
      </c>
      <c r="V208" s="194">
        <f>IF(D208=År1,P208,SUM(O208,P208))*IFERROR(VLOOKUP(A208,[1]Tørstofindhold!A$2:B$25,2,FALSE),0)</f>
        <v>12458.37532983754</v>
      </c>
      <c r="W208" s="194">
        <f>J208*IFERROR(VLOOKUP(A208,[1]Tørstofindhold!A$2:B$25,2,FALSE),0)</f>
        <v>0</v>
      </c>
      <c r="X208" s="195">
        <f t="shared" si="51"/>
        <v>12458.37532983754</v>
      </c>
      <c r="Y208" s="173">
        <f t="shared" si="60"/>
        <v>0</v>
      </c>
      <c r="Z208" s="104">
        <f t="shared" si="61"/>
        <v>1</v>
      </c>
    </row>
    <row r="209" spans="1:26" x14ac:dyDescent="0.25">
      <c r="A209" s="196" t="str">
        <f t="shared" si="56"/>
        <v>Græsprotein</v>
      </c>
      <c r="B209" s="196" t="str">
        <f t="shared" si="57"/>
        <v/>
      </c>
      <c r="C209" s="196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6">
        <f t="shared" si="58"/>
        <v>2030</v>
      </c>
      <c r="E209" s="194" t="s">
        <v>25</v>
      </c>
      <c r="F209" s="197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309.99152198698209</v>
      </c>
      <c r="G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309.99152198698209</v>
      </c>
      <c r="H209" s="194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7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9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6">
        <f t="shared" si="48"/>
        <v>0</v>
      </c>
      <c r="O209" s="197">
        <f t="shared" si="59"/>
        <v>0</v>
      </c>
      <c r="P209" s="207">
        <f t="shared" si="49"/>
        <v>0</v>
      </c>
      <c r="Q209" s="194">
        <f>IFERROR(VLOOKUP(A209,[1]Energiindhold!$A$2:$C$11,3,FALSE),IFERROR(VLOOKUP(A209,[1]Biogasudbytte!$A$2:$B$18,2,FALSE)*[1]Energiindhold!$C$10,0))*O209</f>
        <v>0</v>
      </c>
      <c r="R209" s="194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4">
        <f>IFERROR(VLOOKUP(A209,[1]Biogasudbytte!$A$2:$B$18,2,FALSE)*[1]Energiindhold!$C$10,0)*J209*IFERROR(VLOOKUP(A209,Biogasanlæg!$F$3:$G$8,2,FALSE),1)</f>
        <v>0</v>
      </c>
      <c r="T209" s="195">
        <f t="shared" si="50"/>
        <v>0</v>
      </c>
      <c r="U209" s="193">
        <f>O209*IFERROR(VLOOKUP(A209,[1]Tørstofindhold!A$2:B$25,2,FALSE),0)</f>
        <v>0</v>
      </c>
      <c r="V209" s="194">
        <f>IF(D209=År1,P209,SUM(O209,P209))*IFERROR(VLOOKUP(A209,[1]Tørstofindhold!A$2:B$25,2,FALSE),0)</f>
        <v>0</v>
      </c>
      <c r="W209" s="194">
        <f>J209*IFERROR(VLOOKUP(A209,[1]Tørstofindhold!A$2:B$25,2,FALSE),0)</f>
        <v>0</v>
      </c>
      <c r="X209" s="195">
        <f t="shared" si="51"/>
        <v>0</v>
      </c>
      <c r="Y209" s="173">
        <f t="shared" si="60"/>
        <v>0</v>
      </c>
      <c r="Z209" s="104">
        <f t="shared" si="61"/>
        <v>0</v>
      </c>
    </row>
    <row r="210" spans="1:26" x14ac:dyDescent="0.25">
      <c r="A210" s="196" t="str">
        <f t="shared" si="56"/>
        <v>Grøntsager</v>
      </c>
      <c r="B210" s="196" t="str">
        <f t="shared" si="57"/>
        <v/>
      </c>
      <c r="C210" s="196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6">
        <f t="shared" si="58"/>
        <v>2030</v>
      </c>
      <c r="E210" s="194" t="s">
        <v>25</v>
      </c>
      <c r="F210" s="197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90005.04444105408</v>
      </c>
      <c r="G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4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7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9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6">
        <f t="shared" si="48"/>
        <v>-143897.4007589909</v>
      </c>
      <c r="O210" s="197">
        <f t="shared" si="59"/>
        <v>0</v>
      </c>
      <c r="P210" s="207">
        <f t="shared" si="49"/>
        <v>0</v>
      </c>
      <c r="Q210" s="194">
        <f>IFERROR(VLOOKUP(A210,[1]Energiindhold!$A$2:$C$11,3,FALSE),IFERROR(VLOOKUP(A210,[1]Biogasudbytte!$A$2:$B$18,2,FALSE)*[1]Energiindhold!$C$10,0))*O210</f>
        <v>0</v>
      </c>
      <c r="R210" s="194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4">
        <f>IFERROR(VLOOKUP(A210,[1]Biogasudbytte!$A$2:$B$18,2,FALSE)*[1]Energiindhold!$C$10,0)*J210*IFERROR(VLOOKUP(A210,Biogasanlæg!$F$3:$G$8,2,FALSE),1)</f>
        <v>0</v>
      </c>
      <c r="T210" s="195">
        <f t="shared" si="50"/>
        <v>0</v>
      </c>
      <c r="U210" s="193">
        <f>O210*IFERROR(VLOOKUP(A210,[1]Tørstofindhold!A$2:B$25,2,FALSE),0)</f>
        <v>0</v>
      </c>
      <c r="V210" s="194">
        <f>IF(D210=År1,P210,SUM(O210,P210))*IFERROR(VLOOKUP(A210,[1]Tørstofindhold!A$2:B$25,2,FALSE),0)</f>
        <v>0</v>
      </c>
      <c r="W210" s="194">
        <f>J210*IFERROR(VLOOKUP(A210,[1]Tørstofindhold!A$2:B$25,2,FALSE),0)</f>
        <v>0</v>
      </c>
      <c r="X210" s="195">
        <f t="shared" si="51"/>
        <v>0</v>
      </c>
      <c r="Y210" s="173">
        <f t="shared" si="60"/>
        <v>1</v>
      </c>
      <c r="Z210" s="104">
        <f t="shared" si="61"/>
        <v>0</v>
      </c>
    </row>
    <row r="211" spans="1:26" x14ac:dyDescent="0.25">
      <c r="A211" s="196" t="str">
        <f t="shared" si="56"/>
        <v>Halm</v>
      </c>
      <c r="B211" s="196" t="str">
        <f t="shared" si="57"/>
        <v>Halm og strå</v>
      </c>
      <c r="C211" s="196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6">
        <f t="shared" si="58"/>
        <v>2030</v>
      </c>
      <c r="E211" s="194" t="s">
        <v>25</v>
      </c>
      <c r="F211" s="197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880379.80528949713</v>
      </c>
      <c r="G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4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0</v>
      </c>
      <c r="K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7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0</v>
      </c>
      <c r="M211" s="159">
        <f>SUMIFS('Forbrug af biomasse'!E:E,'Forbrug af biomasse'!C:C,'Resultat-Produktion &amp; forbrug'!$A211,'Forbrug af biomasse'!D:D,'Resultat-Produktion &amp; forbrug'!$D211,'Forbrug af biomasse'!G:G,1,'Forbrug af biomasse'!B:B,$E211)</f>
        <v>450078.1384305096</v>
      </c>
      <c r="N211" s="206">
        <f t="shared" si="48"/>
        <v>231891.35922270222</v>
      </c>
      <c r="O211" s="197">
        <f t="shared" si="59"/>
        <v>0</v>
      </c>
      <c r="P211" s="207">
        <f t="shared" si="49"/>
        <v>0</v>
      </c>
      <c r="Q211" s="194">
        <f>IFERROR(VLOOKUP(A211,[1]Energiindhold!$A$2:$C$11,3,FALSE),IFERROR(VLOOKUP(A211,[1]Biogasudbytte!$A$2:$B$18,2,FALSE)*[1]Energiindhold!$C$10,0))*O211</f>
        <v>0</v>
      </c>
      <c r="R211" s="194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0</v>
      </c>
      <c r="S211" s="194">
        <f>IFERROR(VLOOKUP(A211,[1]Biogasudbytte!$A$2:$B$18,2,FALSE)*[1]Energiindhold!$C$10,0)*J211*IFERROR(VLOOKUP(A211,Biogasanlæg!$F$3:$G$8,2,FALSE),1)</f>
        <v>0</v>
      </c>
      <c r="T211" s="195">
        <f t="shared" si="50"/>
        <v>0</v>
      </c>
      <c r="U211" s="193">
        <f>O211*IFERROR(VLOOKUP(A211,[1]Tørstofindhold!A$2:B$25,2,FALSE),0)</f>
        <v>0</v>
      </c>
      <c r="V211" s="194">
        <f>IF(D211=År1,P211,SUM(O211,P211))*IFERROR(VLOOKUP(A211,[1]Tørstofindhold!A$2:B$25,2,FALSE),0)</f>
        <v>0</v>
      </c>
      <c r="W211" s="194">
        <f>J211*IFERROR(VLOOKUP(A211,[1]Tørstofindhold!A$2:B$25,2,FALSE),0)</f>
        <v>0</v>
      </c>
      <c r="X211" s="195">
        <f t="shared" si="51"/>
        <v>0</v>
      </c>
      <c r="Y211" s="173">
        <f t="shared" si="60"/>
        <v>1</v>
      </c>
      <c r="Z211" s="104">
        <f t="shared" si="61"/>
        <v>0</v>
      </c>
    </row>
    <row r="212" spans="1:26" x14ac:dyDescent="0.25">
      <c r="A212" s="196" t="str">
        <f t="shared" si="56"/>
        <v>Have/parkaffald</v>
      </c>
      <c r="B212" s="196" t="str">
        <f t="shared" si="57"/>
        <v>Bionedbrydeligt affald</v>
      </c>
      <c r="C212" s="196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6">
        <f t="shared" si="58"/>
        <v>2030</v>
      </c>
      <c r="E212" s="194" t="s">
        <v>25</v>
      </c>
      <c r="F212" s="197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4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232026.20760066749</v>
      </c>
      <c r="K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7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224048.68253094138</v>
      </c>
      <c r="M212" s="159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6">
        <f t="shared" si="48"/>
        <v>0</v>
      </c>
      <c r="O212" s="197">
        <f t="shared" si="59"/>
        <v>0</v>
      </c>
      <c r="P212" s="207">
        <f t="shared" si="49"/>
        <v>456074.89013160887</v>
      </c>
      <c r="Q212" s="194">
        <f>IFERROR(VLOOKUP(A212,[1]Energiindhold!$A$2:$C$11,3,FALSE),IFERROR(VLOOKUP(A212,[1]Biogasudbytte!$A$2:$B$18,2,FALSE)*[1]Energiindhold!$C$10,0))*O212</f>
        <v>0</v>
      </c>
      <c r="R212" s="194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4.3937632302492702</v>
      </c>
      <c r="S212" s="194">
        <f>IFERROR(VLOOKUP(A212,[1]Biogasudbytte!$A$2:$B$18,2,FALSE)*[1]Energiindhold!$C$10,0)*J212*IFERROR(VLOOKUP(A212,Biogasanlæg!$F$3:$G$8,2,FALSE),1)</f>
        <v>0.3939967423404655</v>
      </c>
      <c r="T212" s="195">
        <f t="shared" si="50"/>
        <v>3.9997664879088046</v>
      </c>
      <c r="U212" s="193">
        <f>O212*IFERROR(VLOOKUP(A212,[1]Tørstofindhold!A$2:B$25,2,FALSE),0)</f>
        <v>0</v>
      </c>
      <c r="V212" s="194">
        <f>IF(D212=År1,P212,SUM(O212,P212))*IFERROR(VLOOKUP(A212,[1]Tørstofindhold!A$2:B$25,2,FALSE),0)</f>
        <v>136822.46703948267</v>
      </c>
      <c r="W212" s="194">
        <f>J212*IFERROR(VLOOKUP(A212,[1]Tørstofindhold!A$2:B$25,2,FALSE),0)</f>
        <v>69607.86228020025</v>
      </c>
      <c r="X212" s="195">
        <f t="shared" si="51"/>
        <v>67214.604759282418</v>
      </c>
      <c r="Y212" s="173">
        <f t="shared" si="60"/>
        <v>0</v>
      </c>
      <c r="Z212" s="104">
        <f t="shared" si="61"/>
        <v>0</v>
      </c>
    </row>
    <row r="213" spans="1:26" x14ac:dyDescent="0.25">
      <c r="A213" s="196" t="str">
        <f t="shared" si="56"/>
        <v>Import af foder</v>
      </c>
      <c r="B213" s="196" t="str">
        <f t="shared" si="57"/>
        <v/>
      </c>
      <c r="C213" s="196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6">
        <f t="shared" si="58"/>
        <v>2030</v>
      </c>
      <c r="E213" s="194" t="s">
        <v>25</v>
      </c>
      <c r="F213" s="197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4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7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9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6">
        <f t="shared" si="48"/>
        <v>-592646.72642582119</v>
      </c>
      <c r="O213" s="197">
        <f t="shared" si="59"/>
        <v>0</v>
      </c>
      <c r="P213" s="207">
        <f t="shared" si="49"/>
        <v>0</v>
      </c>
      <c r="Q213" s="194">
        <f>IFERROR(VLOOKUP(A213,[1]Energiindhold!$A$2:$C$11,3,FALSE),IFERROR(VLOOKUP(A213,[1]Biogasudbytte!$A$2:$B$18,2,FALSE)*[1]Energiindhold!$C$10,0))*O213</f>
        <v>0</v>
      </c>
      <c r="R213" s="194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4">
        <f>IFERROR(VLOOKUP(A213,[1]Biogasudbytte!$A$2:$B$18,2,FALSE)*[1]Energiindhold!$C$10,0)*J213*IFERROR(VLOOKUP(A213,Biogasanlæg!$F$3:$G$8,2,FALSE),1)</f>
        <v>0</v>
      </c>
      <c r="T213" s="195">
        <f t="shared" si="50"/>
        <v>0</v>
      </c>
      <c r="U213" s="193">
        <f>O213*IFERROR(VLOOKUP(A213,[1]Tørstofindhold!A$2:B$25,2,FALSE),0)</f>
        <v>0</v>
      </c>
      <c r="V213" s="194">
        <f>IF(D213=År1,P213,SUM(O213,P213))*IFERROR(VLOOKUP(A213,[1]Tørstofindhold!A$2:B$25,2,FALSE),0)</f>
        <v>0</v>
      </c>
      <c r="W213" s="194">
        <f>J213*IFERROR(VLOOKUP(A213,[1]Tørstofindhold!A$2:B$25,2,FALSE),0)</f>
        <v>0</v>
      </c>
      <c r="X213" s="195">
        <f t="shared" si="51"/>
        <v>0</v>
      </c>
      <c r="Y213" s="173">
        <f t="shared" si="60"/>
        <v>1</v>
      </c>
      <c r="Z213" s="104">
        <f t="shared" si="61"/>
        <v>0</v>
      </c>
    </row>
    <row r="214" spans="1:26" x14ac:dyDescent="0.25">
      <c r="A214" s="196" t="str">
        <f t="shared" si="56"/>
        <v>Industriaffald</v>
      </c>
      <c r="B214" s="196" t="str">
        <f t="shared" si="57"/>
        <v>Bionedbrydeligt affald</v>
      </c>
      <c r="C214" s="196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6">
        <f t="shared" si="58"/>
        <v>2030</v>
      </c>
      <c r="E214" s="194" t="s">
        <v>25</v>
      </c>
      <c r="F214" s="197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4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7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9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6">
        <f t="shared" si="48"/>
        <v>0.11260809309897013</v>
      </c>
      <c r="O214" s="197">
        <f t="shared" si="59"/>
        <v>0.11260809309897013</v>
      </c>
      <c r="P214" s="207">
        <f t="shared" si="49"/>
        <v>202910.8690139266</v>
      </c>
      <c r="Q214" s="194">
        <f>IFERROR(VLOOKUP(A214,[1]Energiindhold!$A$2:$C$11,3,FALSE),IFERROR(VLOOKUP(A214,[1]Biogasudbytte!$A$2:$B$18,2,FALSE)*[1]Energiindhold!$C$10,0))*O214</f>
        <v>4.8794550644994054E-7</v>
      </c>
      <c r="R214" s="194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4">
        <f>IFERROR(VLOOKUP(A214,[1]Biogasudbytte!$A$2:$B$18,2,FALSE)*[1]Energiindhold!$C$10,0)*J214*IFERROR(VLOOKUP(A214,Biogasanlæg!$F$3:$G$8,2,FALSE),1)</f>
        <v>0.79131525646528422</v>
      </c>
      <c r="T214" s="195">
        <f t="shared" si="50"/>
        <v>4.8794550644437606E-7</v>
      </c>
      <c r="U214" s="193">
        <f>O214*IFERROR(VLOOKUP(A214,[1]Tørstofindhold!A$2:B$25,2,FALSE),0)</f>
        <v>4.7295399101567451E-2</v>
      </c>
      <c r="V214" s="194">
        <f>IF(D214=År1,P214,SUM(O214,P214))*IFERROR(VLOOKUP(A214,[1]Tørstofindhold!A$2:B$25,2,FALSE),0)</f>
        <v>85222.612281248264</v>
      </c>
      <c r="W214" s="194">
        <f>J214*IFERROR(VLOOKUP(A214,[1]Tørstofindhold!A$2:B$25,2,FALSE),0)</f>
        <v>85222.564985849167</v>
      </c>
      <c r="X214" s="195">
        <f t="shared" si="51"/>
        <v>4.7295399097492918E-2</v>
      </c>
      <c r="Y214" s="173">
        <f t="shared" si="60"/>
        <v>0</v>
      </c>
      <c r="Z214" s="104">
        <f t="shared" si="61"/>
        <v>1</v>
      </c>
    </row>
    <row r="215" spans="1:26" x14ac:dyDescent="0.25">
      <c r="A215" s="196" t="str">
        <f t="shared" si="56"/>
        <v>Juletræer</v>
      </c>
      <c r="B215" s="196" t="str">
        <f t="shared" si="57"/>
        <v/>
      </c>
      <c r="C215" s="196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6">
        <f t="shared" si="58"/>
        <v>2030</v>
      </c>
      <c r="E215" s="194" t="s">
        <v>25</v>
      </c>
      <c r="F215" s="197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135119.43350585381</v>
      </c>
      <c r="G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4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7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9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6">
        <f t="shared" si="48"/>
        <v>135119.43350585381</v>
      </c>
      <c r="O215" s="197">
        <f t="shared" si="59"/>
        <v>0</v>
      </c>
      <c r="P215" s="207">
        <f t="shared" si="49"/>
        <v>0</v>
      </c>
      <c r="Q215" s="194">
        <f>IFERROR(VLOOKUP(A215,[1]Energiindhold!$A$2:$C$11,3,FALSE),IFERROR(VLOOKUP(A215,[1]Biogasudbytte!$A$2:$B$18,2,FALSE)*[1]Energiindhold!$C$10,0))*O215</f>
        <v>0</v>
      </c>
      <c r="R215" s="194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4">
        <f>IFERROR(VLOOKUP(A215,[1]Biogasudbytte!$A$2:$B$18,2,FALSE)*[1]Energiindhold!$C$10,0)*J215*IFERROR(VLOOKUP(A215,Biogasanlæg!$F$3:$G$8,2,FALSE),1)</f>
        <v>0</v>
      </c>
      <c r="T215" s="195">
        <f t="shared" si="50"/>
        <v>0</v>
      </c>
      <c r="U215" s="193">
        <f>O215*IFERROR(VLOOKUP(A215,[1]Tørstofindhold!A$2:B$25,2,FALSE),0)</f>
        <v>0</v>
      </c>
      <c r="V215" s="194">
        <f>IF(D215=År1,P215,SUM(O215,P215))*IFERROR(VLOOKUP(A215,[1]Tørstofindhold!A$2:B$25,2,FALSE),0)</f>
        <v>0</v>
      </c>
      <c r="W215" s="194">
        <f>J215*IFERROR(VLOOKUP(A215,[1]Tørstofindhold!A$2:B$25,2,FALSE),0)</f>
        <v>0</v>
      </c>
      <c r="X215" s="195">
        <f t="shared" si="51"/>
        <v>0</v>
      </c>
      <c r="Y215" s="173">
        <f t="shared" si="60"/>
        <v>0</v>
      </c>
      <c r="Z215" s="104">
        <f t="shared" si="61"/>
        <v>1</v>
      </c>
    </row>
    <row r="216" spans="1:26" x14ac:dyDescent="0.25">
      <c r="A216" s="196" t="str">
        <f t="shared" si="56"/>
        <v>Kartofler</v>
      </c>
      <c r="B216" s="196" t="str">
        <f t="shared" si="57"/>
        <v/>
      </c>
      <c r="C216" s="196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6">
        <f t="shared" si="58"/>
        <v>2030</v>
      </c>
      <c r="E216" s="194" t="s">
        <v>25</v>
      </c>
      <c r="F216" s="197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0</v>
      </c>
      <c r="G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4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7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9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6">
        <f t="shared" ref="N216:N281" si="62">F216-SUM(G216:M216)</f>
        <v>-106960.41463921656</v>
      </c>
      <c r="O216" s="197">
        <f t="shared" si="59"/>
        <v>0</v>
      </c>
      <c r="P216" s="207">
        <f t="shared" ref="P216:P281" si="63">SUM(J216,L216)</f>
        <v>0</v>
      </c>
      <c r="Q216" s="194">
        <f>IFERROR(VLOOKUP(A216,[1]Energiindhold!$A$2:$C$11,3,FALSE),IFERROR(VLOOKUP(A216,[1]Biogasudbytte!$A$2:$B$18,2,FALSE)*[1]Energiindhold!$C$10,0))*O216</f>
        <v>0</v>
      </c>
      <c r="R216" s="194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4">
        <f>IFERROR(VLOOKUP(A216,[1]Biogasudbytte!$A$2:$B$18,2,FALSE)*[1]Energiindhold!$C$10,0)*J216*IFERROR(VLOOKUP(A216,Biogasanlæg!$F$3:$G$8,2,FALSE),1)</f>
        <v>0</v>
      </c>
      <c r="T216" s="195">
        <f t="shared" ref="T216:T281" si="64">R216-S216</f>
        <v>0</v>
      </c>
      <c r="U216" s="193">
        <f>O216*IFERROR(VLOOKUP(A216,[1]Tørstofindhold!A$2:B$25,2,FALSE),0)</f>
        <v>0</v>
      </c>
      <c r="V216" s="194">
        <f>IF(D216=År1,P216,SUM(O216,P216))*IFERROR(VLOOKUP(A216,[1]Tørstofindhold!A$2:B$25,2,FALSE),0)</f>
        <v>0</v>
      </c>
      <c r="W216" s="194">
        <f>J216*IFERROR(VLOOKUP(A216,[1]Tørstofindhold!A$2:B$25,2,FALSE),0)</f>
        <v>0</v>
      </c>
      <c r="X216" s="195">
        <f t="shared" ref="X216:X281" si="65">V216-W216</f>
        <v>0</v>
      </c>
      <c r="Y216" s="173">
        <f t="shared" si="60"/>
        <v>1</v>
      </c>
      <c r="Z216" s="104">
        <f t="shared" si="61"/>
        <v>0</v>
      </c>
    </row>
    <row r="217" spans="1:26" x14ac:dyDescent="0.25">
      <c r="A217" s="196" t="str">
        <f t="shared" si="56"/>
        <v>Korn</v>
      </c>
      <c r="B217" s="196" t="str">
        <f t="shared" si="57"/>
        <v>Halm og strå</v>
      </c>
      <c r="C217" s="196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6">
        <f t="shared" si="58"/>
        <v>2030</v>
      </c>
      <c r="E217" s="194" t="s">
        <v>25</v>
      </c>
      <c r="F217" s="197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2229437.4413574226</v>
      </c>
      <c r="G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746979.53273428511</v>
      </c>
      <c r="H217" s="194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0</v>
      </c>
      <c r="K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7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9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6">
        <f>F217-SUM(G217:M217)</f>
        <v>1226223.0691577615</v>
      </c>
      <c r="O217" s="197">
        <f t="shared" si="59"/>
        <v>20688.370813856833</v>
      </c>
      <c r="P217" s="207">
        <f t="shared" si="63"/>
        <v>0</v>
      </c>
      <c r="Q217" s="194">
        <f>IFERROR(VLOOKUP(A217,[1]Energiindhold!$A$2:$C$11,3,FALSE),IFERROR(VLOOKUP(A217,[1]Biogasudbytte!$A$2:$B$18,2,FALSE)*[1]Energiindhold!$C$10,0))*O217</f>
        <v>7.0854773665545726E-2</v>
      </c>
      <c r="R217" s="194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7.0854773665545726E-2</v>
      </c>
      <c r="S217" s="194">
        <f>IFERROR(VLOOKUP(A217,[1]Biogasudbytte!$A$2:$B$18,2,FALSE)*[1]Energiindhold!$C$10,0)*J217*IFERROR(VLOOKUP(A217,Biogasanlæg!$F$3:$G$8,2,FALSE),1)</f>
        <v>0</v>
      </c>
      <c r="T217" s="195">
        <f t="shared" si="64"/>
        <v>7.0854773665545726E-2</v>
      </c>
      <c r="U217" s="193">
        <f>O217*IFERROR(VLOOKUP(A217,[1]Tørstofindhold!A$2:B$25,2,FALSE),0)</f>
        <v>6413.3949522956182</v>
      </c>
      <c r="V217" s="194">
        <f>IF(D217=År1,P217,SUM(O217,P217))*IFERROR(VLOOKUP(A217,[1]Tørstofindhold!A$2:B$25,2,FALSE),0)</f>
        <v>6413.3949522956182</v>
      </c>
      <c r="W217" s="194">
        <f>J217*IFERROR(VLOOKUP(A217,[1]Tørstofindhold!A$2:B$25,2,FALSE),0)</f>
        <v>0</v>
      </c>
      <c r="X217" s="195">
        <f t="shared" si="65"/>
        <v>6413.3949522956182</v>
      </c>
      <c r="Y217" s="173">
        <f t="shared" si="60"/>
        <v>0</v>
      </c>
      <c r="Z217" s="104">
        <f t="shared" si="61"/>
        <v>1</v>
      </c>
    </row>
    <row r="218" spans="1:26" x14ac:dyDescent="0.25">
      <c r="A218" s="196" t="str">
        <f t="shared" si="56"/>
        <v>Kunstgødning</v>
      </c>
      <c r="B218" s="196" t="str">
        <f t="shared" si="57"/>
        <v/>
      </c>
      <c r="C218" s="196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6">
        <f t="shared" si="58"/>
        <v>2030</v>
      </c>
      <c r="E218" s="194" t="s">
        <v>25</v>
      </c>
      <c r="F218" s="197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4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7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284186.53350619553</v>
      </c>
      <c r="L218" s="197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9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6">
        <f t="shared" ca="1" si="62"/>
        <v>-284186.53350619553</v>
      </c>
      <c r="O218" s="197">
        <f t="shared" si="59"/>
        <v>0</v>
      </c>
      <c r="P218" s="207">
        <f t="shared" si="63"/>
        <v>0</v>
      </c>
      <c r="Q218" s="194">
        <f>IFERROR(VLOOKUP(A218,[1]Energiindhold!$A$2:$C$11,3,FALSE),IFERROR(VLOOKUP(A218,[1]Biogasudbytte!$A$2:$B$18,2,FALSE)*[1]Energiindhold!$C$10,0))*O218</f>
        <v>0</v>
      </c>
      <c r="R218" s="194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4">
        <f>IFERROR(VLOOKUP(A218,[1]Biogasudbytte!$A$2:$B$18,2,FALSE)*[1]Energiindhold!$C$10,0)*J218*IFERROR(VLOOKUP(A218,Biogasanlæg!$F$3:$G$8,2,FALSE),1)</f>
        <v>0</v>
      </c>
      <c r="T218" s="195">
        <f t="shared" si="64"/>
        <v>0</v>
      </c>
      <c r="U218" s="193">
        <f>O218*IFERROR(VLOOKUP(A218,[1]Tørstofindhold!A$2:B$25,2,FALSE),0)</f>
        <v>0</v>
      </c>
      <c r="V218" s="194">
        <f>IF(D218=År1,P218,SUM(O218,P218))*IFERROR(VLOOKUP(A218,[1]Tørstofindhold!A$2:B$25,2,FALSE),0)</f>
        <v>0</v>
      </c>
      <c r="W218" s="194">
        <f>J218*IFERROR(VLOOKUP(A218,[1]Tørstofindhold!A$2:B$25,2,FALSE),0)</f>
        <v>0</v>
      </c>
      <c r="X218" s="195">
        <f t="shared" si="65"/>
        <v>0</v>
      </c>
      <c r="Y218" s="173">
        <f t="shared" ca="1" si="60"/>
        <v>1</v>
      </c>
      <c r="Z218" s="104">
        <f t="shared" ca="1" si="61"/>
        <v>0</v>
      </c>
    </row>
    <row r="219" spans="1:26" x14ac:dyDescent="0.25">
      <c r="A219" s="196" t="str">
        <f t="shared" si="56"/>
        <v>Kvæggylle</v>
      </c>
      <c r="B219" s="196" t="str">
        <f t="shared" si="57"/>
        <v>Husdyrgødning</v>
      </c>
      <c r="C219" s="196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6">
        <f t="shared" si="58"/>
        <v>2030</v>
      </c>
      <c r="E219" s="194" t="s">
        <v>25</v>
      </c>
      <c r="F219" s="197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4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7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9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6">
        <f t="shared" si="62"/>
        <v>74745.922985962941</v>
      </c>
      <c r="O219" s="197">
        <f t="shared" si="59"/>
        <v>74745.922985962941</v>
      </c>
      <c r="P219" s="207">
        <f t="shared" si="63"/>
        <v>701319.77122631879</v>
      </c>
      <c r="Q219" s="194">
        <f>IFERROR(VLOOKUP(A219,[1]Energiindhold!$A$2:$C$11,3,FALSE),IFERROR(VLOOKUP(A219,[1]Biogasudbytte!$A$2:$B$18,2,FALSE)*[1]Energiindhold!$C$10,0))*O219</f>
        <v>3.7835638756264584E-2</v>
      </c>
      <c r="R219" s="194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4">
        <f>IFERROR(VLOOKUP(A219,[1]Biogasudbytte!$A$2:$B$18,2,FALSE)*[1]Energiindhold!$C$10,0)*J219*IFERROR(VLOOKUP(A219,Biogasanlæg!$F$3:$G$8,2,FALSE),1)</f>
        <v>0.35500105499705037</v>
      </c>
      <c r="T219" s="195">
        <f t="shared" si="64"/>
        <v>3.7835638756264611E-2</v>
      </c>
      <c r="U219" s="193">
        <f>O219*IFERROR(VLOOKUP(A219,[1]Tørstofindhold!A$2:B$25,2,FALSE),0)</f>
        <v>5680.6901469331833</v>
      </c>
      <c r="V219" s="194">
        <f>IF(D219=År1,P219,SUM(O219,P219))*IFERROR(VLOOKUP(A219,[1]Tørstofindhold!A$2:B$25,2,FALSE),0)</f>
        <v>58980.992760133413</v>
      </c>
      <c r="W219" s="194">
        <f>J219*IFERROR(VLOOKUP(A219,[1]Tørstofindhold!A$2:B$25,2,FALSE),0)</f>
        <v>53300.302613200227</v>
      </c>
      <c r="X219" s="195">
        <f t="shared" si="65"/>
        <v>5680.690146933186</v>
      </c>
      <c r="Y219" s="173">
        <f t="shared" si="60"/>
        <v>0</v>
      </c>
      <c r="Z219" s="104">
        <f t="shared" si="61"/>
        <v>1</v>
      </c>
    </row>
    <row r="220" spans="1:26" x14ac:dyDescent="0.25">
      <c r="A220" s="196" t="str">
        <f t="shared" si="56"/>
        <v>Mælk til foder</v>
      </c>
      <c r="B220" s="196" t="str">
        <f t="shared" si="57"/>
        <v/>
      </c>
      <c r="C220" s="196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6">
        <f t="shared" si="58"/>
        <v>2030</v>
      </c>
      <c r="E220" s="194" t="s">
        <v>25</v>
      </c>
      <c r="F220" s="197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4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7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9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6">
        <f t="shared" si="62"/>
        <v>-70829.959819299416</v>
      </c>
      <c r="O220" s="197">
        <f t="shared" si="59"/>
        <v>0</v>
      </c>
      <c r="P220" s="207">
        <f t="shared" si="63"/>
        <v>0</v>
      </c>
      <c r="Q220" s="194">
        <f>IFERROR(VLOOKUP(A220,[1]Energiindhold!$A$2:$C$11,3,FALSE),IFERROR(VLOOKUP(A220,[1]Biogasudbytte!$A$2:$B$18,2,FALSE)*[1]Energiindhold!$C$10,0))*O220</f>
        <v>0</v>
      </c>
      <c r="R220" s="194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4">
        <f>IFERROR(VLOOKUP(A220,[1]Biogasudbytte!$A$2:$B$18,2,FALSE)*[1]Energiindhold!$C$10,0)*J220*IFERROR(VLOOKUP(A220,Biogasanlæg!$F$3:$G$8,2,FALSE),1)</f>
        <v>0</v>
      </c>
      <c r="T220" s="195">
        <f t="shared" si="64"/>
        <v>0</v>
      </c>
      <c r="U220" s="193">
        <f>O220*IFERROR(VLOOKUP(A220,[1]Tørstofindhold!A$2:B$25,2,FALSE),0)</f>
        <v>0</v>
      </c>
      <c r="V220" s="194">
        <f>IF(D220=År1,P220,SUM(O220,P220))*IFERROR(VLOOKUP(A220,[1]Tørstofindhold!A$2:B$25,2,FALSE),0)</f>
        <v>0</v>
      </c>
      <c r="W220" s="194">
        <f>J220*IFERROR(VLOOKUP(A220,[1]Tørstofindhold!A$2:B$25,2,FALSE),0)</f>
        <v>0</v>
      </c>
      <c r="X220" s="195">
        <f t="shared" si="65"/>
        <v>0</v>
      </c>
      <c r="Y220" s="173">
        <f t="shared" si="60"/>
        <v>0</v>
      </c>
      <c r="Z220" s="104">
        <f t="shared" si="61"/>
        <v>1</v>
      </c>
    </row>
    <row r="221" spans="1:26" x14ac:dyDescent="0.25">
      <c r="A221" s="196" t="str">
        <f t="shared" si="56"/>
        <v>Majs</v>
      </c>
      <c r="B221" s="196" t="str">
        <f t="shared" si="57"/>
        <v>Græs og urter</v>
      </c>
      <c r="C221" s="196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6">
        <f t="shared" si="58"/>
        <v>2030</v>
      </c>
      <c r="E221" s="194" t="s">
        <v>25</v>
      </c>
      <c r="F221" s="197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342188.62633028702</v>
      </c>
      <c r="G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694667.19345041318</v>
      </c>
      <c r="H221" s="194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0</v>
      </c>
      <c r="K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7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9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6">
        <f t="shared" si="62"/>
        <v>-352478.56712012616</v>
      </c>
      <c r="O221" s="197">
        <f t="shared" si="59"/>
        <v>0</v>
      </c>
      <c r="P221" s="207">
        <f t="shared" si="63"/>
        <v>0</v>
      </c>
      <c r="Q221" s="194">
        <f>IFERROR(VLOOKUP(A221,[1]Energiindhold!$A$2:$C$11,3,FALSE),IFERROR(VLOOKUP(A221,[1]Biogasudbytte!$A$2:$B$18,2,FALSE)*[1]Energiindhold!$C$10,0))*O221</f>
        <v>0</v>
      </c>
      <c r="R221" s="194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0</v>
      </c>
      <c r="S221" s="194">
        <f>IFERROR(VLOOKUP(A221,[1]Biogasudbytte!$A$2:$B$18,2,FALSE)*[1]Energiindhold!$C$10,0)*J221*IFERROR(VLOOKUP(A221,Biogasanlæg!$F$3:$G$8,2,FALSE),1)</f>
        <v>0</v>
      </c>
      <c r="T221" s="195">
        <f t="shared" si="64"/>
        <v>0</v>
      </c>
      <c r="U221" s="193">
        <f>O221*IFERROR(VLOOKUP(A221,[1]Tørstofindhold!A$2:B$25,2,FALSE),0)</f>
        <v>0</v>
      </c>
      <c r="V221" s="194">
        <f>IF(D221=År1,P221,SUM(O221,P221))*IFERROR(VLOOKUP(A221,[1]Tørstofindhold!A$2:B$25,2,FALSE),0)</f>
        <v>0</v>
      </c>
      <c r="W221" s="194">
        <f>J221*IFERROR(VLOOKUP(A221,[1]Tørstofindhold!A$2:B$25,2,FALSE),0)</f>
        <v>0</v>
      </c>
      <c r="X221" s="195">
        <f t="shared" si="65"/>
        <v>0</v>
      </c>
      <c r="Y221" s="173">
        <f t="shared" si="60"/>
        <v>1</v>
      </c>
      <c r="Z221" s="104">
        <f t="shared" si="61"/>
        <v>0</v>
      </c>
    </row>
    <row r="222" spans="1:26" x14ac:dyDescent="0.25">
      <c r="A222" s="196" t="str">
        <f t="shared" si="56"/>
        <v>Mejeriprodukter</v>
      </c>
      <c r="B222" s="196" t="str">
        <f t="shared" si="57"/>
        <v/>
      </c>
      <c r="C222" s="196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6">
        <f t="shared" si="58"/>
        <v>2030</v>
      </c>
      <c r="E222" s="194" t="s">
        <v>25</v>
      </c>
      <c r="F222" s="197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4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7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9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6">
        <f t="shared" si="62"/>
        <v>-186738.89443173329</v>
      </c>
      <c r="O222" s="197">
        <f t="shared" si="59"/>
        <v>0</v>
      </c>
      <c r="P222" s="207">
        <f t="shared" si="63"/>
        <v>0</v>
      </c>
      <c r="Q222" s="194">
        <f>IFERROR(VLOOKUP(A222,[1]Energiindhold!$A$2:$C$11,3,FALSE),IFERROR(VLOOKUP(A222,[1]Biogasudbytte!$A$2:$B$18,2,FALSE)*[1]Energiindhold!$C$10,0))*O222</f>
        <v>0</v>
      </c>
      <c r="R222" s="194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4">
        <f>IFERROR(VLOOKUP(A222,[1]Biogasudbytte!$A$2:$B$18,2,FALSE)*[1]Energiindhold!$C$10,0)*J222*IFERROR(VLOOKUP(A222,Biogasanlæg!$F$3:$G$8,2,FALSE),1)</f>
        <v>0</v>
      </c>
      <c r="T222" s="195">
        <f t="shared" si="64"/>
        <v>0</v>
      </c>
      <c r="U222" s="193">
        <f>O222*IFERROR(VLOOKUP(A222,[1]Tørstofindhold!A$2:B$25,2,FALSE),0)</f>
        <v>0</v>
      </c>
      <c r="V222" s="194">
        <f>IF(D222=År1,P222,SUM(O222,P222))*IFERROR(VLOOKUP(A222,[1]Tørstofindhold!A$2:B$25,2,FALSE),0)</f>
        <v>0</v>
      </c>
      <c r="W222" s="194">
        <f>J222*IFERROR(VLOOKUP(A222,[1]Tørstofindhold!A$2:B$25,2,FALSE),0)</f>
        <v>0</v>
      </c>
      <c r="X222" s="195">
        <f t="shared" si="65"/>
        <v>0</v>
      </c>
      <c r="Y222" s="173">
        <f t="shared" si="60"/>
        <v>0</v>
      </c>
      <c r="Z222" s="104">
        <f t="shared" si="61"/>
        <v>1</v>
      </c>
    </row>
    <row r="223" spans="1:26" x14ac:dyDescent="0.25">
      <c r="A223" s="196" t="str">
        <f t="shared" si="56"/>
        <v>Muslinger</v>
      </c>
      <c r="B223" s="196" t="str">
        <f t="shared" si="57"/>
        <v>Havbiomasse</v>
      </c>
      <c r="C223" s="196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6">
        <f t="shared" si="58"/>
        <v>2030</v>
      </c>
      <c r="E223" s="194" t="s">
        <v>25</v>
      </c>
      <c r="F223" s="197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5757.7166864893625</v>
      </c>
      <c r="H223" s="194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7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9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6">
        <f t="shared" si="62"/>
        <v>-2543.9244433503286</v>
      </c>
      <c r="O223" s="197">
        <f t="shared" si="59"/>
        <v>0</v>
      </c>
      <c r="P223" s="207">
        <f t="shared" si="63"/>
        <v>0</v>
      </c>
      <c r="Q223" s="194">
        <f>IFERROR(VLOOKUP(A223,[1]Energiindhold!$A$2:$C$11,3,FALSE),IFERROR(VLOOKUP(A223,[1]Biogasudbytte!$A$2:$B$18,2,FALSE)*[1]Energiindhold!$C$10,0))*O223</f>
        <v>0</v>
      </c>
      <c r="R223" s="194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0</v>
      </c>
      <c r="S223" s="194">
        <f>IFERROR(VLOOKUP(A223,[1]Biogasudbytte!$A$2:$B$18,2,FALSE)*[1]Energiindhold!$C$10,0)*J223*IFERROR(VLOOKUP(A223,Biogasanlæg!$F$3:$G$8,2,FALSE),1)</f>
        <v>0</v>
      </c>
      <c r="T223" s="195">
        <f t="shared" si="64"/>
        <v>0</v>
      </c>
      <c r="U223" s="193">
        <f>O223*IFERROR(VLOOKUP(A223,[1]Tørstofindhold!A$2:B$25,2,FALSE),0)</f>
        <v>0</v>
      </c>
      <c r="V223" s="194">
        <f>IF(D223=År1,P223,SUM(O223,P223))*IFERROR(VLOOKUP(A223,[1]Tørstofindhold!A$2:B$25,2,FALSE),0)</f>
        <v>0</v>
      </c>
      <c r="W223" s="194">
        <f>J223*IFERROR(VLOOKUP(A223,[1]Tørstofindhold!A$2:B$25,2,FALSE),0)</f>
        <v>0</v>
      </c>
      <c r="X223" s="195">
        <f t="shared" si="65"/>
        <v>0</v>
      </c>
      <c r="Y223" s="173">
        <f t="shared" si="60"/>
        <v>0</v>
      </c>
      <c r="Z223" s="104">
        <f t="shared" si="61"/>
        <v>1</v>
      </c>
    </row>
    <row r="224" spans="1:26" x14ac:dyDescent="0.25">
      <c r="A224" s="196" t="str">
        <f t="shared" si="56"/>
        <v>Oksekød</v>
      </c>
      <c r="B224" s="196" t="str">
        <f t="shared" si="57"/>
        <v/>
      </c>
      <c r="C224" s="196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6">
        <f t="shared" si="58"/>
        <v>2030</v>
      </c>
      <c r="E224" s="194" t="s">
        <v>25</v>
      </c>
      <c r="F224" s="197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4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7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9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6">
        <f t="shared" si="62"/>
        <v>-44429.913859121647</v>
      </c>
      <c r="O224" s="197">
        <f t="shared" si="59"/>
        <v>0</v>
      </c>
      <c r="P224" s="207">
        <f t="shared" si="63"/>
        <v>0</v>
      </c>
      <c r="Q224" s="194">
        <f>IFERROR(VLOOKUP(A224,[1]Energiindhold!$A$2:$C$11,3,FALSE),IFERROR(VLOOKUP(A224,[1]Biogasudbytte!$A$2:$B$18,2,FALSE)*[1]Energiindhold!$C$10,0))*O224</f>
        <v>0</v>
      </c>
      <c r="R224" s="194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4">
        <f>IFERROR(VLOOKUP(A224,[1]Biogasudbytte!$A$2:$B$18,2,FALSE)*[1]Energiindhold!$C$10,0)*J224*IFERROR(VLOOKUP(A224,Biogasanlæg!$F$3:$G$8,2,FALSE),1)</f>
        <v>0</v>
      </c>
      <c r="T224" s="195">
        <f t="shared" si="64"/>
        <v>0</v>
      </c>
      <c r="U224" s="193">
        <f>O224*IFERROR(VLOOKUP(A224,[1]Tørstofindhold!A$2:B$25,2,FALSE),0)</f>
        <v>0</v>
      </c>
      <c r="V224" s="194">
        <f>IF(D224=År1,P224,SUM(O224,P224))*IFERROR(VLOOKUP(A224,[1]Tørstofindhold!A$2:B$25,2,FALSE),0)</f>
        <v>0</v>
      </c>
      <c r="W224" s="194">
        <f>J224*IFERROR(VLOOKUP(A224,[1]Tørstofindhold!A$2:B$25,2,FALSE),0)</f>
        <v>0</v>
      </c>
      <c r="X224" s="195">
        <f t="shared" si="65"/>
        <v>0</v>
      </c>
      <c r="Y224" s="173">
        <f t="shared" si="60"/>
        <v>0</v>
      </c>
      <c r="Z224" s="104">
        <f t="shared" si="61"/>
        <v>1</v>
      </c>
    </row>
    <row r="225" spans="1:26" x14ac:dyDescent="0.25">
      <c r="A225" s="196" t="str">
        <f t="shared" si="56"/>
        <v>Øvrige</v>
      </c>
      <c r="B225" s="196" t="str">
        <f t="shared" si="57"/>
        <v/>
      </c>
      <c r="C225" s="196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6">
        <f t="shared" si="58"/>
        <v>2030</v>
      </c>
      <c r="E225" s="194" t="s">
        <v>25</v>
      </c>
      <c r="F225" s="197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218053.83114290028</v>
      </c>
      <c r="G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4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7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9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6">
        <f t="shared" si="62"/>
        <v>218053.83114290028</v>
      </c>
      <c r="O225" s="197">
        <f t="shared" si="59"/>
        <v>0</v>
      </c>
      <c r="P225" s="207">
        <f t="shared" si="63"/>
        <v>0</v>
      </c>
      <c r="Q225" s="194">
        <f>IFERROR(VLOOKUP(A225,[1]Energiindhold!$A$2:$C$11,3,FALSE),IFERROR(VLOOKUP(A225,[1]Biogasudbytte!$A$2:$B$18,2,FALSE)*[1]Energiindhold!$C$10,0))*O225</f>
        <v>0</v>
      </c>
      <c r="R225" s="194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4">
        <f>IFERROR(VLOOKUP(A225,[1]Biogasudbytte!$A$2:$B$18,2,FALSE)*[1]Energiindhold!$C$10,0)*J225*IFERROR(VLOOKUP(A225,Biogasanlæg!$F$3:$G$8,2,FALSE),1)</f>
        <v>0</v>
      </c>
      <c r="T225" s="195">
        <f t="shared" si="64"/>
        <v>0</v>
      </c>
      <c r="U225" s="193">
        <f>O225*IFERROR(VLOOKUP(A225,[1]Tørstofindhold!A$2:B$25,2,FALSE),0)</f>
        <v>0</v>
      </c>
      <c r="V225" s="194">
        <f>IF(D225=År1,P225,SUM(O225,P225))*IFERROR(VLOOKUP(A225,[1]Tørstofindhold!A$2:B$25,2,FALSE),0)</f>
        <v>0</v>
      </c>
      <c r="W225" s="194">
        <f>J225*IFERROR(VLOOKUP(A225,[1]Tørstofindhold!A$2:B$25,2,FALSE),0)</f>
        <v>0</v>
      </c>
      <c r="X225" s="195">
        <f t="shared" si="65"/>
        <v>0</v>
      </c>
      <c r="Y225" s="173">
        <f t="shared" si="60"/>
        <v>0</v>
      </c>
      <c r="Z225" s="104">
        <f t="shared" si="61"/>
        <v>1</v>
      </c>
    </row>
    <row r="226" spans="1:26" x14ac:dyDescent="0.25">
      <c r="A226" s="196" t="str">
        <f t="shared" si="56"/>
        <v>Pil &amp; poppel</v>
      </c>
      <c r="B226" s="196" t="str">
        <f t="shared" si="57"/>
        <v>Vedmasse</v>
      </c>
      <c r="C226" s="196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6">
        <f t="shared" si="58"/>
        <v>2030</v>
      </c>
      <c r="E226" s="194" t="s">
        <v>25</v>
      </c>
      <c r="F226" s="197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31330.310934881738</v>
      </c>
      <c r="G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4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7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31330.310934881738</v>
      </c>
      <c r="M226" s="159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6">
        <f t="shared" si="62"/>
        <v>0</v>
      </c>
      <c r="O226" s="197">
        <f t="shared" si="59"/>
        <v>0</v>
      </c>
      <c r="P226" s="207">
        <f t="shared" si="63"/>
        <v>31330.310934881738</v>
      </c>
      <c r="Q226" s="194">
        <f>IFERROR(VLOOKUP(A226,[1]Energiindhold!$A$2:$C$11,3,FALSE),IFERROR(VLOOKUP(A226,[1]Biogasudbytte!$A$2:$B$18,2,FALSE)*[1]Energiindhold!$C$10,0))*O226</f>
        <v>0</v>
      </c>
      <c r="R226" s="194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0.57647772120182383</v>
      </c>
      <c r="S226" s="194">
        <f>IFERROR(VLOOKUP(A226,[1]Biogasudbytte!$A$2:$B$18,2,FALSE)*[1]Energiindhold!$C$10,0)*J226*IFERROR(VLOOKUP(A226,Biogasanlæg!$F$3:$G$8,2,FALSE),1)</f>
        <v>0</v>
      </c>
      <c r="T226" s="195">
        <f t="shared" si="64"/>
        <v>0.57647772120182383</v>
      </c>
      <c r="U226" s="193">
        <f>O226*IFERROR(VLOOKUP(A226,[1]Tørstofindhold!A$2:B$25,2,FALSE),0)</f>
        <v>0</v>
      </c>
      <c r="V226" s="194">
        <f>IF(D226=År1,P226,SUM(O226,P226))*IFERROR(VLOOKUP(A226,[1]Tørstofindhold!A$2:B$25,2,FALSE),0)</f>
        <v>13002.079037975922</v>
      </c>
      <c r="W226" s="194">
        <f>J226*IFERROR(VLOOKUP(A226,[1]Tørstofindhold!A$2:B$25,2,FALSE),0)</f>
        <v>0</v>
      </c>
      <c r="X226" s="195">
        <f t="shared" si="65"/>
        <v>13002.079037975922</v>
      </c>
      <c r="Y226" s="173">
        <f t="shared" si="60"/>
        <v>0</v>
      </c>
      <c r="Z226" s="104">
        <f t="shared" si="61"/>
        <v>0</v>
      </c>
    </row>
    <row r="227" spans="1:26" x14ac:dyDescent="0.25">
      <c r="A227" s="196" t="str">
        <f t="shared" ref="A227:A228" si="66">A179</f>
        <v>Pyrolysegas</v>
      </c>
      <c r="B227" s="196" t="str">
        <f t="shared" ref="B227:B228" si="67">IF(B179&lt;&gt;"",B179,"")</f>
        <v>Pyrolyseprodukter</v>
      </c>
      <c r="C227" s="196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6">
        <f t="shared" si="58"/>
        <v>2030</v>
      </c>
      <c r="E227" s="194" t="s">
        <v>25</v>
      </c>
      <c r="F227" s="197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252043.75752108541</v>
      </c>
      <c r="G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4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7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252043.75752108541</v>
      </c>
      <c r="M227" s="159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6">
        <f t="shared" ref="N227:N228" si="68">F227-SUM(G227:M227)</f>
        <v>0</v>
      </c>
      <c r="O227" s="197">
        <f t="shared" si="59"/>
        <v>0</v>
      </c>
      <c r="P227" s="207">
        <f t="shared" ref="P227:P228" si="69">SUM(J227,L227)</f>
        <v>252043.75752108541</v>
      </c>
      <c r="Q227" s="194">
        <f>IFERROR(VLOOKUP(A227,[1]Energiindhold!$A$2:$C$11,3,FALSE),IFERROR(VLOOKUP(A227,[1]Biogasudbytte!$A$2:$B$18,2,FALSE)*[1]Energiindhold!$C$10,0))*O227</f>
        <v>0</v>
      </c>
      <c r="R227" s="194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2.258672129899669</v>
      </c>
      <c r="S227" s="194">
        <f>IFERROR(VLOOKUP(A227,[1]Biogasudbytte!$A$2:$B$18,2,FALSE)*[1]Energiindhold!$C$10,0)*J227*IFERROR(VLOOKUP(A227,Biogasanlæg!$F$3:$G$8,2,FALSE),1)</f>
        <v>0</v>
      </c>
      <c r="T227" s="195">
        <f t="shared" ref="T227:T228" si="70">R227-S227</f>
        <v>2.258672129899669</v>
      </c>
      <c r="U227" s="193">
        <f>O227*IFERROR(VLOOKUP(A227,[1]Tørstofindhold!A$2:B$25,2,FALSE),0)</f>
        <v>0</v>
      </c>
      <c r="V227" s="194">
        <f>IF(D227=År1,P227,SUM(O227,P227))*IFERROR(VLOOKUP(A227,[1]Tørstofindhold!A$2:B$25,2,FALSE),0)</f>
        <v>0</v>
      </c>
      <c r="W227" s="194">
        <f>J227*IFERROR(VLOOKUP(A227,[1]Tørstofindhold!A$2:B$25,2,FALSE),0)</f>
        <v>0</v>
      </c>
      <c r="X227" s="195">
        <f t="shared" ref="X227:X228" si="71">V227-W227</f>
        <v>0</v>
      </c>
      <c r="Y227" s="173">
        <f t="shared" si="60"/>
        <v>0</v>
      </c>
      <c r="Z227" s="104">
        <f t="shared" si="61"/>
        <v>0</v>
      </c>
    </row>
    <row r="228" spans="1:26" x14ac:dyDescent="0.25">
      <c r="A228" s="196" t="str">
        <f t="shared" si="66"/>
        <v>Pyrolyseolie</v>
      </c>
      <c r="B228" s="196" t="str">
        <f t="shared" si="67"/>
        <v>Pyrolyseprodukter</v>
      </c>
      <c r="C228" s="196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6">
        <f t="shared" si="58"/>
        <v>2030</v>
      </c>
      <c r="E228" s="194" t="s">
        <v>25</v>
      </c>
      <c r="F228" s="197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63010.939380271353</v>
      </c>
      <c r="G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4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7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63010.939380271353</v>
      </c>
      <c r="M228" s="159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6">
        <f t="shared" si="68"/>
        <v>0</v>
      </c>
      <c r="O228" s="197">
        <f t="shared" si="59"/>
        <v>0</v>
      </c>
      <c r="P228" s="207">
        <f t="shared" si="69"/>
        <v>63010.939380271353</v>
      </c>
      <c r="Q228" s="194">
        <f>IFERROR(VLOOKUP(A228,[1]Energiindhold!$A$2:$C$11,3,FALSE),IFERROR(VLOOKUP(A228,[1]Biogasudbytte!$A$2:$B$18,2,FALSE)*[1]Energiindhold!$C$10,0))*O228</f>
        <v>0</v>
      </c>
      <c r="R228" s="194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2.0962839375539413</v>
      </c>
      <c r="S228" s="194">
        <f>IFERROR(VLOOKUP(A228,[1]Biogasudbytte!$A$2:$B$18,2,FALSE)*[1]Energiindhold!$C$10,0)*J228*IFERROR(VLOOKUP(A228,Biogasanlæg!$F$3:$G$8,2,FALSE),1)</f>
        <v>0</v>
      </c>
      <c r="T228" s="195">
        <f t="shared" si="70"/>
        <v>2.0962839375539413</v>
      </c>
      <c r="U228" s="193">
        <f>O228*IFERROR(VLOOKUP(A228,[1]Tørstofindhold!A$2:B$25,2,FALSE),0)</f>
        <v>0</v>
      </c>
      <c r="V228" s="194">
        <f>IF(D228=År1,P228,SUM(O228,P228))*IFERROR(VLOOKUP(A228,[1]Tørstofindhold!A$2:B$25,2,FALSE),0)</f>
        <v>0</v>
      </c>
      <c r="W228" s="194">
        <f>J228*IFERROR(VLOOKUP(A228,[1]Tørstofindhold!A$2:B$25,2,FALSE),0)</f>
        <v>0</v>
      </c>
      <c r="X228" s="195">
        <f t="shared" si="71"/>
        <v>0</v>
      </c>
      <c r="Y228" s="173">
        <f t="shared" si="60"/>
        <v>0</v>
      </c>
      <c r="Z228" s="104">
        <f t="shared" si="61"/>
        <v>0</v>
      </c>
    </row>
    <row r="229" spans="1:26" x14ac:dyDescent="0.25">
      <c r="A229" s="196" t="str">
        <f t="shared" ref="A229:A274" si="72">A181</f>
        <v>Råmælk</v>
      </c>
      <c r="B229" s="196" t="str">
        <f t="shared" ref="B229:B274" si="73">IF(B181&lt;&gt;"",B181,"")</f>
        <v/>
      </c>
      <c r="C229" s="196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6">
        <f t="shared" si="58"/>
        <v>2030</v>
      </c>
      <c r="E229" s="194" t="s">
        <v>25</v>
      </c>
      <c r="F229" s="197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4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7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9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6">
        <f t="shared" si="62"/>
        <v>346161.09873740864</v>
      </c>
      <c r="O229" s="197">
        <f t="shared" si="59"/>
        <v>0</v>
      </c>
      <c r="P229" s="207">
        <f t="shared" si="63"/>
        <v>0</v>
      </c>
      <c r="Q229" s="194">
        <f>IFERROR(VLOOKUP(A229,[1]Energiindhold!$A$2:$C$11,3,FALSE),IFERROR(VLOOKUP(A229,[1]Biogasudbytte!$A$2:$B$18,2,FALSE)*[1]Energiindhold!$C$10,0))*O229</f>
        <v>0</v>
      </c>
      <c r="R229" s="194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4">
        <f>IFERROR(VLOOKUP(A229,[1]Biogasudbytte!$A$2:$B$18,2,FALSE)*[1]Energiindhold!$C$10,0)*J229*IFERROR(VLOOKUP(A229,Biogasanlæg!$F$3:$G$8,2,FALSE),1)</f>
        <v>0</v>
      </c>
      <c r="T229" s="195">
        <f t="shared" si="64"/>
        <v>0</v>
      </c>
      <c r="U229" s="193">
        <f>O229*IFERROR(VLOOKUP(A229,[1]Tørstofindhold!A$2:B$25,2,FALSE),0)</f>
        <v>0</v>
      </c>
      <c r="V229" s="194">
        <f>IF(D229=År1,P229,SUM(O229,P229))*IFERROR(VLOOKUP(A229,[1]Tørstofindhold!A$2:B$25,2,FALSE),0)</f>
        <v>0</v>
      </c>
      <c r="W229" s="194">
        <f>J229*IFERROR(VLOOKUP(A229,[1]Tørstofindhold!A$2:B$25,2,FALSE),0)</f>
        <v>0</v>
      </c>
      <c r="X229" s="195">
        <f t="shared" si="65"/>
        <v>0</v>
      </c>
      <c r="Y229" s="173">
        <f t="shared" si="60"/>
        <v>0</v>
      </c>
      <c r="Z229" s="104">
        <f t="shared" si="61"/>
        <v>1</v>
      </c>
    </row>
    <row r="230" spans="1:26" x14ac:dyDescent="0.25">
      <c r="A230" s="196" t="str">
        <f t="shared" si="72"/>
        <v>Raps</v>
      </c>
      <c r="B230" s="196" t="str">
        <f t="shared" si="73"/>
        <v/>
      </c>
      <c r="C230" s="196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6">
        <f t="shared" si="58"/>
        <v>2030</v>
      </c>
      <c r="E230" s="194" t="s">
        <v>25</v>
      </c>
      <c r="F230" s="197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115336.64661622414</v>
      </c>
      <c r="G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4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7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9">
        <f>SUMIFS('Forbrug af biomasse'!E:E,'Forbrug af biomasse'!C:C,'Resultat-Produktion &amp; forbrug'!$A230,'Forbrug af biomasse'!D:D,'Resultat-Produktion &amp; forbrug'!$D230,'Forbrug af biomasse'!G:G,1,'Forbrug af biomasse'!B:B,$E230)</f>
        <v>115336.64661622414</v>
      </c>
      <c r="N230" s="206">
        <f t="shared" si="62"/>
        <v>0</v>
      </c>
      <c r="O230" s="197">
        <f t="shared" si="59"/>
        <v>0</v>
      </c>
      <c r="P230" s="207">
        <f t="shared" si="63"/>
        <v>0</v>
      </c>
      <c r="Q230" s="194">
        <f>IFERROR(VLOOKUP(A230,[1]Energiindhold!$A$2:$C$11,3,FALSE),IFERROR(VLOOKUP(A230,[1]Biogasudbytte!$A$2:$B$18,2,FALSE)*[1]Energiindhold!$C$10,0))*O230</f>
        <v>0</v>
      </c>
      <c r="R230" s="194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4">
        <f>IFERROR(VLOOKUP(A230,[1]Biogasudbytte!$A$2:$B$18,2,FALSE)*[1]Energiindhold!$C$10,0)*J230*IFERROR(VLOOKUP(A230,Biogasanlæg!$F$3:$G$8,2,FALSE),1)</f>
        <v>0</v>
      </c>
      <c r="T230" s="195">
        <f t="shared" si="64"/>
        <v>0</v>
      </c>
      <c r="U230" s="193">
        <f>O230*IFERROR(VLOOKUP(A230,[1]Tørstofindhold!A$2:B$25,2,FALSE),0)</f>
        <v>0</v>
      </c>
      <c r="V230" s="194">
        <f>IF(D230=År1,P230,SUM(O230,P230))*IFERROR(VLOOKUP(A230,[1]Tørstofindhold!A$2:B$25,2,FALSE),0)</f>
        <v>0</v>
      </c>
      <c r="W230" s="194">
        <f>J230*IFERROR(VLOOKUP(A230,[1]Tørstofindhold!A$2:B$25,2,FALSE),0)</f>
        <v>0</v>
      </c>
      <c r="X230" s="195">
        <f t="shared" si="65"/>
        <v>0</v>
      </c>
      <c r="Y230" s="173">
        <f t="shared" si="60"/>
        <v>0</v>
      </c>
      <c r="Z230" s="104">
        <f t="shared" si="61"/>
        <v>0</v>
      </c>
    </row>
    <row r="231" spans="1:26" x14ac:dyDescent="0.25">
      <c r="A231" s="196" t="str">
        <f t="shared" si="72"/>
        <v>Rapskage</v>
      </c>
      <c r="B231" s="196" t="str">
        <f t="shared" si="73"/>
        <v/>
      </c>
      <c r="C231" s="196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6">
        <f t="shared" si="58"/>
        <v>2030</v>
      </c>
      <c r="E231" s="194" t="s">
        <v>25</v>
      </c>
      <c r="F231" s="197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57668.323308112071</v>
      </c>
      <c r="G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4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7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9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6">
        <f t="shared" si="62"/>
        <v>31389.553806113694</v>
      </c>
      <c r="O231" s="197">
        <f t="shared" si="59"/>
        <v>0</v>
      </c>
      <c r="P231" s="207">
        <f t="shared" si="63"/>
        <v>0</v>
      </c>
      <c r="Q231" s="194">
        <f>IFERROR(VLOOKUP(A231,[1]Energiindhold!$A$2:$C$11,3,FALSE),IFERROR(VLOOKUP(A231,[1]Biogasudbytte!$A$2:$B$18,2,FALSE)*[1]Energiindhold!$C$10,0))*O231</f>
        <v>0</v>
      </c>
      <c r="R231" s="194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4">
        <f>IFERROR(VLOOKUP(A231,[1]Biogasudbytte!$A$2:$B$18,2,FALSE)*[1]Energiindhold!$C$10,0)*J231*IFERROR(VLOOKUP(A231,Biogasanlæg!$F$3:$G$8,2,FALSE),1)</f>
        <v>0</v>
      </c>
      <c r="T231" s="195">
        <f t="shared" si="64"/>
        <v>0</v>
      </c>
      <c r="U231" s="193">
        <f>O231*IFERROR(VLOOKUP(A231,[1]Tørstofindhold!A$2:B$25,2,FALSE),0)</f>
        <v>0</v>
      </c>
      <c r="V231" s="194">
        <f>IF(D231=År1,P231,SUM(O231,P231))*IFERROR(VLOOKUP(A231,[1]Tørstofindhold!A$2:B$25,2,FALSE),0)</f>
        <v>0</v>
      </c>
      <c r="W231" s="194">
        <f>J231*IFERROR(VLOOKUP(A231,[1]Tørstofindhold!A$2:B$25,2,FALSE),0)</f>
        <v>0</v>
      </c>
      <c r="X231" s="195">
        <f t="shared" si="65"/>
        <v>0</v>
      </c>
      <c r="Y231" s="173">
        <f t="shared" si="60"/>
        <v>1</v>
      </c>
      <c r="Z231" s="104">
        <f t="shared" si="61"/>
        <v>0</v>
      </c>
    </row>
    <row r="232" spans="1:26" x14ac:dyDescent="0.25">
      <c r="A232" s="196" t="str">
        <f t="shared" si="72"/>
        <v>Rapsolie</v>
      </c>
      <c r="B232" s="196" t="str">
        <f t="shared" si="73"/>
        <v>Rapsolie</v>
      </c>
      <c r="C232" s="196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6">
        <f t="shared" si="58"/>
        <v>2030</v>
      </c>
      <c r="E232" s="194" t="s">
        <v>25</v>
      </c>
      <c r="F232" s="197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36907.726917191729</v>
      </c>
      <c r="G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4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7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36907.726917191729</v>
      </c>
      <c r="M232" s="159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6">
        <f t="shared" si="62"/>
        <v>0</v>
      </c>
      <c r="O232" s="197">
        <f t="shared" si="59"/>
        <v>0</v>
      </c>
      <c r="P232" s="207">
        <f t="shared" si="63"/>
        <v>36907.726917191729</v>
      </c>
      <c r="Q232" s="194">
        <f>IFERROR(VLOOKUP(A232,[1]Energiindhold!$A$2:$C$11,3,FALSE),IFERROR(VLOOKUP(A232,[1]Biogasudbytte!$A$2:$B$18,2,FALSE)*[1]Energiindhold!$C$10,0))*O232</f>
        <v>0</v>
      </c>
      <c r="R232" s="194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1.2917704421017104</v>
      </c>
      <c r="S232" s="194">
        <f>IFERROR(VLOOKUP(A232,[1]Biogasudbytte!$A$2:$B$18,2,FALSE)*[1]Energiindhold!$C$10,0)*J232*IFERROR(VLOOKUP(A232,Biogasanlæg!$F$3:$G$8,2,FALSE),1)</f>
        <v>0</v>
      </c>
      <c r="T232" s="195">
        <f t="shared" si="64"/>
        <v>1.2917704421017104</v>
      </c>
      <c r="U232" s="193">
        <f>O232*IFERROR(VLOOKUP(A232,[1]Tørstofindhold!A$2:B$25,2,FALSE),0)</f>
        <v>0</v>
      </c>
      <c r="V232" s="194">
        <f>IF(D232=År1,P232,SUM(O232,P232))*IFERROR(VLOOKUP(A232,[1]Tørstofindhold!A$2:B$25,2,FALSE),0)</f>
        <v>33586.031494644478</v>
      </c>
      <c r="W232" s="194">
        <f>J232*IFERROR(VLOOKUP(A232,[1]Tørstofindhold!A$2:B$25,2,FALSE),0)</f>
        <v>0</v>
      </c>
      <c r="X232" s="195">
        <f t="shared" si="65"/>
        <v>33586.031494644478</v>
      </c>
      <c r="Y232" s="173">
        <f t="shared" si="60"/>
        <v>0</v>
      </c>
      <c r="Z232" s="104">
        <f t="shared" si="61"/>
        <v>0</v>
      </c>
    </row>
    <row r="233" spans="1:26" x14ac:dyDescent="0.25">
      <c r="A233" s="196" t="str">
        <f t="shared" si="72"/>
        <v>Roer</v>
      </c>
      <c r="B233" s="196" t="str">
        <f t="shared" si="73"/>
        <v>Græs og urter</v>
      </c>
      <c r="C233" s="196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6">
        <f t="shared" si="58"/>
        <v>2030</v>
      </c>
      <c r="E233" s="194" t="s">
        <v>25</v>
      </c>
      <c r="F233" s="197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2129245.811636521</v>
      </c>
      <c r="G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106617.6128076231</v>
      </c>
      <c r="H233" s="194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0</v>
      </c>
      <c r="K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7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9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6">
        <f t="shared" si="62"/>
        <v>2022628.1988288979</v>
      </c>
      <c r="O233" s="197">
        <f t="shared" si="59"/>
        <v>1434089.1049770473</v>
      </c>
      <c r="P233" s="207">
        <f t="shared" si="63"/>
        <v>0</v>
      </c>
      <c r="Q233" s="194">
        <f>IFERROR(VLOOKUP(A233,[1]Energiindhold!$A$2:$C$11,3,FALSE),IFERROR(VLOOKUP(A233,[1]Biogasudbytte!$A$2:$B$18,2,FALSE)*[1]Energiindhold!$C$10,0))*O233</f>
        <v>3.8921751944719056</v>
      </c>
      <c r="R233" s="194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3.8921751944719056</v>
      </c>
      <c r="S233" s="194">
        <f>IFERROR(VLOOKUP(A233,[1]Biogasudbytte!$A$2:$B$18,2,FALSE)*[1]Energiindhold!$C$10,0)*J233*IFERROR(VLOOKUP(A233,Biogasanlæg!$F$3:$G$8,2,FALSE),1)</f>
        <v>0</v>
      </c>
      <c r="T233" s="195">
        <f t="shared" si="64"/>
        <v>3.8921751944719056</v>
      </c>
      <c r="U233" s="193">
        <f>O233*IFERROR(VLOOKUP(A233,[1]Tørstofindhold!A$2:B$25,2,FALSE),0)</f>
        <v>286817.82099540945</v>
      </c>
      <c r="V233" s="194">
        <f>IF(D233=År1,P233,SUM(O233,P233))*IFERROR(VLOOKUP(A233,[1]Tørstofindhold!A$2:B$25,2,FALSE),0)</f>
        <v>286817.82099540945</v>
      </c>
      <c r="W233" s="194">
        <f>J233*IFERROR(VLOOKUP(A233,[1]Tørstofindhold!A$2:B$25,2,FALSE),0)</f>
        <v>0</v>
      </c>
      <c r="X233" s="195">
        <f t="shared" si="65"/>
        <v>286817.82099540945</v>
      </c>
      <c r="Y233" s="173">
        <f t="shared" si="60"/>
        <v>0</v>
      </c>
      <c r="Z233" s="104">
        <f t="shared" si="61"/>
        <v>1</v>
      </c>
    </row>
    <row r="234" spans="1:26" x14ac:dyDescent="0.25">
      <c r="A234" s="196" t="str">
        <f t="shared" si="72"/>
        <v>Slagteriaffald til andet</v>
      </c>
      <c r="B234" s="196" t="str">
        <f t="shared" si="73"/>
        <v/>
      </c>
      <c r="C234" s="196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6">
        <f t="shared" si="58"/>
        <v>2030</v>
      </c>
      <c r="E234" s="194" t="s">
        <v>25</v>
      </c>
      <c r="F234" s="197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4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7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9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6">
        <f t="shared" si="62"/>
        <v>22535.823292320583</v>
      </c>
      <c r="O234" s="197">
        <f t="shared" si="59"/>
        <v>0</v>
      </c>
      <c r="P234" s="207">
        <f t="shared" si="63"/>
        <v>0</v>
      </c>
      <c r="Q234" s="194">
        <f>IFERROR(VLOOKUP(A234,[1]Energiindhold!$A$2:$C$11,3,FALSE),IFERROR(VLOOKUP(A234,[1]Biogasudbytte!$A$2:$B$18,2,FALSE)*[1]Energiindhold!$C$10,0))*O234</f>
        <v>0</v>
      </c>
      <c r="R234" s="194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4">
        <f>IFERROR(VLOOKUP(A234,[1]Biogasudbytte!$A$2:$B$18,2,FALSE)*[1]Energiindhold!$C$10,0)*J234*IFERROR(VLOOKUP(A234,Biogasanlæg!$F$3:$G$8,2,FALSE),1)</f>
        <v>0</v>
      </c>
      <c r="T234" s="195">
        <f t="shared" si="64"/>
        <v>0</v>
      </c>
      <c r="U234" s="193">
        <f>O234*IFERROR(VLOOKUP(A234,[1]Tørstofindhold!A$2:B$25,2,FALSE),0)</f>
        <v>0</v>
      </c>
      <c r="V234" s="194">
        <f>IF(D234=År1,P234,SUM(O234,P234))*IFERROR(VLOOKUP(A234,[1]Tørstofindhold!A$2:B$25,2,FALSE),0)</f>
        <v>0</v>
      </c>
      <c r="W234" s="194">
        <f>J234*IFERROR(VLOOKUP(A234,[1]Tørstofindhold!A$2:B$25,2,FALSE),0)</f>
        <v>0</v>
      </c>
      <c r="X234" s="195">
        <f t="shared" si="65"/>
        <v>0</v>
      </c>
      <c r="Y234" s="173">
        <f t="shared" si="60"/>
        <v>0</v>
      </c>
      <c r="Z234" s="104">
        <f t="shared" si="61"/>
        <v>1</v>
      </c>
    </row>
    <row r="235" spans="1:26" x14ac:dyDescent="0.25">
      <c r="A235" s="196" t="str">
        <f t="shared" si="72"/>
        <v>Slagteriaffald til foder</v>
      </c>
      <c r="B235" s="196" t="str">
        <f t="shared" si="73"/>
        <v/>
      </c>
      <c r="C235" s="196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6">
        <f t="shared" si="58"/>
        <v>2030</v>
      </c>
      <c r="E235" s="194" t="s">
        <v>25</v>
      </c>
      <c r="F235" s="197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4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7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9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6">
        <f t="shared" si="62"/>
        <v>13452.493793691661</v>
      </c>
      <c r="O235" s="197">
        <f t="shared" si="59"/>
        <v>0</v>
      </c>
      <c r="P235" s="207">
        <f t="shared" si="63"/>
        <v>0</v>
      </c>
      <c r="Q235" s="194">
        <f>IFERROR(VLOOKUP(A235,[1]Energiindhold!$A$2:$C$11,3,FALSE),IFERROR(VLOOKUP(A235,[1]Biogasudbytte!$A$2:$B$18,2,FALSE)*[1]Energiindhold!$C$10,0))*O235</f>
        <v>0</v>
      </c>
      <c r="R235" s="194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4">
        <f>IFERROR(VLOOKUP(A235,[1]Biogasudbytte!$A$2:$B$18,2,FALSE)*[1]Energiindhold!$C$10,0)*J235*IFERROR(VLOOKUP(A235,Biogasanlæg!$F$3:$G$8,2,FALSE),1)</f>
        <v>0</v>
      </c>
      <c r="T235" s="195">
        <f t="shared" si="64"/>
        <v>0</v>
      </c>
      <c r="U235" s="193">
        <f>O235*IFERROR(VLOOKUP(A235,[1]Tørstofindhold!A$2:B$25,2,FALSE),0)</f>
        <v>0</v>
      </c>
      <c r="V235" s="194">
        <f>IF(D235=År1,P235,SUM(O235,P235))*IFERROR(VLOOKUP(A235,[1]Tørstofindhold!A$2:B$25,2,FALSE),0)</f>
        <v>0</v>
      </c>
      <c r="W235" s="194">
        <f>J235*IFERROR(VLOOKUP(A235,[1]Tørstofindhold!A$2:B$25,2,FALSE),0)</f>
        <v>0</v>
      </c>
      <c r="X235" s="195">
        <f t="shared" si="65"/>
        <v>0</v>
      </c>
      <c r="Y235" s="173">
        <f t="shared" si="60"/>
        <v>0</v>
      </c>
      <c r="Z235" s="104">
        <f t="shared" si="61"/>
        <v>1</v>
      </c>
    </row>
    <row r="236" spans="1:26" x14ac:dyDescent="0.25">
      <c r="A236" s="196" t="str">
        <f t="shared" si="72"/>
        <v>Spildevandsslam</v>
      </c>
      <c r="B236" s="196" t="str">
        <f t="shared" si="73"/>
        <v>Bionedbrydeligt affald</v>
      </c>
      <c r="C236" s="196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6">
        <f t="shared" si="58"/>
        <v>2030</v>
      </c>
      <c r="E236" s="194" t="s">
        <v>25</v>
      </c>
      <c r="F236" s="197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4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1672027.0453821167</v>
      </c>
      <c r="K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7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9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6">
        <f t="shared" si="62"/>
        <v>1672027.0453821167</v>
      </c>
      <c r="O236" s="197">
        <f t="shared" si="59"/>
        <v>1672027.0453821167</v>
      </c>
      <c r="P236" s="207">
        <f t="shared" si="63"/>
        <v>1672027.0453821167</v>
      </c>
      <c r="Q236" s="194">
        <f>IFERROR(VLOOKUP(A236,[1]Energiindhold!$A$2:$C$11,3,FALSE),IFERROR(VLOOKUP(A236,[1]Biogasudbytte!$A$2:$B$18,2,FALSE)*[1]Energiindhold!$C$10,0))*O236</f>
        <v>0.83435821591613013</v>
      </c>
      <c r="R236" s="194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1.6687164318322603</v>
      </c>
      <c r="S236" s="194">
        <f>IFERROR(VLOOKUP(A236,[1]Biogasudbytte!$A$2:$B$18,2,FALSE)*[1]Energiindhold!$C$10,0)*J236*IFERROR(VLOOKUP(A236,Biogasanlæg!$F$3:$G$8,2,FALSE),1)</f>
        <v>0.83435821591613013</v>
      </c>
      <c r="T236" s="195">
        <f t="shared" si="64"/>
        <v>0.83435821591613013</v>
      </c>
      <c r="U236" s="193">
        <f>O236*IFERROR(VLOOKUP(A236,[1]Tørstofindhold!A$2:B$25,2,FALSE),0)</f>
        <v>100321.622722927</v>
      </c>
      <c r="V236" s="194">
        <f>IF(D236=År1,P236,SUM(O236,P236))*IFERROR(VLOOKUP(A236,[1]Tørstofindhold!A$2:B$25,2,FALSE),0)</f>
        <v>200643.245445854</v>
      </c>
      <c r="W236" s="194">
        <f>J236*IFERROR(VLOOKUP(A236,[1]Tørstofindhold!A$2:B$25,2,FALSE),0)</f>
        <v>100321.622722927</v>
      </c>
      <c r="X236" s="195">
        <f t="shared" si="65"/>
        <v>100321.622722927</v>
      </c>
      <c r="Y236" s="173">
        <f t="shared" si="60"/>
        <v>0</v>
      </c>
      <c r="Z236" s="104">
        <f t="shared" si="61"/>
        <v>1</v>
      </c>
    </row>
    <row r="237" spans="1:26" x14ac:dyDescent="0.25">
      <c r="A237" s="196" t="str">
        <f t="shared" si="72"/>
        <v>Svinegylle</v>
      </c>
      <c r="B237" s="196" t="str">
        <f t="shared" si="73"/>
        <v>Husdyrgødning</v>
      </c>
      <c r="C237" s="196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6">
        <f t="shared" si="58"/>
        <v>2030</v>
      </c>
      <c r="E237" s="194" t="s">
        <v>25</v>
      </c>
      <c r="F237" s="197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4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1419794.8947278499</v>
      </c>
      <c r="K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764504.94331499608</v>
      </c>
      <c r="L237" s="197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9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6">
        <f t="shared" si="62"/>
        <v>0</v>
      </c>
      <c r="O237" s="197">
        <f t="shared" si="59"/>
        <v>0</v>
      </c>
      <c r="P237" s="207">
        <f t="shared" si="63"/>
        <v>1419794.8947278499</v>
      </c>
      <c r="Q237" s="194">
        <f>IFERROR(VLOOKUP(A237,[1]Energiindhold!$A$2:$C$11,3,FALSE),IFERROR(VLOOKUP(A237,[1]Biogasudbytte!$A$2:$B$18,2,FALSE)*[1]Energiindhold!$C$10,0))*O237</f>
        <v>0</v>
      </c>
      <c r="R237" s="194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0.61164764064875787</v>
      </c>
      <c r="S237" s="194">
        <f>IFERROR(VLOOKUP(A237,[1]Biogasudbytte!$A$2:$B$18,2,FALSE)*[1]Energiindhold!$C$10,0)*J237*IFERROR(VLOOKUP(A237,Biogasanlæg!$F$3:$G$8,2,FALSE),1)</f>
        <v>0.61164764064875787</v>
      </c>
      <c r="T237" s="195">
        <f t="shared" si="64"/>
        <v>0</v>
      </c>
      <c r="U237" s="193">
        <f>O237*IFERROR(VLOOKUP(A237,[1]Tørstofindhold!A$2:B$25,2,FALSE),0)</f>
        <v>0</v>
      </c>
      <c r="V237" s="194">
        <f>IF(D237=År1,P237,SUM(O237,P237))*IFERROR(VLOOKUP(A237,[1]Tørstofindhold!A$2:B$25,2,FALSE),0)</f>
        <v>70989.744736392502</v>
      </c>
      <c r="W237" s="194">
        <f>J237*IFERROR(VLOOKUP(A237,[1]Tørstofindhold!A$2:B$25,2,FALSE),0)</f>
        <v>70989.744736392502</v>
      </c>
      <c r="X237" s="195">
        <f t="shared" si="65"/>
        <v>0</v>
      </c>
      <c r="Y237" s="173">
        <f t="shared" si="60"/>
        <v>0</v>
      </c>
      <c r="Z237" s="104">
        <f t="shared" si="61"/>
        <v>0</v>
      </c>
    </row>
    <row r="238" spans="1:26" x14ac:dyDescent="0.25">
      <c r="A238" s="196" t="str">
        <f t="shared" si="72"/>
        <v>Svinekød</v>
      </c>
      <c r="B238" s="196" t="str">
        <f t="shared" si="73"/>
        <v/>
      </c>
      <c r="C238" s="196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6">
        <f t="shared" si="58"/>
        <v>2030</v>
      </c>
      <c r="E238" s="194" t="s">
        <v>25</v>
      </c>
      <c r="F238" s="197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4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7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9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6">
        <f t="shared" si="62"/>
        <v>94143.6721787524</v>
      </c>
      <c r="O238" s="197">
        <f t="shared" si="59"/>
        <v>0</v>
      </c>
      <c r="P238" s="207">
        <f t="shared" si="63"/>
        <v>0</v>
      </c>
      <c r="Q238" s="194">
        <f>IFERROR(VLOOKUP(A238,[1]Energiindhold!$A$2:$C$11,3,FALSE),IFERROR(VLOOKUP(A238,[1]Biogasudbytte!$A$2:$B$18,2,FALSE)*[1]Energiindhold!$C$10,0))*O238</f>
        <v>0</v>
      </c>
      <c r="R238" s="194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4">
        <f>IFERROR(VLOOKUP(A238,[1]Biogasudbytte!$A$2:$B$18,2,FALSE)*[1]Energiindhold!$C$10,0)*J238*IFERROR(VLOOKUP(A238,Biogasanlæg!$F$3:$G$8,2,FALSE),1)</f>
        <v>0</v>
      </c>
      <c r="T238" s="195">
        <f t="shared" si="64"/>
        <v>0</v>
      </c>
      <c r="U238" s="193">
        <f>O238*IFERROR(VLOOKUP(A238,[1]Tørstofindhold!A$2:B$25,2,FALSE),0)</f>
        <v>0</v>
      </c>
      <c r="V238" s="194">
        <f>IF(D238=År1,P238,SUM(O238,P238))*IFERROR(VLOOKUP(A238,[1]Tørstofindhold!A$2:B$25,2,FALSE),0)</f>
        <v>0</v>
      </c>
      <c r="W238" s="194">
        <f>J238*IFERROR(VLOOKUP(A238,[1]Tørstofindhold!A$2:B$25,2,FALSE),0)</f>
        <v>0</v>
      </c>
      <c r="X238" s="195">
        <f t="shared" si="65"/>
        <v>0</v>
      </c>
      <c r="Y238" s="173">
        <f t="shared" si="60"/>
        <v>0</v>
      </c>
      <c r="Z238" s="104">
        <f t="shared" si="61"/>
        <v>1</v>
      </c>
    </row>
    <row r="239" spans="1:26" x14ac:dyDescent="0.25">
      <c r="A239" s="196" t="str">
        <f t="shared" si="72"/>
        <v>Tang</v>
      </c>
      <c r="B239" s="196" t="str">
        <f t="shared" si="73"/>
        <v>Havbiomasse</v>
      </c>
      <c r="C239" s="196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6">
        <f t="shared" si="58"/>
        <v>2030</v>
      </c>
      <c r="E239" s="194" t="s">
        <v>25</v>
      </c>
      <c r="F239" s="197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1193.879489404412</v>
      </c>
      <c r="H239" s="194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7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9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6">
        <f t="shared" si="62"/>
        <v>3306.1205105955878</v>
      </c>
      <c r="O239" s="197">
        <f t="shared" si="59"/>
        <v>3306.1205105955878</v>
      </c>
      <c r="P239" s="207">
        <f t="shared" si="63"/>
        <v>0</v>
      </c>
      <c r="Q239" s="194">
        <f>IFERROR(VLOOKUP(A239,[1]Energiindhold!$A$2:$C$11,3,FALSE),IFERROR(VLOOKUP(A239,[1]Biogasudbytte!$A$2:$B$18,2,FALSE)*[1]Energiindhold!$C$10,0))*O239</f>
        <v>2.9672431582595405E-3</v>
      </c>
      <c r="R239" s="194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2.9672431582595405E-3</v>
      </c>
      <c r="S239" s="194">
        <f>IFERROR(VLOOKUP(A239,[1]Biogasudbytte!$A$2:$B$18,2,FALSE)*[1]Energiindhold!$C$10,0)*J239*IFERROR(VLOOKUP(A239,Biogasanlæg!$F$3:$G$8,2,FALSE),1)</f>
        <v>0</v>
      </c>
      <c r="T239" s="195">
        <f t="shared" si="64"/>
        <v>2.9672431582595405E-3</v>
      </c>
      <c r="U239" s="193">
        <f>O239*IFERROR(VLOOKUP(A239,[1]Tørstofindhold!A$2:B$25,2,FALSE),0)</f>
        <v>495.91807658933817</v>
      </c>
      <c r="V239" s="194">
        <f>IF(D239=År1,P239,SUM(O239,P239))*IFERROR(VLOOKUP(A239,[1]Tørstofindhold!A$2:B$25,2,FALSE),0)</f>
        <v>495.91807658933817</v>
      </c>
      <c r="W239" s="194">
        <f>J239*IFERROR(VLOOKUP(A239,[1]Tørstofindhold!A$2:B$25,2,FALSE),0)</f>
        <v>0</v>
      </c>
      <c r="X239" s="195">
        <f t="shared" si="65"/>
        <v>495.91807658933817</v>
      </c>
      <c r="Y239" s="173">
        <f t="shared" si="60"/>
        <v>0</v>
      </c>
      <c r="Z239" s="104">
        <f t="shared" si="61"/>
        <v>1</v>
      </c>
    </row>
    <row r="240" spans="1:26" x14ac:dyDescent="0.25">
      <c r="A240" s="196" t="str">
        <f t="shared" si="72"/>
        <v>Total til biogas</v>
      </c>
      <c r="B240" s="196" t="str">
        <f t="shared" si="73"/>
        <v/>
      </c>
      <c r="C240" s="196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6">
        <f t="shared" si="58"/>
        <v>2030</v>
      </c>
      <c r="E240" s="194" t="s">
        <v>25</v>
      </c>
      <c r="F240" s="197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4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7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9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6">
        <f t="shared" si="62"/>
        <v>0</v>
      </c>
      <c r="O240" s="197">
        <f t="shared" si="59"/>
        <v>0</v>
      </c>
      <c r="P240" s="207">
        <f t="shared" si="63"/>
        <v>0</v>
      </c>
      <c r="Q240" s="194">
        <f>IFERROR(VLOOKUP(A240,[1]Energiindhold!$A$2:$C$11,3,FALSE),IFERROR(VLOOKUP(A240,[1]Biogasudbytte!$A$2:$B$18,2,FALSE)*[1]Energiindhold!$C$10,0))*O240</f>
        <v>0</v>
      </c>
      <c r="R240" s="194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4">
        <f>IFERROR(VLOOKUP(A240,[1]Biogasudbytte!$A$2:$B$18,2,FALSE)*[1]Energiindhold!$C$10,0)*J240*IFERROR(VLOOKUP(A240,Biogasanlæg!$F$3:$G$8,2,FALSE),1)</f>
        <v>0</v>
      </c>
      <c r="T240" s="195">
        <f t="shared" si="64"/>
        <v>0</v>
      </c>
      <c r="U240" s="193">
        <f>O240*IFERROR(VLOOKUP(A240,[1]Tørstofindhold!A$2:B$25,2,FALSE),0)</f>
        <v>0</v>
      </c>
      <c r="V240" s="194">
        <f>IF(D240=År1,P240,SUM(O240,P240))*IFERROR(VLOOKUP(A240,[1]Tørstofindhold!A$2:B$25,2,FALSE),0)</f>
        <v>0</v>
      </c>
      <c r="W240" s="194">
        <f>J240*IFERROR(VLOOKUP(A240,[1]Tørstofindhold!A$2:B$25,2,FALSE),0)</f>
        <v>0</v>
      </c>
      <c r="X240" s="195">
        <f t="shared" si="65"/>
        <v>0</v>
      </c>
      <c r="Y240" s="173">
        <f t="shared" si="60"/>
        <v>0</v>
      </c>
      <c r="Z240" s="104">
        <f t="shared" si="61"/>
        <v>0</v>
      </c>
    </row>
    <row r="241" spans="1:26" x14ac:dyDescent="0.25">
      <c r="A241" s="196" t="str">
        <f t="shared" si="72"/>
        <v>Træ til energi</v>
      </c>
      <c r="B241" s="196" t="str">
        <f t="shared" si="73"/>
        <v>Vedmasse</v>
      </c>
      <c r="C241" s="196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6">
        <f t="shared" si="58"/>
        <v>2030</v>
      </c>
      <c r="E241" s="194" t="s">
        <v>25</v>
      </c>
      <c r="F241" s="197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4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7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9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6">
        <f t="shared" si="62"/>
        <v>0</v>
      </c>
      <c r="O241" s="197">
        <f t="shared" si="59"/>
        <v>0</v>
      </c>
      <c r="P241" s="207">
        <f t="shared" si="63"/>
        <v>645037.98201828008</v>
      </c>
      <c r="Q241" s="194">
        <f>IFERROR(VLOOKUP(A241,[1]Energiindhold!$A$2:$C$11,3,FALSE),IFERROR(VLOOKUP(A241,[1]Biogasudbytte!$A$2:$B$18,2,FALSE)*[1]Energiindhold!$C$10,0))*O241</f>
        <v>0</v>
      </c>
      <c r="R241" s="194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4">
        <f>IFERROR(VLOOKUP(A241,[1]Biogasudbytte!$A$2:$B$18,2,FALSE)*[1]Energiindhold!$C$10,0)*J241*IFERROR(VLOOKUP(A241,Biogasanlæg!$F$3:$G$8,2,FALSE),1)</f>
        <v>0</v>
      </c>
      <c r="T241" s="195">
        <f t="shared" si="64"/>
        <v>9.3489024359990136</v>
      </c>
      <c r="U241" s="193">
        <f>O241*IFERROR(VLOOKUP(A241,[1]Tørstofindhold!A$2:B$25,2,FALSE),0)</f>
        <v>0</v>
      </c>
      <c r="V241" s="194">
        <f>IF(D241=År1,P241,SUM(O241,P241))*IFERROR(VLOOKUP(A241,[1]Tørstofindhold!A$2:B$25,2,FALSE),0)</f>
        <v>319025.0352732077</v>
      </c>
      <c r="W241" s="194">
        <f>J241*IFERROR(VLOOKUP(A241,[1]Tørstofindhold!A$2:B$25,2,FALSE),0)</f>
        <v>0</v>
      </c>
      <c r="X241" s="195">
        <f t="shared" si="65"/>
        <v>319025.0352732077</v>
      </c>
      <c r="Y241" s="173">
        <f t="shared" si="60"/>
        <v>0</v>
      </c>
      <c r="Z241" s="104">
        <f t="shared" si="61"/>
        <v>0</v>
      </c>
    </row>
    <row r="242" spans="1:26" x14ac:dyDescent="0.25">
      <c r="A242" s="196" t="str">
        <f t="shared" si="72"/>
        <v>Træmaterialer</v>
      </c>
      <c r="B242" s="196" t="str">
        <f t="shared" si="73"/>
        <v/>
      </c>
      <c r="C242" s="196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6">
        <f t="shared" si="58"/>
        <v>2030</v>
      </c>
      <c r="E242" s="194" t="s">
        <v>25</v>
      </c>
      <c r="F242" s="197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4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7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9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6">
        <f t="shared" si="62"/>
        <v>177359.22120275494</v>
      </c>
      <c r="O242" s="197">
        <f t="shared" si="59"/>
        <v>0</v>
      </c>
      <c r="P242" s="207">
        <f t="shared" si="63"/>
        <v>0</v>
      </c>
      <c r="Q242" s="194">
        <f>IFERROR(VLOOKUP(A242,[1]Energiindhold!$A$2:$C$11,3,FALSE),IFERROR(VLOOKUP(A242,[1]Biogasudbytte!$A$2:$B$18,2,FALSE)*[1]Energiindhold!$C$10,0))*O242</f>
        <v>0</v>
      </c>
      <c r="R242" s="194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4">
        <f>IFERROR(VLOOKUP(A242,[1]Biogasudbytte!$A$2:$B$18,2,FALSE)*[1]Energiindhold!$C$10,0)*J242*IFERROR(VLOOKUP(A242,Biogasanlæg!$F$3:$G$8,2,FALSE),1)</f>
        <v>0</v>
      </c>
      <c r="T242" s="195">
        <f t="shared" si="64"/>
        <v>0</v>
      </c>
      <c r="U242" s="193">
        <f>O242*IFERROR(VLOOKUP(A242,[1]Tørstofindhold!A$2:B$25,2,FALSE),0)</f>
        <v>0</v>
      </c>
      <c r="V242" s="194">
        <f>IF(D242=År1,P242,SUM(O242,P242))*IFERROR(VLOOKUP(A242,[1]Tørstofindhold!A$2:B$25,2,FALSE),0)</f>
        <v>0</v>
      </c>
      <c r="W242" s="194">
        <f>J242*IFERROR(VLOOKUP(A242,[1]Tørstofindhold!A$2:B$25,2,FALSE),0)</f>
        <v>0</v>
      </c>
      <c r="X242" s="195">
        <f t="shared" si="65"/>
        <v>0</v>
      </c>
      <c r="Y242" s="173">
        <f t="shared" si="60"/>
        <v>0</v>
      </c>
      <c r="Z242" s="104">
        <f t="shared" si="61"/>
        <v>1</v>
      </c>
    </row>
    <row r="243" spans="1:26" x14ac:dyDescent="0.25">
      <c r="A243" s="196" t="str">
        <f t="shared" si="72"/>
        <v>Æg</v>
      </c>
      <c r="B243" s="196" t="str">
        <f t="shared" si="73"/>
        <v/>
      </c>
      <c r="C243" s="196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6">
        <f t="shared" ref="D243:D281" si="74">År3</f>
        <v>2050</v>
      </c>
      <c r="E243" s="194" t="s">
        <v>25</v>
      </c>
      <c r="F243" s="197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4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7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9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6">
        <f t="shared" si="62"/>
        <v>-12055.902429201011</v>
      </c>
      <c r="O243" s="197">
        <f t="shared" si="59"/>
        <v>0</v>
      </c>
      <c r="P243" s="207">
        <f t="shared" si="63"/>
        <v>0</v>
      </c>
      <c r="Q243" s="194">
        <f>IFERROR(VLOOKUP(A243,[1]Energiindhold!$A$2:$C$11,3,FALSE),IFERROR(VLOOKUP(A243,[1]Biogasudbytte!$A$2:$B$18,2,FALSE)*[1]Energiindhold!$C$10,0))*O243</f>
        <v>0</v>
      </c>
      <c r="R243" s="194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4">
        <f>IFERROR(VLOOKUP(A243,[1]Biogasudbytte!$A$2:$B$18,2,FALSE)*[1]Energiindhold!$C$10,0)*J243*IFERROR(VLOOKUP(A243,Biogasanlæg!$F$3:$G$8,2,FALSE),1)</f>
        <v>0</v>
      </c>
      <c r="T243" s="195">
        <f t="shared" si="64"/>
        <v>0</v>
      </c>
      <c r="U243" s="193">
        <f>O243*IFERROR(VLOOKUP(A243,[1]Tørstofindhold!A$2:B$25,2,FALSE),0)</f>
        <v>0</v>
      </c>
      <c r="V243" s="194">
        <f>IF(D243=År1,P243,SUM(O243,P243))*IFERROR(VLOOKUP(A243,[1]Tørstofindhold!A$2:B$25,2,FALSE),0)</f>
        <v>0</v>
      </c>
      <c r="W243" s="194">
        <f>J243*IFERROR(VLOOKUP(A243,[1]Tørstofindhold!A$2:B$25,2,FALSE),0)</f>
        <v>0</v>
      </c>
      <c r="X243" s="195">
        <f t="shared" si="65"/>
        <v>0</v>
      </c>
      <c r="Y243" s="173">
        <f t="shared" si="60"/>
        <v>0</v>
      </c>
      <c r="Z243" s="104">
        <f t="shared" si="61"/>
        <v>1</v>
      </c>
    </row>
    <row r="244" spans="1:26" x14ac:dyDescent="0.25">
      <c r="A244" s="196" t="str">
        <f t="shared" si="72"/>
        <v>Bælgsæd</v>
      </c>
      <c r="B244" s="196" t="str">
        <f t="shared" si="73"/>
        <v/>
      </c>
      <c r="C244" s="196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6">
        <f t="shared" si="74"/>
        <v>2050</v>
      </c>
      <c r="E244" s="194" t="s">
        <v>25</v>
      </c>
      <c r="F244" s="197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25113.208745392181</v>
      </c>
      <c r="G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4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7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9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6">
        <f t="shared" si="62"/>
        <v>17196.591991652083</v>
      </c>
      <c r="O244" s="197">
        <f t="shared" si="59"/>
        <v>0</v>
      </c>
      <c r="P244" s="207">
        <f t="shared" si="63"/>
        <v>0</v>
      </c>
      <c r="Q244" s="194">
        <f>IFERROR(VLOOKUP(A244,[1]Energiindhold!$A$2:$C$11,3,FALSE),IFERROR(VLOOKUP(A244,[1]Biogasudbytte!$A$2:$B$18,2,FALSE)*[1]Energiindhold!$C$10,0))*O244</f>
        <v>0</v>
      </c>
      <c r="R244" s="194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4">
        <f>IFERROR(VLOOKUP(A244,[1]Biogasudbytte!$A$2:$B$18,2,FALSE)*[1]Energiindhold!$C$10,0)*J244*IFERROR(VLOOKUP(A244,Biogasanlæg!$F$3:$G$8,2,FALSE),1)</f>
        <v>0</v>
      </c>
      <c r="T244" s="195">
        <f t="shared" si="64"/>
        <v>0</v>
      </c>
      <c r="U244" s="193">
        <f>O244*IFERROR(VLOOKUP(A244,[1]Tørstofindhold!A$2:B$25,2,FALSE),0)</f>
        <v>0</v>
      </c>
      <c r="V244" s="194">
        <f>IF(D244=År1,P244,SUM(O244,P244))*IFERROR(VLOOKUP(A244,[1]Tørstofindhold!A$2:B$25,2,FALSE),0)</f>
        <v>0</v>
      </c>
      <c r="W244" s="194">
        <f>J244*IFERROR(VLOOKUP(A244,[1]Tørstofindhold!A$2:B$25,2,FALSE),0)</f>
        <v>0</v>
      </c>
      <c r="X244" s="195">
        <f t="shared" si="65"/>
        <v>0</v>
      </c>
      <c r="Y244" s="173">
        <f t="shared" si="60"/>
        <v>0</v>
      </c>
      <c r="Z244" s="104">
        <f t="shared" si="61"/>
        <v>1</v>
      </c>
    </row>
    <row r="245" spans="1:26" x14ac:dyDescent="0.25">
      <c r="A245" s="196" t="str">
        <f t="shared" si="72"/>
        <v>Bioaffald</v>
      </c>
      <c r="B245" s="196" t="str">
        <f t="shared" si="73"/>
        <v>Bionedbrydeligt affald</v>
      </c>
      <c r="C245" s="196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6">
        <f t="shared" si="74"/>
        <v>2050</v>
      </c>
      <c r="E245" s="194" t="s">
        <v>25</v>
      </c>
      <c r="F245" s="197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4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7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7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9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6">
        <f t="shared" ca="1" si="62"/>
        <v>-8.6147268739296123E-2</v>
      </c>
      <c r="O245" s="197">
        <f t="shared" ca="1" si="59"/>
        <v>0</v>
      </c>
      <c r="P245" s="207">
        <f t="shared" ca="1" si="63"/>
        <v>172292.76645701908</v>
      </c>
      <c r="Q245" s="194">
        <f ca="1">IFERROR(VLOOKUP(A245,[1]Energiindhold!$A$2:$C$11,3,FALSE),IFERROR(VLOOKUP(A245,[1]Biogasudbytte!$A$2:$B$18,2,FALSE)*[1]Energiindhold!$C$10,0))*O245</f>
        <v>0</v>
      </c>
      <c r="R245" s="194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4">
        <f ca="1">IFERROR(VLOOKUP(A245,[1]Biogasudbytte!$A$2:$B$18,2,FALSE)*[1]Energiindhold!$C$10,0)*J245*IFERROR(VLOOKUP(A245,Biogasanlæg!$F$3:$G$8,2,FALSE),1)</f>
        <v>0.52828735407307481</v>
      </c>
      <c r="T245" s="195">
        <f t="shared" ca="1" si="64"/>
        <v>0</v>
      </c>
      <c r="U245" s="193">
        <f ca="1">O245*IFERROR(VLOOKUP(A245,[1]Tørstofindhold!A$2:B$25,2,FALSE),0)</f>
        <v>0</v>
      </c>
      <c r="V245" s="194">
        <f ca="1">IF(D245=År1,P245,SUM(O245,P245))*IFERROR(VLOOKUP(A245,[1]Tørstofindhold!A$2:B$25,2,FALSE),0)</f>
        <v>48241.974607965349</v>
      </c>
      <c r="W245" s="194">
        <f ca="1">J245*IFERROR(VLOOKUP(A245,[1]Tørstofindhold!A$2:B$25,2,FALSE),0)</f>
        <v>48241.974607965349</v>
      </c>
      <c r="X245" s="195">
        <f t="shared" ca="1" si="65"/>
        <v>0</v>
      </c>
      <c r="Y245" s="173">
        <f t="shared" ca="1" si="60"/>
        <v>1</v>
      </c>
      <c r="Z245" s="104">
        <f t="shared" ca="1" si="61"/>
        <v>0</v>
      </c>
    </row>
    <row r="246" spans="1:26" x14ac:dyDescent="0.25">
      <c r="A246" s="196" t="str">
        <f t="shared" si="72"/>
        <v>Biogas</v>
      </c>
      <c r="B246" s="196" t="str">
        <f t="shared" si="73"/>
        <v/>
      </c>
      <c r="C246" s="196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6">
        <f t="shared" si="74"/>
        <v>2050</v>
      </c>
      <c r="E246" s="194" t="s">
        <v>25</v>
      </c>
      <c r="F246" s="197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147236075.81607157</v>
      </c>
      <c r="G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4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7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147236075.81607157</v>
      </c>
      <c r="M246" s="159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6">
        <f t="shared" ca="1" si="62"/>
        <v>0</v>
      </c>
      <c r="O246" s="197">
        <f t="shared" ca="1" si="59"/>
        <v>0</v>
      </c>
      <c r="P246" s="207">
        <f t="shared" ca="1" si="63"/>
        <v>147236075.81607157</v>
      </c>
      <c r="Q246" s="194">
        <f ca="1">IFERROR(VLOOKUP(A246,[1]Energiindhold!$A$2:$C$11,3,FALSE),IFERROR(VLOOKUP(A246,[1]Biogasudbytte!$A$2:$B$18,2,FALSE)*[1]Energiindhold!$C$10,0))*O246</f>
        <v>0</v>
      </c>
      <c r="R246" s="194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4">
        <f>IFERROR(VLOOKUP(A246,[1]Biogasudbytte!$A$2:$B$18,2,FALSE)*[1]Energiindhold!$C$10,0)*J246*IFERROR(VLOOKUP(A246,Biogasanlæg!$F$3:$G$8,2,FALSE),1)</f>
        <v>0</v>
      </c>
      <c r="T246" s="195">
        <f t="shared" si="64"/>
        <v>0</v>
      </c>
      <c r="U246" s="193">
        <f ca="1">O246*IFERROR(VLOOKUP(A246,[1]Tørstofindhold!A$2:B$25,2,FALSE),0)</f>
        <v>0</v>
      </c>
      <c r="V246" s="194">
        <f ca="1">IF(D246=År1,P246,SUM(O246,P246))*IFERROR(VLOOKUP(A246,[1]Tørstofindhold!A$2:B$25,2,FALSE),0)</f>
        <v>0</v>
      </c>
      <c r="W246" s="194">
        <f>J246*IFERROR(VLOOKUP(A246,[1]Tørstofindhold!A$2:B$25,2,FALSE),0)</f>
        <v>0</v>
      </c>
      <c r="X246" s="195">
        <f t="shared" ca="1" si="65"/>
        <v>0</v>
      </c>
      <c r="Y246" s="173">
        <f t="shared" ca="1" si="60"/>
        <v>0</v>
      </c>
      <c r="Z246" s="104">
        <f t="shared" ca="1" si="61"/>
        <v>0</v>
      </c>
    </row>
    <row r="247" spans="1:26" x14ac:dyDescent="0.25">
      <c r="A247" s="196" t="str">
        <f t="shared" si="72"/>
        <v>Biogasgylle</v>
      </c>
      <c r="B247" s="196" t="str">
        <f t="shared" si="73"/>
        <v/>
      </c>
      <c r="C247" s="196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6">
        <f t="shared" si="74"/>
        <v>2050</v>
      </c>
      <c r="E247" s="194" t="s">
        <v>25</v>
      </c>
      <c r="F247" s="197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5642114.2310847286</v>
      </c>
      <c r="G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4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7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4504284.7839041585</v>
      </c>
      <c r="L247" s="197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9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6">
        <f t="shared" ca="1" si="62"/>
        <v>1137829.4471805701</v>
      </c>
      <c r="O247" s="197">
        <f t="shared" si="59"/>
        <v>0</v>
      </c>
      <c r="P247" s="207">
        <f t="shared" si="63"/>
        <v>0</v>
      </c>
      <c r="Q247" s="194">
        <f>IFERROR(VLOOKUP(A247,[1]Energiindhold!$A$2:$C$11,3,FALSE),IFERROR(VLOOKUP(A247,[1]Biogasudbytte!$A$2:$B$18,2,FALSE)*[1]Energiindhold!$C$10,0))*O247</f>
        <v>0</v>
      </c>
      <c r="R247" s="194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4">
        <f>IFERROR(VLOOKUP(A247,[1]Biogasudbytte!$A$2:$B$18,2,FALSE)*[1]Energiindhold!$C$10,0)*J247*IFERROR(VLOOKUP(A247,Biogasanlæg!$F$3:$G$8,2,FALSE),1)</f>
        <v>0</v>
      </c>
      <c r="T247" s="195">
        <f t="shared" si="64"/>
        <v>0</v>
      </c>
      <c r="U247" s="193">
        <f>O247*IFERROR(VLOOKUP(A247,[1]Tørstofindhold!A$2:B$25,2,FALSE),0)</f>
        <v>0</v>
      </c>
      <c r="V247" s="194">
        <f>IF(D247=År1,P247,SUM(O247,P247))*IFERROR(VLOOKUP(A247,[1]Tørstofindhold!A$2:B$25,2,FALSE),0)</f>
        <v>0</v>
      </c>
      <c r="W247" s="194">
        <f>J247*IFERROR(VLOOKUP(A247,[1]Tørstofindhold!A$2:B$25,2,FALSE),0)</f>
        <v>0</v>
      </c>
      <c r="X247" s="195">
        <f t="shared" si="65"/>
        <v>0</v>
      </c>
      <c r="Y247" s="173">
        <f t="shared" ca="1" si="60"/>
        <v>0</v>
      </c>
      <c r="Z247" s="104">
        <f t="shared" ca="1" si="61"/>
        <v>1</v>
      </c>
    </row>
    <row r="248" spans="1:26" x14ac:dyDescent="0.25">
      <c r="A248" s="196" t="str">
        <f t="shared" si="72"/>
        <v>Brun saft</v>
      </c>
      <c r="B248" s="196" t="str">
        <f t="shared" si="73"/>
        <v>Bionedbrydeligt affald</v>
      </c>
      <c r="C248" s="196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6">
        <f t="shared" si="74"/>
        <v>2050</v>
      </c>
      <c r="E248" s="194" t="s">
        <v>25</v>
      </c>
      <c r="F248" s="197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906.12419784072324</v>
      </c>
      <c r="G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4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724.89935827257864</v>
      </c>
      <c r="K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7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9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6">
        <f t="shared" si="62"/>
        <v>181.2248395681446</v>
      </c>
      <c r="O248" s="197">
        <f t="shared" si="59"/>
        <v>181.2248395681446</v>
      </c>
      <c r="P248" s="207">
        <f t="shared" si="63"/>
        <v>724.89935827257864</v>
      </c>
      <c r="Q248" s="194">
        <f>IFERROR(VLOOKUP(A248,[1]Energiindhold!$A$2:$C$11,3,FALSE),IFERROR(VLOOKUP(A248,[1]Biogasudbytte!$A$2:$B$18,2,FALSE)*[1]Energiindhold!$C$10,0))*O248</f>
        <v>1.0294043466382705E-4</v>
      </c>
      <c r="R248" s="194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5.1470217331913543E-4</v>
      </c>
      <c r="S248" s="194">
        <f>IFERROR(VLOOKUP(A248,[1]Biogasudbytte!$A$2:$B$18,2,FALSE)*[1]Energiindhold!$C$10,0)*J248*IFERROR(VLOOKUP(A248,Biogasanlæg!$F$3:$G$8,2,FALSE),1)</f>
        <v>4.1176173865530832E-4</v>
      </c>
      <c r="T248" s="195">
        <f t="shared" si="64"/>
        <v>1.0294043466382711E-4</v>
      </c>
      <c r="U248" s="193">
        <f>O248*IFERROR(VLOOKUP(A248,[1]Tørstofindhold!A$2:B$25,2,FALSE),0)</f>
        <v>7.7497880496745495</v>
      </c>
      <c r="V248" s="194">
        <f>IF(D248=År1,P248,SUM(O248,P248))*IFERROR(VLOOKUP(A248,[1]Tørstofindhold!A$2:B$25,2,FALSE),0)</f>
        <v>38.748940248372755</v>
      </c>
      <c r="W248" s="194">
        <f>J248*IFERROR(VLOOKUP(A248,[1]Tørstofindhold!A$2:B$25,2,FALSE),0)</f>
        <v>30.999152198698205</v>
      </c>
      <c r="X248" s="195">
        <f t="shared" si="65"/>
        <v>7.7497880496745495</v>
      </c>
      <c r="Y248" s="173">
        <f t="shared" si="60"/>
        <v>0</v>
      </c>
      <c r="Z248" s="104">
        <f t="shared" si="61"/>
        <v>1</v>
      </c>
    </row>
    <row r="249" spans="1:26" x14ac:dyDescent="0.25">
      <c r="A249" s="196" t="str">
        <f t="shared" si="72"/>
        <v>Dybstrøelse</v>
      </c>
      <c r="B249" s="196" t="str">
        <f t="shared" si="73"/>
        <v>Husdyrgødning</v>
      </c>
      <c r="C249" s="196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6">
        <f t="shared" si="74"/>
        <v>2050</v>
      </c>
      <c r="E249" s="194" t="s">
        <v>25</v>
      </c>
      <c r="F249" s="197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4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301646.48561279994</v>
      </c>
      <c r="K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28548.68524549713</v>
      </c>
      <c r="L249" s="197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9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6">
        <f t="shared" si="62"/>
        <v>46862.936157702818</v>
      </c>
      <c r="O249" s="197">
        <f t="shared" si="59"/>
        <v>46862.936157702818</v>
      </c>
      <c r="P249" s="207">
        <f t="shared" si="63"/>
        <v>301646.48561279994</v>
      </c>
      <c r="Q249" s="194">
        <f>IFERROR(VLOOKUP(A249,[1]Energiindhold!$A$2:$C$11,3,FALSE),IFERROR(VLOOKUP(A249,[1]Biogasudbytte!$A$2:$B$18,2,FALSE)*[1]Energiindhold!$C$10,0))*O249</f>
        <v>0.10094276448369187</v>
      </c>
      <c r="R249" s="194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0.75068929449366295</v>
      </c>
      <c r="S249" s="194">
        <f>IFERROR(VLOOKUP(A249,[1]Biogasudbytte!$A$2:$B$18,2,FALSE)*[1]Energiindhold!$C$10,0)*J249*IFERROR(VLOOKUP(A249,Biogasanlæg!$F$3:$G$8,2,FALSE),1)</f>
        <v>0.64974653000997107</v>
      </c>
      <c r="T249" s="195">
        <f t="shared" si="64"/>
        <v>0.10094276448369188</v>
      </c>
      <c r="U249" s="193">
        <f>O249*IFERROR(VLOOKUP(A249,[1]Tørstofindhold!A$2:B$25,2,FALSE),0)</f>
        <v>14058.880847310846</v>
      </c>
      <c r="V249" s="194">
        <f>IF(D249=År1,P249,SUM(O249,P249))*IFERROR(VLOOKUP(A249,[1]Tørstofindhold!A$2:B$25,2,FALSE),0)</f>
        <v>104552.82653115083</v>
      </c>
      <c r="W249" s="194">
        <f>J249*IFERROR(VLOOKUP(A249,[1]Tørstofindhold!A$2:B$25,2,FALSE),0)</f>
        <v>90493.945683839978</v>
      </c>
      <c r="X249" s="195">
        <f t="shared" si="65"/>
        <v>14058.880847310851</v>
      </c>
      <c r="Y249" s="173">
        <f t="shared" si="60"/>
        <v>0</v>
      </c>
      <c r="Z249" s="104">
        <f t="shared" si="61"/>
        <v>1</v>
      </c>
    </row>
    <row r="250" spans="1:26" x14ac:dyDescent="0.25">
      <c r="A250" s="196" t="str">
        <f t="shared" si="72"/>
        <v>Fiberfraktion</v>
      </c>
      <c r="B250" s="196" t="str">
        <f t="shared" si="73"/>
        <v/>
      </c>
      <c r="C250" s="196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6">
        <f t="shared" si="74"/>
        <v>2050</v>
      </c>
      <c r="E250" s="194" t="s">
        <v>25</v>
      </c>
      <c r="F250" s="197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638.2178393849631</v>
      </c>
      <c r="G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638.41333437730816</v>
      </c>
      <c r="H250" s="194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7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9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6">
        <f t="shared" si="62"/>
        <v>-0.19549499234506129</v>
      </c>
      <c r="O250" s="197">
        <f t="shared" si="59"/>
        <v>0</v>
      </c>
      <c r="P250" s="207">
        <f t="shared" si="63"/>
        <v>0</v>
      </c>
      <c r="Q250" s="194">
        <f>IFERROR(VLOOKUP(A250,[1]Energiindhold!$A$2:$C$11,3,FALSE),IFERROR(VLOOKUP(A250,[1]Biogasudbytte!$A$2:$B$18,2,FALSE)*[1]Energiindhold!$C$10,0))*O250</f>
        <v>0</v>
      </c>
      <c r="R250" s="194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4">
        <f>IFERROR(VLOOKUP(A250,[1]Biogasudbytte!$A$2:$B$18,2,FALSE)*[1]Energiindhold!$C$10,0)*J250*IFERROR(VLOOKUP(A250,Biogasanlæg!$F$3:$G$8,2,FALSE),1)</f>
        <v>0</v>
      </c>
      <c r="T250" s="195">
        <f t="shared" si="64"/>
        <v>0</v>
      </c>
      <c r="U250" s="193">
        <f>O250*IFERROR(VLOOKUP(A250,[1]Tørstofindhold!A$2:B$25,2,FALSE),0)</f>
        <v>0</v>
      </c>
      <c r="V250" s="194">
        <f>IF(D250=År1,P250,SUM(O250,P250))*IFERROR(VLOOKUP(A250,[1]Tørstofindhold!A$2:B$25,2,FALSE),0)</f>
        <v>0</v>
      </c>
      <c r="W250" s="194">
        <f>J250*IFERROR(VLOOKUP(A250,[1]Tørstofindhold!A$2:B$25,2,FALSE),0)</f>
        <v>0</v>
      </c>
      <c r="X250" s="195">
        <f t="shared" si="65"/>
        <v>0</v>
      </c>
      <c r="Y250" s="173">
        <f t="shared" si="60"/>
        <v>1</v>
      </c>
      <c r="Z250" s="104">
        <f t="shared" si="61"/>
        <v>0</v>
      </c>
    </row>
    <row r="251" spans="1:26" x14ac:dyDescent="0.25">
      <c r="A251" s="196" t="str">
        <f t="shared" si="72"/>
        <v>Fjerkrægylle</v>
      </c>
      <c r="B251" s="196" t="str">
        <f t="shared" si="73"/>
        <v>Husdyrgødning</v>
      </c>
      <c r="C251" s="196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6">
        <f t="shared" si="74"/>
        <v>2050</v>
      </c>
      <c r="E251" s="194" t="s">
        <v>25</v>
      </c>
      <c r="F251" s="197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4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578.47871789484259</v>
      </c>
      <c r="K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109.49775731580944</v>
      </c>
      <c r="L251" s="197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9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6">
        <f t="shared" si="62"/>
        <v>35.121922157901167</v>
      </c>
      <c r="O251" s="197">
        <f t="shared" si="59"/>
        <v>35.121922157901167</v>
      </c>
      <c r="P251" s="207">
        <f t="shared" si="63"/>
        <v>578.47871789484259</v>
      </c>
      <c r="Q251" s="194">
        <f>IFERROR(VLOOKUP(A251,[1]Energiindhold!$A$2:$C$11,3,FALSE),IFERROR(VLOOKUP(A251,[1]Biogasudbytte!$A$2:$B$18,2,FALSE)*[1]Energiindhold!$C$10,0))*O251</f>
        <v>1.651748877163934E-5</v>
      </c>
      <c r="R251" s="194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2.8857024501040485E-4</v>
      </c>
      <c r="S251" s="194">
        <f>IFERROR(VLOOKUP(A251,[1]Biogasudbytte!$A$2:$B$18,2,FALSE)*[1]Energiindhold!$C$10,0)*J251*IFERROR(VLOOKUP(A251,Biogasanlæg!$F$3:$G$8,2,FALSE),1)</f>
        <v>2.7205275623876551E-4</v>
      </c>
      <c r="T251" s="195">
        <f t="shared" si="64"/>
        <v>1.6517488771639337E-5</v>
      </c>
      <c r="U251" s="193">
        <f>O251*IFERROR(VLOOKUP(A251,[1]Tørstofindhold!A$2:B$25,2,FALSE),0)</f>
        <v>2.2126810959477736</v>
      </c>
      <c r="V251" s="194">
        <f>IF(D251=År1,P251,SUM(O251,P251))*IFERROR(VLOOKUP(A251,[1]Tørstofindhold!A$2:B$25,2,FALSE),0)</f>
        <v>38.656840323322854</v>
      </c>
      <c r="W251" s="194">
        <f>J251*IFERROR(VLOOKUP(A251,[1]Tørstofindhold!A$2:B$25,2,FALSE),0)</f>
        <v>36.444159227375081</v>
      </c>
      <c r="X251" s="195">
        <f t="shared" si="65"/>
        <v>2.2126810959477723</v>
      </c>
      <c r="Y251" s="173">
        <f t="shared" si="60"/>
        <v>0</v>
      </c>
      <c r="Z251" s="104">
        <f t="shared" si="61"/>
        <v>1</v>
      </c>
    </row>
    <row r="252" spans="1:26" x14ac:dyDescent="0.25">
      <c r="A252" s="196" t="str">
        <f t="shared" si="72"/>
        <v>Fjerkrækød</v>
      </c>
      <c r="B252" s="196" t="str">
        <f t="shared" si="73"/>
        <v/>
      </c>
      <c r="C252" s="196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6">
        <f t="shared" si="74"/>
        <v>2050</v>
      </c>
      <c r="E252" s="194" t="s">
        <v>25</v>
      </c>
      <c r="F252" s="197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4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7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9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6">
        <f t="shared" si="62"/>
        <v>-17417.887295631779</v>
      </c>
      <c r="O252" s="197">
        <f t="shared" si="59"/>
        <v>0</v>
      </c>
      <c r="P252" s="207">
        <f t="shared" si="63"/>
        <v>0</v>
      </c>
      <c r="Q252" s="194">
        <f>IFERROR(VLOOKUP(A252,[1]Energiindhold!$A$2:$C$11,3,FALSE),IFERROR(VLOOKUP(A252,[1]Biogasudbytte!$A$2:$B$18,2,FALSE)*[1]Energiindhold!$C$10,0))*O252</f>
        <v>0</v>
      </c>
      <c r="R252" s="194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4">
        <f>IFERROR(VLOOKUP(A252,[1]Biogasudbytte!$A$2:$B$18,2,FALSE)*[1]Energiindhold!$C$10,0)*J252*IFERROR(VLOOKUP(A252,Biogasanlæg!$F$3:$G$8,2,FALSE),1)</f>
        <v>0</v>
      </c>
      <c r="T252" s="195">
        <f t="shared" si="64"/>
        <v>0</v>
      </c>
      <c r="U252" s="193">
        <f>O252*IFERROR(VLOOKUP(A252,[1]Tørstofindhold!A$2:B$25,2,FALSE),0)</f>
        <v>0</v>
      </c>
      <c r="V252" s="194">
        <f>IF(D252=År1,P252,SUM(O252,P252))*IFERROR(VLOOKUP(A252,[1]Tørstofindhold!A$2:B$25,2,FALSE),0)</f>
        <v>0</v>
      </c>
      <c r="W252" s="194">
        <f>J252*IFERROR(VLOOKUP(A252,[1]Tørstofindhold!A$2:B$25,2,FALSE),0)</f>
        <v>0</v>
      </c>
      <c r="X252" s="195">
        <f t="shared" si="65"/>
        <v>0</v>
      </c>
      <c r="Y252" s="173">
        <f t="shared" si="60"/>
        <v>0</v>
      </c>
      <c r="Z252" s="104">
        <f t="shared" si="61"/>
        <v>1</v>
      </c>
    </row>
    <row r="253" spans="1:26" x14ac:dyDescent="0.25">
      <c r="A253" s="196" t="str">
        <f t="shared" si="72"/>
        <v>Frø</v>
      </c>
      <c r="B253" s="196" t="str">
        <f t="shared" si="73"/>
        <v/>
      </c>
      <c r="C253" s="196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6">
        <f t="shared" si="74"/>
        <v>2050</v>
      </c>
      <c r="E253" s="194" t="s">
        <v>25</v>
      </c>
      <c r="F253" s="197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544325.67958243925</v>
      </c>
      <c r="G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4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7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9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6">
        <f t="shared" si="62"/>
        <v>544325.67958243925</v>
      </c>
      <c r="O253" s="197">
        <f t="shared" si="59"/>
        <v>0</v>
      </c>
      <c r="P253" s="207">
        <f t="shared" si="63"/>
        <v>0</v>
      </c>
      <c r="Q253" s="194">
        <f>IFERROR(VLOOKUP(A253,[1]Energiindhold!$A$2:$C$11,3,FALSE),IFERROR(VLOOKUP(A253,[1]Biogasudbytte!$A$2:$B$18,2,FALSE)*[1]Energiindhold!$C$10,0))*O253</f>
        <v>0</v>
      </c>
      <c r="R253" s="194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4">
        <f>IFERROR(VLOOKUP(A253,[1]Biogasudbytte!$A$2:$B$18,2,FALSE)*[1]Energiindhold!$C$10,0)*J253*IFERROR(VLOOKUP(A253,Biogasanlæg!$F$3:$G$8,2,FALSE),1)</f>
        <v>0</v>
      </c>
      <c r="T253" s="195">
        <f t="shared" si="64"/>
        <v>0</v>
      </c>
      <c r="U253" s="193">
        <f>O253*IFERROR(VLOOKUP(A253,[1]Tørstofindhold!A$2:B$25,2,FALSE),0)</f>
        <v>0</v>
      </c>
      <c r="V253" s="194">
        <f>IF(D253=År1,P253,SUM(O253,P253))*IFERROR(VLOOKUP(A253,[1]Tørstofindhold!A$2:B$25,2,FALSE),0)</f>
        <v>0</v>
      </c>
      <c r="W253" s="194">
        <f>J253*IFERROR(VLOOKUP(A253,[1]Tørstofindhold!A$2:B$25,2,FALSE),0)</f>
        <v>0</v>
      </c>
      <c r="X253" s="195">
        <f t="shared" si="65"/>
        <v>0</v>
      </c>
      <c r="Y253" s="173">
        <f t="shared" si="60"/>
        <v>0</v>
      </c>
      <c r="Z253" s="104">
        <f t="shared" si="61"/>
        <v>1</v>
      </c>
    </row>
    <row r="254" spans="1:26" x14ac:dyDescent="0.25">
      <c r="A254" s="196" t="str">
        <f t="shared" si="72"/>
        <v>Frugt</v>
      </c>
      <c r="B254" s="196" t="str">
        <f t="shared" si="73"/>
        <v/>
      </c>
      <c r="C254" s="196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6">
        <f t="shared" si="74"/>
        <v>2050</v>
      </c>
      <c r="E254" s="194" t="s">
        <v>25</v>
      </c>
      <c r="F254" s="197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14639.459021970932</v>
      </c>
      <c r="G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4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7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9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6">
        <f t="shared" si="62"/>
        <v>-219155.55697050289</v>
      </c>
      <c r="O254" s="197">
        <f t="shared" si="59"/>
        <v>0</v>
      </c>
      <c r="P254" s="207">
        <f t="shared" si="63"/>
        <v>0</v>
      </c>
      <c r="Q254" s="194">
        <f>IFERROR(VLOOKUP(A254,[1]Energiindhold!$A$2:$C$11,3,FALSE),IFERROR(VLOOKUP(A254,[1]Biogasudbytte!$A$2:$B$18,2,FALSE)*[1]Energiindhold!$C$10,0))*O254</f>
        <v>0</v>
      </c>
      <c r="R254" s="194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4">
        <f>IFERROR(VLOOKUP(A254,[1]Biogasudbytte!$A$2:$B$18,2,FALSE)*[1]Energiindhold!$C$10,0)*J254*IFERROR(VLOOKUP(A254,Biogasanlæg!$F$3:$G$8,2,FALSE),1)</f>
        <v>0</v>
      </c>
      <c r="T254" s="195">
        <f t="shared" si="64"/>
        <v>0</v>
      </c>
      <c r="U254" s="193">
        <f>O254*IFERROR(VLOOKUP(A254,[1]Tørstofindhold!A$2:B$25,2,FALSE),0)</f>
        <v>0</v>
      </c>
      <c r="V254" s="194">
        <f>IF(D254=År1,P254,SUM(O254,P254))*IFERROR(VLOOKUP(A254,[1]Tørstofindhold!A$2:B$25,2,FALSE),0)</f>
        <v>0</v>
      </c>
      <c r="W254" s="194">
        <f>J254*IFERROR(VLOOKUP(A254,[1]Tørstofindhold!A$2:B$25,2,FALSE),0)</f>
        <v>0</v>
      </c>
      <c r="X254" s="195">
        <f t="shared" si="65"/>
        <v>0</v>
      </c>
      <c r="Y254" s="173">
        <f t="shared" si="60"/>
        <v>1</v>
      </c>
      <c r="Z254" s="104">
        <f t="shared" si="61"/>
        <v>0</v>
      </c>
    </row>
    <row r="255" spans="1:26" x14ac:dyDescent="0.25">
      <c r="A255" s="196" t="str">
        <f t="shared" si="72"/>
        <v>Glycerin</v>
      </c>
      <c r="B255" s="196" t="str">
        <f t="shared" si="73"/>
        <v>Glycerin</v>
      </c>
      <c r="C255" s="196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6">
        <f t="shared" si="74"/>
        <v>2050</v>
      </c>
      <c r="E255" s="194" t="s">
        <v>25</v>
      </c>
      <c r="F255" s="197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4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7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9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6">
        <f t="shared" si="62"/>
        <v>-28548.400000000001</v>
      </c>
      <c r="O255" s="197">
        <f t="shared" si="59"/>
        <v>0</v>
      </c>
      <c r="P255" s="207">
        <f t="shared" si="63"/>
        <v>28548.400000000001</v>
      </c>
      <c r="Q255" s="194">
        <f>IFERROR(VLOOKUP(A255,[1]Energiindhold!$A$2:$C$11,3,FALSE),IFERROR(VLOOKUP(A255,[1]Biogasudbytte!$A$2:$B$18,2,FALSE)*[1]Energiindhold!$C$10,0))*O255</f>
        <v>0</v>
      </c>
      <c r="R255" s="194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4">
        <f>IFERROR(VLOOKUP(A255,[1]Biogasudbytte!$A$2:$B$18,2,FALSE)*[1]Energiindhold!$C$10,0)*J255*IFERROR(VLOOKUP(A255,Biogasanlæg!$F$3:$G$8,2,FALSE),1)</f>
        <v>0.43389639740160008</v>
      </c>
      <c r="T255" s="195">
        <f t="shared" si="64"/>
        <v>0</v>
      </c>
      <c r="U255" s="193">
        <f>O255*IFERROR(VLOOKUP(A255,[1]Tørstofindhold!A$2:B$25,2,FALSE),0)</f>
        <v>0</v>
      </c>
      <c r="V255" s="194">
        <f>IF(D255=År1,P255,SUM(O255,P255))*IFERROR(VLOOKUP(A255,[1]Tørstofindhold!A$2:B$25,2,FALSE),0)</f>
        <v>25693.56</v>
      </c>
      <c r="W255" s="194">
        <f>J255*IFERROR(VLOOKUP(A255,[1]Tørstofindhold!A$2:B$25,2,FALSE),0)</f>
        <v>25693.56</v>
      </c>
      <c r="X255" s="195">
        <f t="shared" si="65"/>
        <v>0</v>
      </c>
      <c r="Y255" s="173">
        <f t="shared" si="60"/>
        <v>1</v>
      </c>
      <c r="Z255" s="104">
        <f t="shared" si="61"/>
        <v>0</v>
      </c>
    </row>
    <row r="256" spans="1:26" x14ac:dyDescent="0.25">
      <c r="A256" s="196" t="str">
        <f t="shared" si="72"/>
        <v>Græs</v>
      </c>
      <c r="B256" s="196" t="str">
        <f t="shared" si="73"/>
        <v>Græs og urter</v>
      </c>
      <c r="C256" s="196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6">
        <f t="shared" si="74"/>
        <v>2050</v>
      </c>
      <c r="E256" s="194" t="s">
        <v>25</v>
      </c>
      <c r="F256" s="197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2028301.812130857</v>
      </c>
      <c r="G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1298449.9225509875</v>
      </c>
      <c r="H256" s="194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0</v>
      </c>
      <c r="K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7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9">
        <f>SUMIFS('Forbrug af biomasse'!E:E,'Forbrug af biomasse'!C:C,'Resultat-Produktion &amp; forbrug'!$A256,'Forbrug af biomasse'!D:D,'Resultat-Produktion &amp; forbrug'!$D256,'Forbrug af biomasse'!G:G,1,'Forbrug af biomasse'!B:B,$E256)</f>
        <v>1854.3335592126684</v>
      </c>
      <c r="N256" s="206">
        <f t="shared" si="62"/>
        <v>727997.55602065683</v>
      </c>
      <c r="O256" s="197">
        <f t="shared" si="59"/>
        <v>239732.89906206005</v>
      </c>
      <c r="P256" s="207">
        <f t="shared" si="63"/>
        <v>0</v>
      </c>
      <c r="Q256" s="194">
        <f>IFERROR(VLOOKUP(A256,[1]Energiindhold!$A$2:$C$11,3,FALSE),IFERROR(VLOOKUP(A256,[1]Biogasudbytte!$A$2:$B$18,2,FALSE)*[1]Energiindhold!$C$10,0))*O256</f>
        <v>0.44107856766180775</v>
      </c>
      <c r="R256" s="194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0.44107856766180775</v>
      </c>
      <c r="S256" s="194">
        <f>IFERROR(VLOOKUP(A256,[1]Biogasudbytte!$A$2:$B$18,2,FALSE)*[1]Energiindhold!$C$10,0)*J256*IFERROR(VLOOKUP(A256,Biogasanlæg!$F$3:$G$8,2,FALSE),1)</f>
        <v>0</v>
      </c>
      <c r="T256" s="195">
        <f t="shared" si="64"/>
        <v>0.44107856766180775</v>
      </c>
      <c r="U256" s="193">
        <f>O256*IFERROR(VLOOKUP(A256,[1]Tørstofindhold!A$2:B$25,2,FALSE),0)</f>
        <v>67125.211737376827</v>
      </c>
      <c r="V256" s="194">
        <f>IF(D256=År1,P256,SUM(O256,P256))*IFERROR(VLOOKUP(A256,[1]Tørstofindhold!A$2:B$25,2,FALSE),0)</f>
        <v>67125.211737376827</v>
      </c>
      <c r="W256" s="194">
        <f>J256*IFERROR(VLOOKUP(A256,[1]Tørstofindhold!A$2:B$25,2,FALSE),0)</f>
        <v>0</v>
      </c>
      <c r="X256" s="195">
        <f t="shared" si="65"/>
        <v>67125.211737376827</v>
      </c>
      <c r="Y256" s="173">
        <f t="shared" si="60"/>
        <v>0</v>
      </c>
      <c r="Z256" s="104">
        <f t="shared" si="61"/>
        <v>1</v>
      </c>
    </row>
    <row r="257" spans="1:26" x14ac:dyDescent="0.25">
      <c r="A257" s="196" t="str">
        <f t="shared" si="72"/>
        <v>Græsprotein</v>
      </c>
      <c r="B257" s="196" t="str">
        <f t="shared" si="73"/>
        <v/>
      </c>
      <c r="C257" s="196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6">
        <f t="shared" si="74"/>
        <v>2050</v>
      </c>
      <c r="E257" s="194" t="s">
        <v>25</v>
      </c>
      <c r="F257" s="197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309.99152198698204</v>
      </c>
      <c r="G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309.99152198698204</v>
      </c>
      <c r="H257" s="194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7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9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6">
        <f t="shared" si="62"/>
        <v>0</v>
      </c>
      <c r="O257" s="197">
        <f t="shared" si="59"/>
        <v>0</v>
      </c>
      <c r="P257" s="207">
        <f t="shared" si="63"/>
        <v>0</v>
      </c>
      <c r="Q257" s="194">
        <f>IFERROR(VLOOKUP(A257,[1]Energiindhold!$A$2:$C$11,3,FALSE),IFERROR(VLOOKUP(A257,[1]Biogasudbytte!$A$2:$B$18,2,FALSE)*[1]Energiindhold!$C$10,0))*O257</f>
        <v>0</v>
      </c>
      <c r="R257" s="194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4">
        <f>IFERROR(VLOOKUP(A257,[1]Biogasudbytte!$A$2:$B$18,2,FALSE)*[1]Energiindhold!$C$10,0)*J257*IFERROR(VLOOKUP(A257,Biogasanlæg!$F$3:$G$8,2,FALSE),1)</f>
        <v>0</v>
      </c>
      <c r="T257" s="195">
        <f t="shared" si="64"/>
        <v>0</v>
      </c>
      <c r="U257" s="193">
        <f>O257*IFERROR(VLOOKUP(A257,[1]Tørstofindhold!A$2:B$25,2,FALSE),0)</f>
        <v>0</v>
      </c>
      <c r="V257" s="194">
        <f>IF(D257=År1,P257,SUM(O257,P257))*IFERROR(VLOOKUP(A257,[1]Tørstofindhold!A$2:B$25,2,FALSE),0)</f>
        <v>0</v>
      </c>
      <c r="W257" s="194">
        <f>J257*IFERROR(VLOOKUP(A257,[1]Tørstofindhold!A$2:B$25,2,FALSE),0)</f>
        <v>0</v>
      </c>
      <c r="X257" s="195">
        <f t="shared" si="65"/>
        <v>0</v>
      </c>
      <c r="Y257" s="173">
        <f t="shared" si="60"/>
        <v>0</v>
      </c>
      <c r="Z257" s="104">
        <f t="shared" si="61"/>
        <v>0</v>
      </c>
    </row>
    <row r="258" spans="1:26" x14ac:dyDescent="0.25">
      <c r="A258" s="196" t="str">
        <f t="shared" si="72"/>
        <v>Grøntsager</v>
      </c>
      <c r="B258" s="196" t="str">
        <f t="shared" si="73"/>
        <v/>
      </c>
      <c r="C258" s="196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6">
        <f t="shared" si="74"/>
        <v>2050</v>
      </c>
      <c r="E258" s="194" t="s">
        <v>25</v>
      </c>
      <c r="F258" s="197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89763.009859427373</v>
      </c>
      <c r="G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4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7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9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6">
        <f t="shared" si="62"/>
        <v>-155106.50689058466</v>
      </c>
      <c r="O258" s="197">
        <f t="shared" si="59"/>
        <v>0</v>
      </c>
      <c r="P258" s="207">
        <f t="shared" si="63"/>
        <v>0</v>
      </c>
      <c r="Q258" s="194">
        <f>IFERROR(VLOOKUP(A258,[1]Energiindhold!$A$2:$C$11,3,FALSE),IFERROR(VLOOKUP(A258,[1]Biogasudbytte!$A$2:$B$18,2,FALSE)*[1]Energiindhold!$C$10,0))*O258</f>
        <v>0</v>
      </c>
      <c r="R258" s="194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4">
        <f>IFERROR(VLOOKUP(A258,[1]Biogasudbytte!$A$2:$B$18,2,FALSE)*[1]Energiindhold!$C$10,0)*J258*IFERROR(VLOOKUP(A258,Biogasanlæg!$F$3:$G$8,2,FALSE),1)</f>
        <v>0</v>
      </c>
      <c r="T258" s="195">
        <f t="shared" si="64"/>
        <v>0</v>
      </c>
      <c r="U258" s="193">
        <f>O258*IFERROR(VLOOKUP(A258,[1]Tørstofindhold!A$2:B$25,2,FALSE),0)</f>
        <v>0</v>
      </c>
      <c r="V258" s="194">
        <f>IF(D258=År1,P258,SUM(O258,P258))*IFERROR(VLOOKUP(A258,[1]Tørstofindhold!A$2:B$25,2,FALSE),0)</f>
        <v>0</v>
      </c>
      <c r="W258" s="194">
        <f>J258*IFERROR(VLOOKUP(A258,[1]Tørstofindhold!A$2:B$25,2,FALSE),0)</f>
        <v>0</v>
      </c>
      <c r="X258" s="195">
        <f t="shared" si="65"/>
        <v>0</v>
      </c>
      <c r="Y258" s="173">
        <f t="shared" si="60"/>
        <v>1</v>
      </c>
      <c r="Z258" s="104">
        <f t="shared" si="61"/>
        <v>0</v>
      </c>
    </row>
    <row r="259" spans="1:26" x14ac:dyDescent="0.25">
      <c r="A259" s="196" t="str">
        <f t="shared" si="72"/>
        <v>Halm</v>
      </c>
      <c r="B259" s="196" t="str">
        <f t="shared" si="73"/>
        <v>Halm og strå</v>
      </c>
      <c r="C259" s="196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6">
        <f t="shared" si="74"/>
        <v>2050</v>
      </c>
      <c r="E259" s="194" t="s">
        <v>25</v>
      </c>
      <c r="F259" s="197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896693.69274584518</v>
      </c>
      <c r="G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4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0</v>
      </c>
      <c r="K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7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10903.94907837885</v>
      </c>
      <c r="M259" s="159">
        <f>SUMIFS('Forbrug af biomasse'!E:E,'Forbrug af biomasse'!C:C,'Resultat-Produktion &amp; forbrug'!$A259,'Forbrug af biomasse'!D:D,'Resultat-Produktion &amp; forbrug'!$D259,'Forbrug af biomasse'!G:G,1,'Forbrug af biomasse'!B:B,$E259)</f>
        <v>455999.6897101808</v>
      </c>
      <c r="N259" s="206">
        <f t="shared" si="62"/>
        <v>231838.18151544023</v>
      </c>
      <c r="O259" s="197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1.1641532182693481E-10</v>
      </c>
      <c r="P259" s="207">
        <f t="shared" si="63"/>
        <v>10903.94907837885</v>
      </c>
      <c r="Q259" s="194">
        <f>IFERROR(VLOOKUP(A259,[1]Energiindhold!$A$2:$C$11,3,FALSE),IFERROR(VLOOKUP(A259,[1]Biogasudbytte!$A$2:$B$18,2,FALSE)*[1]Energiindhold!$C$10,0))*O259</f>
        <v>1.2032462213112001E-15</v>
      </c>
      <c r="R259" s="194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0.11270110600590764</v>
      </c>
      <c r="S259" s="194">
        <f>IFERROR(VLOOKUP(A259,[1]Biogasudbytte!$A$2:$B$18,2,FALSE)*[1]Energiindhold!$C$10,0)*J259*IFERROR(VLOOKUP(A259,Biogasanlæg!$F$3:$G$8,2,FALSE),1)</f>
        <v>0</v>
      </c>
      <c r="T259" s="195">
        <f t="shared" si="64"/>
        <v>0.11270110600590764</v>
      </c>
      <c r="U259" s="193">
        <f>O259*IFERROR(VLOOKUP(A259,[1]Tørstofindhold!A$2:B$25,2,FALSE),0)</f>
        <v>9.895302355289459E-11</v>
      </c>
      <c r="V259" s="194">
        <f>IF(D259=År1,P259,SUM(O259,P259))*IFERROR(VLOOKUP(A259,[1]Tørstofindhold!A$2:B$25,2,FALSE),0)</f>
        <v>9268.3567166221201</v>
      </c>
      <c r="W259" s="194">
        <f>J259*IFERROR(VLOOKUP(A259,[1]Tørstofindhold!A$2:B$25,2,FALSE),0)</f>
        <v>0</v>
      </c>
      <c r="X259" s="195">
        <f t="shared" si="65"/>
        <v>9268.3567166221201</v>
      </c>
      <c r="Y259" s="173">
        <f t="shared" ref="Y259:Y274" si="76">IF(SUMIFS($N$3:$N$290,$A$3:$A$290,A259,$D$3:$D$290,D259)&lt;0,1,0)</f>
        <v>0</v>
      </c>
      <c r="Z259" s="104">
        <f t="shared" ref="Z259:Z274" si="77">IF(SUMIFS($N$3:$N$290,$A$3:$A$290,A259,$D$3:$D$290,D259)&gt;0,1,0)</f>
        <v>1</v>
      </c>
    </row>
    <row r="260" spans="1:26" x14ac:dyDescent="0.25">
      <c r="A260" s="196" t="str">
        <f t="shared" si="72"/>
        <v>Have/parkaffald</v>
      </c>
      <c r="B260" s="196" t="str">
        <f t="shared" si="73"/>
        <v>Bionedbrydeligt affald</v>
      </c>
      <c r="C260" s="196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6">
        <f t="shared" si="74"/>
        <v>2050</v>
      </c>
      <c r="E260" s="194" t="s">
        <v>25</v>
      </c>
      <c r="F260" s="197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4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232968.47350838353</v>
      </c>
      <c r="K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7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224958.55145221829</v>
      </c>
      <c r="M260" s="159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6">
        <f t="shared" si="62"/>
        <v>0</v>
      </c>
      <c r="O260" s="197">
        <f t="shared" si="75"/>
        <v>0</v>
      </c>
      <c r="P260" s="207">
        <f t="shared" si="63"/>
        <v>457927.02496060182</v>
      </c>
      <c r="Q260" s="194">
        <f>IFERROR(VLOOKUP(A260,[1]Energiindhold!$A$2:$C$11,3,FALSE),IFERROR(VLOOKUP(A260,[1]Biogasudbytte!$A$2:$B$18,2,FALSE)*[1]Energiindhold!$C$10,0))*O260</f>
        <v>0</v>
      </c>
      <c r="R260" s="194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4.4116064443467282</v>
      </c>
      <c r="S260" s="194">
        <f>IFERROR(VLOOKUP(A260,[1]Biogasudbytte!$A$2:$B$18,2,FALSE)*[1]Energiindhold!$C$10,0)*J260*IFERROR(VLOOKUP(A260,Biogasanlæg!$F$3:$G$8,2,FALSE),1)</f>
        <v>0.39559677581038083</v>
      </c>
      <c r="T260" s="195">
        <f t="shared" si="64"/>
        <v>4.0160096685363476</v>
      </c>
      <c r="U260" s="193">
        <f>O260*IFERROR(VLOOKUP(A260,[1]Tørstofindhold!A$2:B$25,2,FALSE),0)</f>
        <v>0</v>
      </c>
      <c r="V260" s="194">
        <f>IF(D260=År1,P260,SUM(O260,P260))*IFERROR(VLOOKUP(A260,[1]Tørstofindhold!A$2:B$25,2,FALSE),0)</f>
        <v>137378.10748818054</v>
      </c>
      <c r="W260" s="194">
        <f>J260*IFERROR(VLOOKUP(A260,[1]Tørstofindhold!A$2:B$25,2,FALSE),0)</f>
        <v>69890.542052515055</v>
      </c>
      <c r="X260" s="195">
        <f t="shared" si="65"/>
        <v>67487.565435665485</v>
      </c>
      <c r="Y260" s="173">
        <f t="shared" si="76"/>
        <v>0</v>
      </c>
      <c r="Z260" s="104">
        <f t="shared" si="77"/>
        <v>0</v>
      </c>
    </row>
    <row r="261" spans="1:26" x14ac:dyDescent="0.25">
      <c r="A261" s="196" t="str">
        <f t="shared" si="72"/>
        <v>Import af foder</v>
      </c>
      <c r="B261" s="196" t="str">
        <f t="shared" si="73"/>
        <v/>
      </c>
      <c r="C261" s="196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6">
        <f t="shared" si="74"/>
        <v>2050</v>
      </c>
      <c r="E261" s="194" t="s">
        <v>25</v>
      </c>
      <c r="F261" s="197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4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7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9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6">
        <f t="shared" si="62"/>
        <v>-592646.72642582108</v>
      </c>
      <c r="O261" s="197">
        <f t="shared" si="75"/>
        <v>0</v>
      </c>
      <c r="P261" s="207">
        <f t="shared" si="63"/>
        <v>0</v>
      </c>
      <c r="Q261" s="194">
        <f>IFERROR(VLOOKUP(A261,[1]Energiindhold!$A$2:$C$11,3,FALSE),IFERROR(VLOOKUP(A261,[1]Biogasudbytte!$A$2:$B$18,2,FALSE)*[1]Energiindhold!$C$10,0))*O261</f>
        <v>0</v>
      </c>
      <c r="R261" s="194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4">
        <f>IFERROR(VLOOKUP(A261,[1]Biogasudbytte!$A$2:$B$18,2,FALSE)*[1]Energiindhold!$C$10,0)*J261*IFERROR(VLOOKUP(A261,Biogasanlæg!$F$3:$G$8,2,FALSE),1)</f>
        <v>0</v>
      </c>
      <c r="T261" s="195">
        <f t="shared" si="64"/>
        <v>0</v>
      </c>
      <c r="U261" s="193">
        <f>O261*IFERROR(VLOOKUP(A261,[1]Tørstofindhold!A$2:B$25,2,FALSE),0)</f>
        <v>0</v>
      </c>
      <c r="V261" s="194">
        <f>IF(D261=År1,P261,SUM(O261,P261))*IFERROR(VLOOKUP(A261,[1]Tørstofindhold!A$2:B$25,2,FALSE),0)</f>
        <v>0</v>
      </c>
      <c r="W261" s="194">
        <f>J261*IFERROR(VLOOKUP(A261,[1]Tørstofindhold!A$2:B$25,2,FALSE),0)</f>
        <v>0</v>
      </c>
      <c r="X261" s="195">
        <f t="shared" si="65"/>
        <v>0</v>
      </c>
      <c r="Y261" s="173">
        <f t="shared" si="76"/>
        <v>1</v>
      </c>
      <c r="Z261" s="104">
        <f t="shared" si="77"/>
        <v>0</v>
      </c>
    </row>
    <row r="262" spans="1:26" x14ac:dyDescent="0.25">
      <c r="A262" s="196" t="str">
        <f t="shared" si="72"/>
        <v>Industriaffald</v>
      </c>
      <c r="B262" s="196" t="str">
        <f t="shared" si="73"/>
        <v>Bionedbrydeligt affald</v>
      </c>
      <c r="C262" s="196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6">
        <f t="shared" si="74"/>
        <v>2050</v>
      </c>
      <c r="E262" s="194" t="s">
        <v>25</v>
      </c>
      <c r="F262" s="197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4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7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9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6">
        <f t="shared" si="62"/>
        <v>-3.2320689118932933E-2</v>
      </c>
      <c r="O262" s="197">
        <f t="shared" si="75"/>
        <v>0</v>
      </c>
      <c r="P262" s="207">
        <f t="shared" si="63"/>
        <v>203334.8469193347</v>
      </c>
      <c r="Q262" s="194">
        <f>IFERROR(VLOOKUP(A262,[1]Energiindhold!$A$2:$C$11,3,FALSE),IFERROR(VLOOKUP(A262,[1]Biogasudbytte!$A$2:$B$18,2,FALSE)*[1]Energiindhold!$C$10,0))*O262</f>
        <v>0</v>
      </c>
      <c r="R262" s="194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4">
        <f>IFERROR(VLOOKUP(A262,[1]Biogasudbytte!$A$2:$B$18,2,FALSE)*[1]Energiindhold!$C$10,0)*J262*IFERROR(VLOOKUP(A262,Biogasanlæg!$F$3:$G$8,2,FALSE),1)</f>
        <v>0.79296869270841919</v>
      </c>
      <c r="T262" s="195">
        <f t="shared" si="64"/>
        <v>0</v>
      </c>
      <c r="U262" s="193">
        <f>O262*IFERROR(VLOOKUP(A262,[1]Tørstofindhold!A$2:B$25,2,FALSE),0)</f>
        <v>0</v>
      </c>
      <c r="V262" s="194">
        <f>IF(D262=År1,P262,SUM(O262,P262))*IFERROR(VLOOKUP(A262,[1]Tørstofindhold!A$2:B$25,2,FALSE),0)</f>
        <v>85400.635706120564</v>
      </c>
      <c r="W262" s="194">
        <f>J262*IFERROR(VLOOKUP(A262,[1]Tørstofindhold!A$2:B$25,2,FALSE),0)</f>
        <v>85400.635706120564</v>
      </c>
      <c r="X262" s="195">
        <f t="shared" si="65"/>
        <v>0</v>
      </c>
      <c r="Y262" s="173">
        <f t="shared" si="76"/>
        <v>1</v>
      </c>
      <c r="Z262" s="104">
        <f t="shared" si="77"/>
        <v>0</v>
      </c>
    </row>
    <row r="263" spans="1:26" x14ac:dyDescent="0.25">
      <c r="A263" s="196" t="str">
        <f t="shared" si="72"/>
        <v>Juletræer</v>
      </c>
      <c r="B263" s="196" t="str">
        <f t="shared" si="73"/>
        <v/>
      </c>
      <c r="C263" s="196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6">
        <f t="shared" si="74"/>
        <v>2050</v>
      </c>
      <c r="E263" s="194" t="s">
        <v>25</v>
      </c>
      <c r="F263" s="197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135099.81731208056</v>
      </c>
      <c r="G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4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7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9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6">
        <f t="shared" si="62"/>
        <v>135099.81731208056</v>
      </c>
      <c r="O263" s="197">
        <f t="shared" si="75"/>
        <v>0</v>
      </c>
      <c r="P263" s="207">
        <f t="shared" si="63"/>
        <v>0</v>
      </c>
      <c r="Q263" s="194">
        <f>IFERROR(VLOOKUP(A263,[1]Energiindhold!$A$2:$C$11,3,FALSE),IFERROR(VLOOKUP(A263,[1]Biogasudbytte!$A$2:$B$18,2,FALSE)*[1]Energiindhold!$C$10,0))*O263</f>
        <v>0</v>
      </c>
      <c r="R263" s="194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4">
        <f>IFERROR(VLOOKUP(A263,[1]Biogasudbytte!$A$2:$B$18,2,FALSE)*[1]Energiindhold!$C$10,0)*J263*IFERROR(VLOOKUP(A263,Biogasanlæg!$F$3:$G$8,2,FALSE),1)</f>
        <v>0</v>
      </c>
      <c r="T263" s="195">
        <f t="shared" si="64"/>
        <v>0</v>
      </c>
      <c r="U263" s="193">
        <f>O263*IFERROR(VLOOKUP(A263,[1]Tørstofindhold!A$2:B$25,2,FALSE),0)</f>
        <v>0</v>
      </c>
      <c r="V263" s="194">
        <f>IF(D263=År1,P263,SUM(O263,P263))*IFERROR(VLOOKUP(A263,[1]Tørstofindhold!A$2:B$25,2,FALSE),0)</f>
        <v>0</v>
      </c>
      <c r="W263" s="194">
        <f>J263*IFERROR(VLOOKUP(A263,[1]Tørstofindhold!A$2:B$25,2,FALSE),0)</f>
        <v>0</v>
      </c>
      <c r="X263" s="195">
        <f t="shared" si="65"/>
        <v>0</v>
      </c>
      <c r="Y263" s="173">
        <f t="shared" si="76"/>
        <v>0</v>
      </c>
      <c r="Z263" s="104">
        <f t="shared" si="77"/>
        <v>1</v>
      </c>
    </row>
    <row r="264" spans="1:26" x14ac:dyDescent="0.25">
      <c r="A264" s="196" t="str">
        <f t="shared" si="72"/>
        <v>Kartofler</v>
      </c>
      <c r="B264" s="196" t="str">
        <f t="shared" si="73"/>
        <v/>
      </c>
      <c r="C264" s="196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6">
        <f t="shared" si="74"/>
        <v>2050</v>
      </c>
      <c r="E264" s="194" t="s">
        <v>25</v>
      </c>
      <c r="F264" s="197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0</v>
      </c>
      <c r="G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4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7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9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6">
        <f t="shared" si="62"/>
        <v>-111975.50765955324</v>
      </c>
      <c r="O264" s="197">
        <f t="shared" si="75"/>
        <v>0</v>
      </c>
      <c r="P264" s="207">
        <f t="shared" si="63"/>
        <v>0</v>
      </c>
      <c r="Q264" s="194">
        <f>IFERROR(VLOOKUP(A264,[1]Energiindhold!$A$2:$C$11,3,FALSE),IFERROR(VLOOKUP(A264,[1]Biogasudbytte!$A$2:$B$18,2,FALSE)*[1]Energiindhold!$C$10,0))*O264</f>
        <v>0</v>
      </c>
      <c r="R264" s="194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4">
        <f>IFERROR(VLOOKUP(A264,[1]Biogasudbytte!$A$2:$B$18,2,FALSE)*[1]Energiindhold!$C$10,0)*J264*IFERROR(VLOOKUP(A264,Biogasanlæg!$F$3:$G$8,2,FALSE),1)</f>
        <v>0</v>
      </c>
      <c r="T264" s="195">
        <f t="shared" si="64"/>
        <v>0</v>
      </c>
      <c r="U264" s="193">
        <f>O264*IFERROR(VLOOKUP(A264,[1]Tørstofindhold!A$2:B$25,2,FALSE),0)</f>
        <v>0</v>
      </c>
      <c r="V264" s="194">
        <f>IF(D264=År1,P264,SUM(O264,P264))*IFERROR(VLOOKUP(A264,[1]Tørstofindhold!A$2:B$25,2,FALSE),0)</f>
        <v>0</v>
      </c>
      <c r="W264" s="194">
        <f>J264*IFERROR(VLOOKUP(A264,[1]Tørstofindhold!A$2:B$25,2,FALSE),0)</f>
        <v>0</v>
      </c>
      <c r="X264" s="195">
        <f t="shared" si="65"/>
        <v>0</v>
      </c>
      <c r="Y264" s="173">
        <f t="shared" si="76"/>
        <v>1</v>
      </c>
      <c r="Z264" s="104">
        <f t="shared" si="77"/>
        <v>0</v>
      </c>
    </row>
    <row r="265" spans="1:26" x14ac:dyDescent="0.25">
      <c r="A265" s="196" t="str">
        <f t="shared" si="72"/>
        <v>Korn</v>
      </c>
      <c r="B265" s="196" t="str">
        <f t="shared" si="73"/>
        <v>Halm og strå</v>
      </c>
      <c r="C265" s="196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6">
        <f t="shared" si="74"/>
        <v>2050</v>
      </c>
      <c r="E265" s="194" t="s">
        <v>25</v>
      </c>
      <c r="F265" s="197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2274885.0202699397</v>
      </c>
      <c r="G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746979.53273428511</v>
      </c>
      <c r="H265" s="194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0</v>
      </c>
      <c r="K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7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9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6">
        <f t="shared" si="62"/>
        <v>1259656.4691863952</v>
      </c>
      <c r="O265" s="197">
        <f t="shared" si="75"/>
        <v>316.79332798323594</v>
      </c>
      <c r="P265" s="207">
        <f t="shared" si="63"/>
        <v>0</v>
      </c>
      <c r="Q265" s="194">
        <f>IFERROR(VLOOKUP(A265,[1]Energiindhold!$A$2:$C$11,3,FALSE),IFERROR(VLOOKUP(A265,[1]Biogasudbytte!$A$2:$B$18,2,FALSE)*[1]Energiindhold!$C$10,0))*O265</f>
        <v>1.0849727972766657E-3</v>
      </c>
      <c r="R265" s="194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1.0849727972766657E-3</v>
      </c>
      <c r="S265" s="194">
        <f>IFERROR(VLOOKUP(A265,[1]Biogasudbytte!$A$2:$B$18,2,FALSE)*[1]Energiindhold!$C$10,0)*J265*IFERROR(VLOOKUP(A265,Biogasanlæg!$F$3:$G$8,2,FALSE),1)</f>
        <v>0</v>
      </c>
      <c r="T265" s="195">
        <f t="shared" si="64"/>
        <v>1.0849727972766657E-3</v>
      </c>
      <c r="U265" s="193">
        <f>O265*IFERROR(VLOOKUP(A265,[1]Tørstofindhold!A$2:B$25,2,FALSE),0)</f>
        <v>98.205931674803139</v>
      </c>
      <c r="V265" s="194">
        <f>IF(D265=År1,P265,SUM(O265,P265))*IFERROR(VLOOKUP(A265,[1]Tørstofindhold!A$2:B$25,2,FALSE),0)</f>
        <v>98.205931674803139</v>
      </c>
      <c r="W265" s="194">
        <f>J265*IFERROR(VLOOKUP(A265,[1]Tørstofindhold!A$2:B$25,2,FALSE),0)</f>
        <v>0</v>
      </c>
      <c r="X265" s="195">
        <f t="shared" si="65"/>
        <v>98.205931674803139</v>
      </c>
      <c r="Y265" s="173">
        <f t="shared" si="76"/>
        <v>0</v>
      </c>
      <c r="Z265" s="104">
        <f t="shared" si="77"/>
        <v>1</v>
      </c>
    </row>
    <row r="266" spans="1:26" x14ac:dyDescent="0.25">
      <c r="A266" s="196" t="str">
        <f t="shared" si="72"/>
        <v>Kunstgødning</v>
      </c>
      <c r="B266" s="196" t="str">
        <f t="shared" si="73"/>
        <v/>
      </c>
      <c r="C266" s="196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6">
        <f t="shared" si="74"/>
        <v>2050</v>
      </c>
      <c r="E266" s="194" t="s">
        <v>25</v>
      </c>
      <c r="F266" s="197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4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7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257708.57342916247</v>
      </c>
      <c r="L266" s="197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9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6">
        <f t="shared" ca="1" si="62"/>
        <v>-257708.57342916247</v>
      </c>
      <c r="O266" s="197">
        <f t="shared" si="75"/>
        <v>0</v>
      </c>
      <c r="P266" s="207">
        <f t="shared" si="63"/>
        <v>0</v>
      </c>
      <c r="Q266" s="194">
        <f>IFERROR(VLOOKUP(A266,[1]Energiindhold!$A$2:$C$11,3,FALSE),IFERROR(VLOOKUP(A266,[1]Biogasudbytte!$A$2:$B$18,2,FALSE)*[1]Energiindhold!$C$10,0))*O266</f>
        <v>0</v>
      </c>
      <c r="R266" s="194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4">
        <f>IFERROR(VLOOKUP(A266,[1]Biogasudbytte!$A$2:$B$18,2,FALSE)*[1]Energiindhold!$C$10,0)*J266*IFERROR(VLOOKUP(A266,Biogasanlæg!$F$3:$G$8,2,FALSE),1)</f>
        <v>0</v>
      </c>
      <c r="T266" s="195">
        <f t="shared" si="64"/>
        <v>0</v>
      </c>
      <c r="U266" s="193">
        <f>O266*IFERROR(VLOOKUP(A266,[1]Tørstofindhold!A$2:B$25,2,FALSE),0)</f>
        <v>0</v>
      </c>
      <c r="V266" s="194">
        <f>IF(D266=År1,P266,SUM(O266,P266))*IFERROR(VLOOKUP(A266,[1]Tørstofindhold!A$2:B$25,2,FALSE),0)</f>
        <v>0</v>
      </c>
      <c r="W266" s="194">
        <f>J266*IFERROR(VLOOKUP(A266,[1]Tørstofindhold!A$2:B$25,2,FALSE),0)</f>
        <v>0</v>
      </c>
      <c r="X266" s="195">
        <f t="shared" si="65"/>
        <v>0</v>
      </c>
      <c r="Y266" s="173">
        <f t="shared" ca="1" si="76"/>
        <v>1</v>
      </c>
      <c r="Z266" s="104">
        <f t="shared" ca="1" si="77"/>
        <v>0</v>
      </c>
    </row>
    <row r="267" spans="1:26" x14ac:dyDescent="0.25">
      <c r="A267" s="196" t="str">
        <f t="shared" si="72"/>
        <v>Kvæggylle</v>
      </c>
      <c r="B267" s="196" t="str">
        <f t="shared" si="73"/>
        <v>Husdyrgødning</v>
      </c>
      <c r="C267" s="196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6">
        <f t="shared" si="74"/>
        <v>2050</v>
      </c>
      <c r="E267" s="194" t="s">
        <v>25</v>
      </c>
      <c r="F267" s="197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4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724125.12538599269</v>
      </c>
      <c r="K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119933.22389205502</v>
      </c>
      <c r="L267" s="197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9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6">
        <f t="shared" si="62"/>
        <v>61098.057454443187</v>
      </c>
      <c r="O267" s="197">
        <f t="shared" si="75"/>
        <v>61098.057454443187</v>
      </c>
      <c r="P267" s="207">
        <f t="shared" si="63"/>
        <v>724125.12538599269</v>
      </c>
      <c r="Q267" s="194">
        <f>IFERROR(VLOOKUP(A267,[1]Energiindhold!$A$2:$C$11,3,FALSE),IFERROR(VLOOKUP(A267,[1]Biogasudbytte!$A$2:$B$18,2,FALSE)*[1]Energiindhold!$C$10,0))*O267</f>
        <v>3.0927225702864602E-2</v>
      </c>
      <c r="R267" s="194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0.39747212292200029</v>
      </c>
      <c r="S267" s="194">
        <f>IFERROR(VLOOKUP(A267,[1]Biogasudbytte!$A$2:$B$18,2,FALSE)*[1]Energiindhold!$C$10,0)*J267*IFERROR(VLOOKUP(A267,Biogasanlæg!$F$3:$G$8,2,FALSE),1)</f>
        <v>0.36654489721913569</v>
      </c>
      <c r="T267" s="195">
        <f t="shared" si="64"/>
        <v>3.0927225702864602E-2</v>
      </c>
      <c r="U267" s="193">
        <f>O267*IFERROR(VLOOKUP(A267,[1]Tørstofindhold!A$2:B$25,2,FALSE),0)</f>
        <v>4643.4523665376819</v>
      </c>
      <c r="V267" s="194">
        <f>IF(D267=År1,P267,SUM(O267,P267))*IFERROR(VLOOKUP(A267,[1]Tørstofindhold!A$2:B$25,2,FALSE),0)</f>
        <v>59676.961895873123</v>
      </c>
      <c r="W267" s="194">
        <f>J267*IFERROR(VLOOKUP(A267,[1]Tørstofindhold!A$2:B$25,2,FALSE),0)</f>
        <v>55033.509529335446</v>
      </c>
      <c r="X267" s="195">
        <f t="shared" si="65"/>
        <v>4643.4523665376764</v>
      </c>
      <c r="Y267" s="173">
        <f t="shared" si="76"/>
        <v>0</v>
      </c>
      <c r="Z267" s="104">
        <f t="shared" si="77"/>
        <v>1</v>
      </c>
    </row>
    <row r="268" spans="1:26" x14ac:dyDescent="0.25">
      <c r="A268" s="196" t="str">
        <f t="shared" si="72"/>
        <v>Mælk til foder</v>
      </c>
      <c r="B268" s="196" t="str">
        <f t="shared" si="73"/>
        <v/>
      </c>
      <c r="C268" s="196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6">
        <f t="shared" si="74"/>
        <v>2050</v>
      </c>
      <c r="E268" s="194" t="s">
        <v>25</v>
      </c>
      <c r="F268" s="197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4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7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9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6">
        <f t="shared" si="62"/>
        <v>-72970.026349509179</v>
      </c>
      <c r="O268" s="197">
        <f t="shared" si="75"/>
        <v>0</v>
      </c>
      <c r="P268" s="207">
        <f t="shared" si="63"/>
        <v>0</v>
      </c>
      <c r="Q268" s="194">
        <f>IFERROR(VLOOKUP(A268,[1]Energiindhold!$A$2:$C$11,3,FALSE),IFERROR(VLOOKUP(A268,[1]Biogasudbytte!$A$2:$B$18,2,FALSE)*[1]Energiindhold!$C$10,0))*O268</f>
        <v>0</v>
      </c>
      <c r="R268" s="194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4">
        <f>IFERROR(VLOOKUP(A268,[1]Biogasudbytte!$A$2:$B$18,2,FALSE)*[1]Energiindhold!$C$10,0)*J268*IFERROR(VLOOKUP(A268,Biogasanlæg!$F$3:$G$8,2,FALSE),1)</f>
        <v>0</v>
      </c>
      <c r="T268" s="195">
        <f t="shared" si="64"/>
        <v>0</v>
      </c>
      <c r="U268" s="193">
        <f>O268*IFERROR(VLOOKUP(A268,[1]Tørstofindhold!A$2:B$25,2,FALSE),0)</f>
        <v>0</v>
      </c>
      <c r="V268" s="194">
        <f>IF(D268=År1,P268,SUM(O268,P268))*IFERROR(VLOOKUP(A268,[1]Tørstofindhold!A$2:B$25,2,FALSE),0)</f>
        <v>0</v>
      </c>
      <c r="W268" s="194">
        <f>J268*IFERROR(VLOOKUP(A268,[1]Tørstofindhold!A$2:B$25,2,FALSE),0)</f>
        <v>0</v>
      </c>
      <c r="X268" s="195">
        <f t="shared" si="65"/>
        <v>0</v>
      </c>
      <c r="Y268" s="173">
        <f t="shared" si="76"/>
        <v>0</v>
      </c>
      <c r="Z268" s="104">
        <f t="shared" si="77"/>
        <v>1</v>
      </c>
    </row>
    <row r="269" spans="1:26" x14ac:dyDescent="0.25">
      <c r="A269" s="196" t="str">
        <f t="shared" si="72"/>
        <v>Majs</v>
      </c>
      <c r="B269" s="196" t="str">
        <f t="shared" si="73"/>
        <v>Græs og urter</v>
      </c>
      <c r="C269" s="196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6">
        <f t="shared" si="74"/>
        <v>2050</v>
      </c>
      <c r="E269" s="194" t="s">
        <v>25</v>
      </c>
      <c r="F269" s="197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346077.120935774</v>
      </c>
      <c r="G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694667.19345041306</v>
      </c>
      <c r="H269" s="194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0</v>
      </c>
      <c r="K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7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9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6">
        <f t="shared" si="62"/>
        <v>-348590.07251463906</v>
      </c>
      <c r="O269" s="197">
        <f t="shared" si="75"/>
        <v>0</v>
      </c>
      <c r="P269" s="207">
        <f t="shared" si="63"/>
        <v>0</v>
      </c>
      <c r="Q269" s="194">
        <f>IFERROR(VLOOKUP(A269,[1]Energiindhold!$A$2:$C$11,3,FALSE),IFERROR(VLOOKUP(A269,[1]Biogasudbytte!$A$2:$B$18,2,FALSE)*[1]Energiindhold!$C$10,0))*O269</f>
        <v>0</v>
      </c>
      <c r="R269" s="194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0</v>
      </c>
      <c r="S269" s="194">
        <f>IFERROR(VLOOKUP(A269,[1]Biogasudbytte!$A$2:$B$18,2,FALSE)*[1]Energiindhold!$C$10,0)*J269*IFERROR(VLOOKUP(A269,Biogasanlæg!$F$3:$G$8,2,FALSE),1)</f>
        <v>0</v>
      </c>
      <c r="T269" s="195">
        <f t="shared" si="64"/>
        <v>0</v>
      </c>
      <c r="U269" s="193">
        <f>O269*IFERROR(VLOOKUP(A269,[1]Tørstofindhold!A$2:B$25,2,FALSE),0)</f>
        <v>0</v>
      </c>
      <c r="V269" s="194">
        <f>IF(D269=År1,P269,SUM(O269,P269))*IFERROR(VLOOKUP(A269,[1]Tørstofindhold!A$2:B$25,2,FALSE),0)</f>
        <v>0</v>
      </c>
      <c r="W269" s="194">
        <f>J269*IFERROR(VLOOKUP(A269,[1]Tørstofindhold!A$2:B$25,2,FALSE),0)</f>
        <v>0</v>
      </c>
      <c r="X269" s="195">
        <f t="shared" si="65"/>
        <v>0</v>
      </c>
      <c r="Y269" s="173">
        <f t="shared" si="76"/>
        <v>1</v>
      </c>
      <c r="Z269" s="104">
        <f t="shared" si="77"/>
        <v>0</v>
      </c>
    </row>
    <row r="270" spans="1:26" x14ac:dyDescent="0.25">
      <c r="A270" s="196" t="str">
        <f t="shared" si="72"/>
        <v>Mejeriprodukter</v>
      </c>
      <c r="B270" s="196" t="str">
        <f t="shared" si="73"/>
        <v/>
      </c>
      <c r="C270" s="196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6">
        <f t="shared" si="74"/>
        <v>2050</v>
      </c>
      <c r="E270" s="194" t="s">
        <v>25</v>
      </c>
      <c r="F270" s="197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4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7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9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6">
        <f t="shared" si="62"/>
        <v>-210046.70964768095</v>
      </c>
      <c r="O270" s="197">
        <f t="shared" si="75"/>
        <v>0</v>
      </c>
      <c r="P270" s="207">
        <f t="shared" si="63"/>
        <v>0</v>
      </c>
      <c r="Q270" s="194">
        <f>IFERROR(VLOOKUP(A270,[1]Energiindhold!$A$2:$C$11,3,FALSE),IFERROR(VLOOKUP(A270,[1]Biogasudbytte!$A$2:$B$18,2,FALSE)*[1]Energiindhold!$C$10,0))*O270</f>
        <v>0</v>
      </c>
      <c r="R270" s="194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4">
        <f>IFERROR(VLOOKUP(A270,[1]Biogasudbytte!$A$2:$B$18,2,FALSE)*[1]Energiindhold!$C$10,0)*J270*IFERROR(VLOOKUP(A270,Biogasanlæg!$F$3:$G$8,2,FALSE),1)</f>
        <v>0</v>
      </c>
      <c r="T270" s="195">
        <f t="shared" si="64"/>
        <v>0</v>
      </c>
      <c r="U270" s="193">
        <f>O270*IFERROR(VLOOKUP(A270,[1]Tørstofindhold!A$2:B$25,2,FALSE),0)</f>
        <v>0</v>
      </c>
      <c r="V270" s="194">
        <f>IF(D270=År1,P270,SUM(O270,P270))*IFERROR(VLOOKUP(A270,[1]Tørstofindhold!A$2:B$25,2,FALSE),0)</f>
        <v>0</v>
      </c>
      <c r="W270" s="194">
        <f>J270*IFERROR(VLOOKUP(A270,[1]Tørstofindhold!A$2:B$25,2,FALSE),0)</f>
        <v>0</v>
      </c>
      <c r="X270" s="195">
        <f t="shared" si="65"/>
        <v>0</v>
      </c>
      <c r="Y270" s="173">
        <f t="shared" si="76"/>
        <v>0</v>
      </c>
      <c r="Z270" s="104">
        <f t="shared" si="77"/>
        <v>1</v>
      </c>
    </row>
    <row r="271" spans="1:26" x14ac:dyDescent="0.25">
      <c r="A271" s="196" t="str">
        <f t="shared" si="72"/>
        <v>Muslinger</v>
      </c>
      <c r="B271" s="196" t="str">
        <f t="shared" si="73"/>
        <v>Havbiomasse</v>
      </c>
      <c r="C271" s="196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6">
        <f t="shared" si="74"/>
        <v>2050</v>
      </c>
      <c r="E271" s="194" t="s">
        <v>25</v>
      </c>
      <c r="F271" s="197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5757.7166864893616</v>
      </c>
      <c r="H271" s="194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7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9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6">
        <f t="shared" si="62"/>
        <v>48297.869614259107</v>
      </c>
      <c r="O271" s="197">
        <f t="shared" si="75"/>
        <v>48297.869614259107</v>
      </c>
      <c r="P271" s="207">
        <f t="shared" si="63"/>
        <v>0</v>
      </c>
      <c r="Q271" s="194">
        <f>IFERROR(VLOOKUP(A271,[1]Energiindhold!$A$2:$C$11,3,FALSE),IFERROR(VLOOKUP(A271,[1]Biogasudbytte!$A$2:$B$18,2,FALSE)*[1]Energiindhold!$C$10,0))*O271</f>
        <v>4.334733797879755E-2</v>
      </c>
      <c r="R271" s="194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4.334733797879755E-2</v>
      </c>
      <c r="S271" s="194">
        <f>IFERROR(VLOOKUP(A271,[1]Biogasudbytte!$A$2:$B$18,2,FALSE)*[1]Energiindhold!$C$10,0)*J271*IFERROR(VLOOKUP(A271,Biogasanlæg!$F$3:$G$8,2,FALSE),1)</f>
        <v>0</v>
      </c>
      <c r="T271" s="195">
        <f t="shared" si="64"/>
        <v>4.334733797879755E-2</v>
      </c>
      <c r="U271" s="193">
        <f>O271*IFERROR(VLOOKUP(A271,[1]Tørstofindhold!A$2:B$25,2,FALSE),0)</f>
        <v>7244.6804421388661</v>
      </c>
      <c r="V271" s="194">
        <f>IF(D271=År1,P271,SUM(O271,P271))*IFERROR(VLOOKUP(A271,[1]Tørstofindhold!A$2:B$25,2,FALSE),0)</f>
        <v>7244.6804421388661</v>
      </c>
      <c r="W271" s="194">
        <f>J271*IFERROR(VLOOKUP(A271,[1]Tørstofindhold!A$2:B$25,2,FALSE),0)</f>
        <v>0</v>
      </c>
      <c r="X271" s="195">
        <f t="shared" si="65"/>
        <v>7244.6804421388661</v>
      </c>
      <c r="Y271" s="173">
        <f t="shared" si="76"/>
        <v>0</v>
      </c>
      <c r="Z271" s="104">
        <f t="shared" si="77"/>
        <v>1</v>
      </c>
    </row>
    <row r="272" spans="1:26" x14ac:dyDescent="0.25">
      <c r="A272" s="196" t="str">
        <f t="shared" si="72"/>
        <v>Oksekød</v>
      </c>
      <c r="B272" s="196" t="str">
        <f t="shared" si="73"/>
        <v/>
      </c>
      <c r="C272" s="196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6">
        <f t="shared" si="74"/>
        <v>2050</v>
      </c>
      <c r="E272" s="194" t="s">
        <v>25</v>
      </c>
      <c r="F272" s="197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4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7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9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6">
        <f t="shared" si="62"/>
        <v>-47107.150175456467</v>
      </c>
      <c r="O272" s="197">
        <f t="shared" si="75"/>
        <v>0</v>
      </c>
      <c r="P272" s="207">
        <f t="shared" si="63"/>
        <v>0</v>
      </c>
      <c r="Q272" s="194">
        <f>IFERROR(VLOOKUP(A272,[1]Energiindhold!$A$2:$C$11,3,FALSE),IFERROR(VLOOKUP(A272,[1]Biogasudbytte!$A$2:$B$18,2,FALSE)*[1]Energiindhold!$C$10,0))*O272</f>
        <v>0</v>
      </c>
      <c r="R272" s="194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4">
        <f>IFERROR(VLOOKUP(A272,[1]Biogasudbytte!$A$2:$B$18,2,FALSE)*[1]Energiindhold!$C$10,0)*J272*IFERROR(VLOOKUP(A272,Biogasanlæg!$F$3:$G$8,2,FALSE),1)</f>
        <v>0</v>
      </c>
      <c r="T272" s="195">
        <f t="shared" si="64"/>
        <v>0</v>
      </c>
      <c r="U272" s="193">
        <f>O272*IFERROR(VLOOKUP(A272,[1]Tørstofindhold!A$2:B$25,2,FALSE),0)</f>
        <v>0</v>
      </c>
      <c r="V272" s="194">
        <f>IF(D272=År1,P272,SUM(O272,P272))*IFERROR(VLOOKUP(A272,[1]Tørstofindhold!A$2:B$25,2,FALSE),0)</f>
        <v>0</v>
      </c>
      <c r="W272" s="194">
        <f>J272*IFERROR(VLOOKUP(A272,[1]Tørstofindhold!A$2:B$25,2,FALSE),0)</f>
        <v>0</v>
      </c>
      <c r="X272" s="195">
        <f t="shared" si="65"/>
        <v>0</v>
      </c>
      <c r="Y272" s="173">
        <f t="shared" si="76"/>
        <v>1</v>
      </c>
      <c r="Z272" s="104">
        <f t="shared" si="77"/>
        <v>0</v>
      </c>
    </row>
    <row r="273" spans="1:26" x14ac:dyDescent="0.25">
      <c r="A273" s="196" t="str">
        <f t="shared" si="72"/>
        <v>Øvrige</v>
      </c>
      <c r="B273" s="196" t="str">
        <f t="shared" si="73"/>
        <v/>
      </c>
      <c r="C273" s="196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6">
        <f t="shared" si="74"/>
        <v>2050</v>
      </c>
      <c r="E273" s="194" t="s">
        <v>25</v>
      </c>
      <c r="F273" s="197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218022.17480677072</v>
      </c>
      <c r="G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4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7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9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6">
        <f t="shared" si="62"/>
        <v>218022.17480677072</v>
      </c>
      <c r="O273" s="197">
        <f t="shared" si="75"/>
        <v>0</v>
      </c>
      <c r="P273" s="207">
        <f t="shared" si="63"/>
        <v>0</v>
      </c>
      <c r="Q273" s="194">
        <f>IFERROR(VLOOKUP(A273,[1]Energiindhold!$A$2:$C$11,3,FALSE),IFERROR(VLOOKUP(A273,[1]Biogasudbytte!$A$2:$B$18,2,FALSE)*[1]Energiindhold!$C$10,0))*O273</f>
        <v>0</v>
      </c>
      <c r="R273" s="194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4">
        <f>IFERROR(VLOOKUP(A273,[1]Biogasudbytte!$A$2:$B$18,2,FALSE)*[1]Energiindhold!$C$10,0)*J273*IFERROR(VLOOKUP(A273,Biogasanlæg!$F$3:$G$8,2,FALSE),1)</f>
        <v>0</v>
      </c>
      <c r="T273" s="195">
        <f t="shared" si="64"/>
        <v>0</v>
      </c>
      <c r="U273" s="193">
        <f>O273*IFERROR(VLOOKUP(A273,[1]Tørstofindhold!A$2:B$25,2,FALSE),0)</f>
        <v>0</v>
      </c>
      <c r="V273" s="194">
        <f>IF(D273=År1,P273,SUM(O273,P273))*IFERROR(VLOOKUP(A273,[1]Tørstofindhold!A$2:B$25,2,FALSE),0)</f>
        <v>0</v>
      </c>
      <c r="W273" s="194">
        <f>J273*IFERROR(VLOOKUP(A273,[1]Tørstofindhold!A$2:B$25,2,FALSE),0)</f>
        <v>0</v>
      </c>
      <c r="X273" s="195">
        <f t="shared" si="65"/>
        <v>0</v>
      </c>
      <c r="Y273" s="173">
        <f t="shared" si="76"/>
        <v>0</v>
      </c>
      <c r="Z273" s="104">
        <f t="shared" si="77"/>
        <v>1</v>
      </c>
    </row>
    <row r="274" spans="1:26" x14ac:dyDescent="0.25">
      <c r="A274" s="196" t="str">
        <f t="shared" si="72"/>
        <v>Pil &amp; poppel</v>
      </c>
      <c r="B274" s="196" t="str">
        <f t="shared" si="73"/>
        <v>Vedmasse</v>
      </c>
      <c r="C274" s="196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6">
        <f t="shared" si="74"/>
        <v>2050</v>
      </c>
      <c r="E274" s="194" t="s">
        <v>25</v>
      </c>
      <c r="F274" s="197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31325.762503658123</v>
      </c>
      <c r="G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4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7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31325.762503658123</v>
      </c>
      <c r="M274" s="159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6">
        <f t="shared" si="62"/>
        <v>0</v>
      </c>
      <c r="O274" s="197">
        <f t="shared" si="75"/>
        <v>0</v>
      </c>
      <c r="P274" s="207">
        <f t="shared" si="63"/>
        <v>31325.762503658123</v>
      </c>
      <c r="Q274" s="194">
        <f>IFERROR(VLOOKUP(A274,[1]Energiindhold!$A$2:$C$11,3,FALSE),IFERROR(VLOOKUP(A274,[1]Biogasudbytte!$A$2:$B$18,2,FALSE)*[1]Energiindhold!$C$10,0))*O274</f>
        <v>0</v>
      </c>
      <c r="R274" s="194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0.57639403006730938</v>
      </c>
      <c r="S274" s="194">
        <f>IFERROR(VLOOKUP(A274,[1]Biogasudbytte!$A$2:$B$18,2,FALSE)*[1]Energiindhold!$C$10,0)*J274*IFERROR(VLOOKUP(A274,Biogasanlæg!$F$3:$G$8,2,FALSE),1)</f>
        <v>0</v>
      </c>
      <c r="T274" s="195">
        <f t="shared" si="64"/>
        <v>0.57639403006730938</v>
      </c>
      <c r="U274" s="193">
        <f>O274*IFERROR(VLOOKUP(A274,[1]Tørstofindhold!A$2:B$25,2,FALSE),0)</f>
        <v>0</v>
      </c>
      <c r="V274" s="194">
        <f>IF(D274=År1,P274,SUM(O274,P274))*IFERROR(VLOOKUP(A274,[1]Tørstofindhold!A$2:B$25,2,FALSE),0)</f>
        <v>13000.191439018123</v>
      </c>
      <c r="W274" s="194">
        <f>J274*IFERROR(VLOOKUP(A274,[1]Tørstofindhold!A$2:B$25,2,FALSE),0)</f>
        <v>0</v>
      </c>
      <c r="X274" s="195">
        <f t="shared" si="65"/>
        <v>13000.191439018123</v>
      </c>
      <c r="Y274" s="173">
        <f t="shared" si="76"/>
        <v>0</v>
      </c>
      <c r="Z274" s="104">
        <f t="shared" si="77"/>
        <v>0</v>
      </c>
    </row>
    <row r="275" spans="1:26" x14ac:dyDescent="0.25">
      <c r="A275" s="196" t="str">
        <f t="shared" ref="A275:A276" si="78">A227</f>
        <v>Pyrolysegas</v>
      </c>
      <c r="B275" s="196" t="str">
        <f t="shared" ref="B275:B276" si="79">IF(B227&lt;&gt;"",B227,"")</f>
        <v>Pyrolyseprodukter</v>
      </c>
      <c r="C275" s="196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6">
        <f t="shared" si="74"/>
        <v>2050</v>
      </c>
      <c r="E275" s="194" t="s">
        <v>25</v>
      </c>
      <c r="F275" s="197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255359.82623770126</v>
      </c>
      <c r="G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4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7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255359.82623770126</v>
      </c>
      <c r="M275" s="159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6">
        <f t="shared" ref="N275:N276" si="80">F275-SUM(G275:M275)</f>
        <v>0</v>
      </c>
      <c r="O275" s="197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7">
        <f t="shared" ref="P275:P276" si="82">SUM(J275,L275)</f>
        <v>255359.82623770126</v>
      </c>
      <c r="Q275" s="194">
        <f>IFERROR(VLOOKUP(A275,[1]Energiindhold!$A$2:$C$11,3,FALSE),IFERROR(VLOOKUP(A275,[1]Biogasudbytte!$A$2:$B$18,2,FALSE)*[1]Energiindhold!$C$10,0))*O275</f>
        <v>0</v>
      </c>
      <c r="R275" s="194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2.2883888428415706</v>
      </c>
      <c r="S275" s="194">
        <f>IFERROR(VLOOKUP(A275,[1]Biogasudbytte!$A$2:$B$18,2,FALSE)*[1]Energiindhold!$C$10,0)*J275*IFERROR(VLOOKUP(A275,Biogasanlæg!$F$3:$G$8,2,FALSE),1)</f>
        <v>0</v>
      </c>
      <c r="T275" s="195">
        <f t="shared" ref="T275:T276" si="83">R275-S275</f>
        <v>2.2883888428415706</v>
      </c>
      <c r="U275" s="193">
        <f>O275*IFERROR(VLOOKUP(A275,[1]Tørstofindhold!A$2:B$25,2,FALSE),0)</f>
        <v>0</v>
      </c>
      <c r="V275" s="194">
        <f>IF(D275=År1,P275,SUM(O275,P275))*IFERROR(VLOOKUP(A275,[1]Tørstofindhold!A$2:B$25,2,FALSE),0)</f>
        <v>0</v>
      </c>
      <c r="W275" s="194">
        <f>J275*IFERROR(VLOOKUP(A275,[1]Tørstofindhold!A$2:B$25,2,FALSE),0)</f>
        <v>0</v>
      </c>
      <c r="X275" s="195">
        <f t="shared" ref="X275:X276" si="84">V275-W275</f>
        <v>0</v>
      </c>
      <c r="Y275" s="173">
        <f t="shared" ref="Y275:Y276" si="85">IF(SUMIFS($N$3:$N$290,$A$3:$A$290,A275,$D$3:$D$290,D275)&lt;0,1,0)</f>
        <v>0</v>
      </c>
      <c r="Z275" s="104">
        <f t="shared" ref="Z275:Z276" si="86">IF(SUMIFS($N$3:$N$290,$A$3:$A$290,A275,$D$3:$D$290,D275)&gt;0,1,0)</f>
        <v>0</v>
      </c>
    </row>
    <row r="276" spans="1:26" x14ac:dyDescent="0.25">
      <c r="A276" s="196" t="str">
        <f t="shared" si="78"/>
        <v>Pyrolyseolie</v>
      </c>
      <c r="B276" s="196" t="str">
        <f t="shared" si="79"/>
        <v>Pyrolyseprodukter</v>
      </c>
      <c r="C276" s="196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6">
        <f t="shared" si="74"/>
        <v>2050</v>
      </c>
      <c r="E276" s="194" t="s">
        <v>25</v>
      </c>
      <c r="F276" s="197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63839.956559425314</v>
      </c>
      <c r="G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4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7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63839.956559425314</v>
      </c>
      <c r="M276" s="159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6">
        <f t="shared" si="80"/>
        <v>0</v>
      </c>
      <c r="O276" s="197">
        <f t="shared" si="81"/>
        <v>0</v>
      </c>
      <c r="P276" s="207">
        <f t="shared" si="82"/>
        <v>63839.956559425314</v>
      </c>
      <c r="Q276" s="194">
        <f>IFERROR(VLOOKUP(A276,[1]Energiindhold!$A$2:$C$11,3,FALSE),IFERROR(VLOOKUP(A276,[1]Biogasudbytte!$A$2:$B$18,2,FALSE)*[1]Energiindhold!$C$10,0))*O276</f>
        <v>0</v>
      </c>
      <c r="R276" s="194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2.1238641547941377</v>
      </c>
      <c r="S276" s="194">
        <f>IFERROR(VLOOKUP(A276,[1]Biogasudbytte!$A$2:$B$18,2,FALSE)*[1]Energiindhold!$C$10,0)*J276*IFERROR(VLOOKUP(A276,Biogasanlæg!$F$3:$G$8,2,FALSE),1)</f>
        <v>0</v>
      </c>
      <c r="T276" s="195">
        <f t="shared" si="83"/>
        <v>2.1238641547941377</v>
      </c>
      <c r="U276" s="193">
        <f>O276*IFERROR(VLOOKUP(A276,[1]Tørstofindhold!A$2:B$25,2,FALSE),0)</f>
        <v>0</v>
      </c>
      <c r="V276" s="194">
        <f>IF(D276=År1,P276,SUM(O276,P276))*IFERROR(VLOOKUP(A276,[1]Tørstofindhold!A$2:B$25,2,FALSE),0)</f>
        <v>0</v>
      </c>
      <c r="W276" s="194">
        <f>J276*IFERROR(VLOOKUP(A276,[1]Tørstofindhold!A$2:B$25,2,FALSE),0)</f>
        <v>0</v>
      </c>
      <c r="X276" s="195">
        <f t="shared" si="84"/>
        <v>0</v>
      </c>
      <c r="Y276" s="173">
        <f t="shared" si="85"/>
        <v>0</v>
      </c>
      <c r="Z276" s="104">
        <f t="shared" si="86"/>
        <v>0</v>
      </c>
    </row>
    <row r="277" spans="1:26" x14ac:dyDescent="0.25">
      <c r="A277" s="196" t="str">
        <f t="shared" ref="A277:A290" si="87">A229</f>
        <v>Råmælk</v>
      </c>
      <c r="B277" s="196" t="str">
        <f t="shared" ref="B277:B290" si="88">IF(B229&lt;&gt;"",B229,"")</f>
        <v/>
      </c>
      <c r="C277" s="196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6">
        <f t="shared" si="74"/>
        <v>2050</v>
      </c>
      <c r="E277" s="194" t="s">
        <v>25</v>
      </c>
      <c r="F277" s="197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4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7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9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6">
        <f t="shared" si="62"/>
        <v>339731.06359710812</v>
      </c>
      <c r="O277" s="197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7">
        <f t="shared" si="63"/>
        <v>0</v>
      </c>
      <c r="Q277" s="194">
        <f>IFERROR(VLOOKUP(A277,[1]Energiindhold!$A$2:$C$11,3,FALSE),IFERROR(VLOOKUP(A277,[1]Biogasudbytte!$A$2:$B$18,2,FALSE)*[1]Energiindhold!$C$10,0))*O277</f>
        <v>0</v>
      </c>
      <c r="R277" s="194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4">
        <f>IFERROR(VLOOKUP(A277,[1]Biogasudbytte!$A$2:$B$18,2,FALSE)*[1]Energiindhold!$C$10,0)*J277*IFERROR(VLOOKUP(A277,Biogasanlæg!$F$3:$G$8,2,FALSE),1)</f>
        <v>0</v>
      </c>
      <c r="T277" s="195">
        <f t="shared" si="64"/>
        <v>0</v>
      </c>
      <c r="U277" s="193">
        <f>O277*IFERROR(VLOOKUP(A277,[1]Tørstofindhold!A$2:B$25,2,FALSE),0)</f>
        <v>0</v>
      </c>
      <c r="V277" s="194">
        <f>IF(D277=År1,P277,SUM(O277,P277))*IFERROR(VLOOKUP(A277,[1]Tørstofindhold!A$2:B$25,2,FALSE),0)</f>
        <v>0</v>
      </c>
      <c r="W277" s="194">
        <f>J277*IFERROR(VLOOKUP(A277,[1]Tørstofindhold!A$2:B$25,2,FALSE),0)</f>
        <v>0</v>
      </c>
      <c r="X277" s="195">
        <f t="shared" si="65"/>
        <v>0</v>
      </c>
      <c r="Y277" s="173">
        <f t="shared" ref="Y277:Y290" si="90">IF(SUMIFS($N$3:$N$290,$A$3:$A$290,A277,$D$3:$D$290,D277)&lt;0,1,0)</f>
        <v>0</v>
      </c>
      <c r="Z277" s="104">
        <f t="shared" ref="Z277:Z290" si="91">IF(SUMIFS($N$3:$N$290,$A$3:$A$290,A277,$D$3:$D$290,D277)&gt;0,1,0)</f>
        <v>1</v>
      </c>
    </row>
    <row r="278" spans="1:26" x14ac:dyDescent="0.25">
      <c r="A278" s="196" t="str">
        <f t="shared" si="87"/>
        <v>Raps</v>
      </c>
      <c r="B278" s="196" t="str">
        <f t="shared" si="88"/>
        <v/>
      </c>
      <c r="C278" s="196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6">
        <f t="shared" si="74"/>
        <v>2050</v>
      </c>
      <c r="E278" s="194" t="s">
        <v>25</v>
      </c>
      <c r="F278" s="197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115213.68672370631</v>
      </c>
      <c r="G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4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7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9">
        <f>SUMIFS('Forbrug af biomasse'!E:E,'Forbrug af biomasse'!C:C,'Resultat-Produktion &amp; forbrug'!$A278,'Forbrug af biomasse'!D:D,'Resultat-Produktion &amp; forbrug'!$D278,'Forbrug af biomasse'!G:G,1,'Forbrug af biomasse'!B:B,$E278)</f>
        <v>115213.68672370631</v>
      </c>
      <c r="N278" s="206">
        <f t="shared" si="62"/>
        <v>0</v>
      </c>
      <c r="O278" s="197">
        <f t="shared" si="89"/>
        <v>0</v>
      </c>
      <c r="P278" s="207">
        <f t="shared" si="63"/>
        <v>0</v>
      </c>
      <c r="Q278" s="194">
        <f>IFERROR(VLOOKUP(A278,[1]Energiindhold!$A$2:$C$11,3,FALSE),IFERROR(VLOOKUP(A278,[1]Biogasudbytte!$A$2:$B$18,2,FALSE)*[1]Energiindhold!$C$10,0))*O278</f>
        <v>0</v>
      </c>
      <c r="R278" s="194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4">
        <f>IFERROR(VLOOKUP(A278,[1]Biogasudbytte!$A$2:$B$18,2,FALSE)*[1]Energiindhold!$C$10,0)*J278*IFERROR(VLOOKUP(A278,Biogasanlæg!$F$3:$G$8,2,FALSE),1)</f>
        <v>0</v>
      </c>
      <c r="T278" s="195">
        <f t="shared" si="64"/>
        <v>0</v>
      </c>
      <c r="U278" s="193">
        <f>O278*IFERROR(VLOOKUP(A278,[1]Tørstofindhold!A$2:B$25,2,FALSE),0)</f>
        <v>0</v>
      </c>
      <c r="V278" s="194">
        <f>IF(D278=År1,P278,SUM(O278,P278))*IFERROR(VLOOKUP(A278,[1]Tørstofindhold!A$2:B$25,2,FALSE),0)</f>
        <v>0</v>
      </c>
      <c r="W278" s="194">
        <f>J278*IFERROR(VLOOKUP(A278,[1]Tørstofindhold!A$2:B$25,2,FALSE),0)</f>
        <v>0</v>
      </c>
      <c r="X278" s="195">
        <f t="shared" si="65"/>
        <v>0</v>
      </c>
      <c r="Y278" s="173">
        <f t="shared" si="90"/>
        <v>0</v>
      </c>
      <c r="Z278" s="104">
        <f t="shared" si="91"/>
        <v>0</v>
      </c>
    </row>
    <row r="279" spans="1:26" x14ac:dyDescent="0.25">
      <c r="A279" s="196" t="str">
        <f t="shared" si="87"/>
        <v>Rapskage</v>
      </c>
      <c r="B279" s="196" t="str">
        <f t="shared" si="88"/>
        <v/>
      </c>
      <c r="C279" s="196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6">
        <f t="shared" si="74"/>
        <v>2050</v>
      </c>
      <c r="E279" s="194" t="s">
        <v>25</v>
      </c>
      <c r="F279" s="197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57606.843361853156</v>
      </c>
      <c r="G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4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7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9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6">
        <f t="shared" si="62"/>
        <v>31328.073859854783</v>
      </c>
      <c r="O279" s="197">
        <f t="shared" si="89"/>
        <v>0</v>
      </c>
      <c r="P279" s="207">
        <f t="shared" si="63"/>
        <v>0</v>
      </c>
      <c r="Q279" s="194">
        <f>IFERROR(VLOOKUP(A279,[1]Energiindhold!$A$2:$C$11,3,FALSE),IFERROR(VLOOKUP(A279,[1]Biogasudbytte!$A$2:$B$18,2,FALSE)*[1]Energiindhold!$C$10,0))*O279</f>
        <v>0</v>
      </c>
      <c r="R279" s="194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4">
        <f>IFERROR(VLOOKUP(A279,[1]Biogasudbytte!$A$2:$B$18,2,FALSE)*[1]Energiindhold!$C$10,0)*J279*IFERROR(VLOOKUP(A279,Biogasanlæg!$F$3:$G$8,2,FALSE),1)</f>
        <v>0</v>
      </c>
      <c r="T279" s="195">
        <f t="shared" si="64"/>
        <v>0</v>
      </c>
      <c r="U279" s="193">
        <f>O279*IFERROR(VLOOKUP(A279,[1]Tørstofindhold!A$2:B$25,2,FALSE),0)</f>
        <v>0</v>
      </c>
      <c r="V279" s="194">
        <f>IF(D279=År1,P279,SUM(O279,P279))*IFERROR(VLOOKUP(A279,[1]Tørstofindhold!A$2:B$25,2,FALSE),0)</f>
        <v>0</v>
      </c>
      <c r="W279" s="194">
        <f>J279*IFERROR(VLOOKUP(A279,[1]Tørstofindhold!A$2:B$25,2,FALSE),0)</f>
        <v>0</v>
      </c>
      <c r="X279" s="195">
        <f t="shared" si="65"/>
        <v>0</v>
      </c>
      <c r="Y279" s="173">
        <f t="shared" si="90"/>
        <v>1</v>
      </c>
      <c r="Z279" s="104">
        <f t="shared" si="91"/>
        <v>0</v>
      </c>
    </row>
    <row r="280" spans="1:26" x14ac:dyDescent="0.25">
      <c r="A280" s="196" t="str">
        <f t="shared" si="87"/>
        <v>Rapsolie</v>
      </c>
      <c r="B280" s="196" t="str">
        <f t="shared" si="88"/>
        <v>Rapsolie</v>
      </c>
      <c r="C280" s="196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6">
        <f t="shared" si="74"/>
        <v>2050</v>
      </c>
      <c r="E280" s="194" t="s">
        <v>25</v>
      </c>
      <c r="F280" s="197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36868.379751586021</v>
      </c>
      <c r="G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4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7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36868.379751586021</v>
      </c>
      <c r="M280" s="159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6">
        <f t="shared" si="62"/>
        <v>0</v>
      </c>
      <c r="O280" s="197">
        <f t="shared" si="89"/>
        <v>0</v>
      </c>
      <c r="P280" s="207">
        <f t="shared" si="63"/>
        <v>36868.379751586021</v>
      </c>
      <c r="Q280" s="194">
        <f>IFERROR(VLOOKUP(A280,[1]Energiindhold!$A$2:$C$11,3,FALSE),IFERROR(VLOOKUP(A280,[1]Biogasudbytte!$A$2:$B$18,2,FALSE)*[1]Energiindhold!$C$10,0))*O280</f>
        <v>0</v>
      </c>
      <c r="R280" s="194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1.2903932913055105</v>
      </c>
      <c r="S280" s="194">
        <f>IFERROR(VLOOKUP(A280,[1]Biogasudbytte!$A$2:$B$18,2,FALSE)*[1]Energiindhold!$C$10,0)*J280*IFERROR(VLOOKUP(A280,Biogasanlæg!$F$3:$G$8,2,FALSE),1)</f>
        <v>0</v>
      </c>
      <c r="T280" s="195">
        <f t="shared" si="64"/>
        <v>1.2903932913055105</v>
      </c>
      <c r="U280" s="193">
        <f>O280*IFERROR(VLOOKUP(A280,[1]Tørstofindhold!A$2:B$25,2,FALSE),0)</f>
        <v>0</v>
      </c>
      <c r="V280" s="194">
        <f>IF(D280=År1,P280,SUM(O280,P280))*IFERROR(VLOOKUP(A280,[1]Tørstofindhold!A$2:B$25,2,FALSE),0)</f>
        <v>33550.22557394328</v>
      </c>
      <c r="W280" s="194">
        <f>J280*IFERROR(VLOOKUP(A280,[1]Tørstofindhold!A$2:B$25,2,FALSE),0)</f>
        <v>0</v>
      </c>
      <c r="X280" s="195">
        <f t="shared" si="65"/>
        <v>33550.22557394328</v>
      </c>
      <c r="Y280" s="173">
        <f t="shared" si="90"/>
        <v>0</v>
      </c>
      <c r="Z280" s="104">
        <f t="shared" si="91"/>
        <v>0</v>
      </c>
    </row>
    <row r="281" spans="1:26" x14ac:dyDescent="0.25">
      <c r="A281" s="196" t="str">
        <f t="shared" si="87"/>
        <v>Roer</v>
      </c>
      <c r="B281" s="196" t="str">
        <f t="shared" si="88"/>
        <v>Græs og urter</v>
      </c>
      <c r="C281" s="196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6">
        <f t="shared" si="74"/>
        <v>2050</v>
      </c>
      <c r="E281" s="194" t="s">
        <v>25</v>
      </c>
      <c r="F281" s="197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2128936.6947511984</v>
      </c>
      <c r="G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106617.61280762308</v>
      </c>
      <c r="H281" s="194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0</v>
      </c>
      <c r="K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7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9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6">
        <f t="shared" si="62"/>
        <v>2022319.0819435753</v>
      </c>
      <c r="O281" s="197">
        <f t="shared" si="89"/>
        <v>1428486.5239850583</v>
      </c>
      <c r="P281" s="207">
        <f t="shared" si="63"/>
        <v>0</v>
      </c>
      <c r="Q281" s="194">
        <f>IFERROR(VLOOKUP(A281,[1]Energiindhold!$A$2:$C$11,3,FALSE),IFERROR(VLOOKUP(A281,[1]Biogasudbytte!$A$2:$B$18,2,FALSE)*[1]Energiindhold!$C$10,0))*O281</f>
        <v>3.8769695655564078</v>
      </c>
      <c r="R281" s="194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3.8769695655564078</v>
      </c>
      <c r="S281" s="194">
        <f>IFERROR(VLOOKUP(A281,[1]Biogasudbytte!$A$2:$B$18,2,FALSE)*[1]Energiindhold!$C$10,0)*J281*IFERROR(VLOOKUP(A281,Biogasanlæg!$F$3:$G$8,2,FALSE),1)</f>
        <v>0</v>
      </c>
      <c r="T281" s="195">
        <f t="shared" si="64"/>
        <v>3.8769695655564078</v>
      </c>
      <c r="U281" s="193">
        <f>O281*IFERROR(VLOOKUP(A281,[1]Tørstofindhold!A$2:B$25,2,FALSE),0)</f>
        <v>285697.30479701166</v>
      </c>
      <c r="V281" s="194">
        <f>IF(D281=År1,P281,SUM(O281,P281))*IFERROR(VLOOKUP(A281,[1]Tørstofindhold!A$2:B$25,2,FALSE),0)</f>
        <v>285697.30479701166</v>
      </c>
      <c r="W281" s="194">
        <f>J281*IFERROR(VLOOKUP(A281,[1]Tørstofindhold!A$2:B$25,2,FALSE),0)</f>
        <v>0</v>
      </c>
      <c r="X281" s="195">
        <f t="shared" si="65"/>
        <v>285697.30479701166</v>
      </c>
      <c r="Y281" s="173">
        <f t="shared" si="90"/>
        <v>0</v>
      </c>
      <c r="Z281" s="104">
        <f t="shared" si="91"/>
        <v>1</v>
      </c>
    </row>
    <row r="282" spans="1:26" x14ac:dyDescent="0.25">
      <c r="A282" s="196" t="str">
        <f t="shared" si="87"/>
        <v>Slagteriaffald til andet</v>
      </c>
      <c r="B282" s="196" t="str">
        <f t="shared" si="88"/>
        <v/>
      </c>
      <c r="C282" s="196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6">
        <f t="shared" ref="D282:D290" si="92">År3</f>
        <v>2050</v>
      </c>
      <c r="E282" s="194" t="s">
        <v>25</v>
      </c>
      <c r="F282" s="197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4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7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9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6">
        <f t="shared" ref="N282:N290" si="93">F282-SUM(G282:M282)</f>
        <v>21894.979482137918</v>
      </c>
      <c r="O282" s="197">
        <f t="shared" si="89"/>
        <v>0</v>
      </c>
      <c r="P282" s="207">
        <f t="shared" ref="P282:P290" si="94">SUM(J282,L282)</f>
        <v>0</v>
      </c>
      <c r="Q282" s="194">
        <f>IFERROR(VLOOKUP(A282,[1]Energiindhold!$A$2:$C$11,3,FALSE),IFERROR(VLOOKUP(A282,[1]Biogasudbytte!$A$2:$B$18,2,FALSE)*[1]Energiindhold!$C$10,0))*O282</f>
        <v>0</v>
      </c>
      <c r="R282" s="194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4">
        <f>IFERROR(VLOOKUP(A282,[1]Biogasudbytte!$A$2:$B$18,2,FALSE)*[1]Energiindhold!$C$10,0)*J282*IFERROR(VLOOKUP(A282,Biogasanlæg!$F$3:$G$8,2,FALSE),1)</f>
        <v>0</v>
      </c>
      <c r="T282" s="195">
        <f t="shared" ref="T282:T290" si="95">R282-S282</f>
        <v>0</v>
      </c>
      <c r="U282" s="193">
        <f>O282*IFERROR(VLOOKUP(A282,[1]Tørstofindhold!A$2:B$25,2,FALSE),0)</f>
        <v>0</v>
      </c>
      <c r="V282" s="194">
        <f>IF(D282=År1,P282,SUM(O282,P282))*IFERROR(VLOOKUP(A282,[1]Tørstofindhold!A$2:B$25,2,FALSE),0)</f>
        <v>0</v>
      </c>
      <c r="W282" s="194">
        <f>J282*IFERROR(VLOOKUP(A282,[1]Tørstofindhold!A$2:B$25,2,FALSE),0)</f>
        <v>0</v>
      </c>
      <c r="X282" s="195">
        <f t="shared" ref="X282:X290" si="96">V282-W282</f>
        <v>0</v>
      </c>
      <c r="Y282" s="173">
        <f t="shared" si="90"/>
        <v>0</v>
      </c>
      <c r="Z282" s="104">
        <f t="shared" si="91"/>
        <v>1</v>
      </c>
    </row>
    <row r="283" spans="1:26" x14ac:dyDescent="0.25">
      <c r="A283" s="196" t="str">
        <f t="shared" si="87"/>
        <v>Slagteriaffald til foder</v>
      </c>
      <c r="B283" s="196" t="str">
        <f t="shared" si="88"/>
        <v/>
      </c>
      <c r="C283" s="196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6">
        <f t="shared" si="92"/>
        <v>2050</v>
      </c>
      <c r="E283" s="194" t="s">
        <v>25</v>
      </c>
      <c r="F283" s="197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4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7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9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6">
        <f t="shared" si="93"/>
        <v>12947.841322392087</v>
      </c>
      <c r="O283" s="197">
        <f t="shared" si="89"/>
        <v>0</v>
      </c>
      <c r="P283" s="207">
        <f t="shared" si="94"/>
        <v>0</v>
      </c>
      <c r="Q283" s="194">
        <f>IFERROR(VLOOKUP(A283,[1]Energiindhold!$A$2:$C$11,3,FALSE),IFERROR(VLOOKUP(A283,[1]Biogasudbytte!$A$2:$B$18,2,FALSE)*[1]Energiindhold!$C$10,0))*O283</f>
        <v>0</v>
      </c>
      <c r="R283" s="194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4">
        <f>IFERROR(VLOOKUP(A283,[1]Biogasudbytte!$A$2:$B$18,2,FALSE)*[1]Energiindhold!$C$10,0)*J283*IFERROR(VLOOKUP(A283,Biogasanlæg!$F$3:$G$8,2,FALSE),1)</f>
        <v>0</v>
      </c>
      <c r="T283" s="195">
        <f t="shared" si="95"/>
        <v>0</v>
      </c>
      <c r="U283" s="193">
        <f>O283*IFERROR(VLOOKUP(A283,[1]Tørstofindhold!A$2:B$25,2,FALSE),0)</f>
        <v>0</v>
      </c>
      <c r="V283" s="194">
        <f>IF(D283=År1,P283,SUM(O283,P283))*IFERROR(VLOOKUP(A283,[1]Tørstofindhold!A$2:B$25,2,FALSE),0)</f>
        <v>0</v>
      </c>
      <c r="W283" s="194">
        <f>J283*IFERROR(VLOOKUP(A283,[1]Tørstofindhold!A$2:B$25,2,FALSE),0)</f>
        <v>0</v>
      </c>
      <c r="X283" s="195">
        <f t="shared" si="96"/>
        <v>0</v>
      </c>
      <c r="Y283" s="173">
        <f t="shared" si="90"/>
        <v>0</v>
      </c>
      <c r="Z283" s="104">
        <f t="shared" si="91"/>
        <v>1</v>
      </c>
    </row>
    <row r="284" spans="1:26" x14ac:dyDescent="0.25">
      <c r="A284" s="196" t="str">
        <f t="shared" si="87"/>
        <v>Spildevandsslam</v>
      </c>
      <c r="B284" s="196" t="str">
        <f t="shared" si="88"/>
        <v>Bionedbrydeligt affald</v>
      </c>
      <c r="C284" s="196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6">
        <f t="shared" si="92"/>
        <v>2050</v>
      </c>
      <c r="E284" s="194" t="s">
        <v>25</v>
      </c>
      <c r="F284" s="197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4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2800225.1934703197</v>
      </c>
      <c r="K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7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9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6">
        <f t="shared" si="93"/>
        <v>700056.29836757993</v>
      </c>
      <c r="O284" s="197">
        <f t="shared" si="89"/>
        <v>700056.29836757993</v>
      </c>
      <c r="P284" s="207">
        <f t="shared" si="94"/>
        <v>2800225.1934703197</v>
      </c>
      <c r="Q284" s="194">
        <f>IFERROR(VLOOKUP(A284,[1]Energiindhold!$A$2:$C$11,3,FALSE),IFERROR(VLOOKUP(A284,[1]Biogasudbytte!$A$2:$B$18,2,FALSE)*[1]Energiindhold!$C$10,0))*O284</f>
        <v>0.34933509344840613</v>
      </c>
      <c r="R284" s="194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4">
        <f>IFERROR(VLOOKUP(A284,[1]Biogasudbytte!$A$2:$B$18,2,FALSE)*[1]Energiindhold!$C$10,0)*J284*IFERROR(VLOOKUP(A284,Biogasanlæg!$F$3:$G$8,2,FALSE),1)</f>
        <v>1.3973403737936245</v>
      </c>
      <c r="T284" s="195">
        <f t="shared" si="95"/>
        <v>0.34933509344840608</v>
      </c>
      <c r="U284" s="193">
        <f>O284*IFERROR(VLOOKUP(A284,[1]Tørstofindhold!A$2:B$25,2,FALSE),0)</f>
        <v>42003.377902054795</v>
      </c>
      <c r="V284" s="194">
        <f>IF(D284=År1,P284,SUM(O284,P284))*IFERROR(VLOOKUP(A284,[1]Tørstofindhold!A$2:B$25,2,FALSE),0)</f>
        <v>210016.88951027396</v>
      </c>
      <c r="W284" s="194">
        <f>J284*IFERROR(VLOOKUP(A284,[1]Tørstofindhold!A$2:B$25,2,FALSE),0)</f>
        <v>168013.51160821918</v>
      </c>
      <c r="X284" s="195">
        <f t="shared" si="96"/>
        <v>42003.377902054781</v>
      </c>
      <c r="Y284" s="173">
        <f t="shared" si="90"/>
        <v>0</v>
      </c>
      <c r="Z284" s="104">
        <f t="shared" si="91"/>
        <v>1</v>
      </c>
    </row>
    <row r="285" spans="1:26" x14ac:dyDescent="0.25">
      <c r="A285" s="196" t="str">
        <f t="shared" si="87"/>
        <v>Svinegylle</v>
      </c>
      <c r="B285" s="196" t="str">
        <f t="shared" si="88"/>
        <v>Husdyrgødning</v>
      </c>
      <c r="C285" s="196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6">
        <f t="shared" si="92"/>
        <v>2050</v>
      </c>
      <c r="E285" s="194" t="s">
        <v>25</v>
      </c>
      <c r="F285" s="197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4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1672957.9533098158</v>
      </c>
      <c r="K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418239.48832745384</v>
      </c>
      <c r="L285" s="197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9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6">
        <f t="shared" si="93"/>
        <v>0</v>
      </c>
      <c r="O285" s="197">
        <f t="shared" si="89"/>
        <v>0</v>
      </c>
      <c r="P285" s="207">
        <f t="shared" si="94"/>
        <v>1672957.9533098158</v>
      </c>
      <c r="Q285" s="194">
        <f>IFERROR(VLOOKUP(A285,[1]Energiindhold!$A$2:$C$11,3,FALSE),IFERROR(VLOOKUP(A285,[1]Biogasudbytte!$A$2:$B$18,2,FALSE)*[1]Energiindhold!$C$10,0))*O285</f>
        <v>0</v>
      </c>
      <c r="R285" s="194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0.72071028628586875</v>
      </c>
      <c r="S285" s="194">
        <f>IFERROR(VLOOKUP(A285,[1]Biogasudbytte!$A$2:$B$18,2,FALSE)*[1]Energiindhold!$C$10,0)*J285*IFERROR(VLOOKUP(A285,Biogasanlæg!$F$3:$G$8,2,FALSE),1)</f>
        <v>0.72071028628586875</v>
      </c>
      <c r="T285" s="195">
        <f t="shared" si="95"/>
        <v>0</v>
      </c>
      <c r="U285" s="193">
        <f>O285*IFERROR(VLOOKUP(A285,[1]Tørstofindhold!A$2:B$25,2,FALSE),0)</f>
        <v>0</v>
      </c>
      <c r="V285" s="194">
        <f>IF(D285=År1,P285,SUM(O285,P285))*IFERROR(VLOOKUP(A285,[1]Tørstofindhold!A$2:B$25,2,FALSE),0)</f>
        <v>83647.897665490804</v>
      </c>
      <c r="W285" s="194">
        <f>J285*IFERROR(VLOOKUP(A285,[1]Tørstofindhold!A$2:B$25,2,FALSE),0)</f>
        <v>83647.897665490804</v>
      </c>
      <c r="X285" s="195">
        <f t="shared" si="96"/>
        <v>0</v>
      </c>
      <c r="Y285" s="173">
        <f t="shared" si="90"/>
        <v>0</v>
      </c>
      <c r="Z285" s="104">
        <f t="shared" si="91"/>
        <v>0</v>
      </c>
    </row>
    <row r="286" spans="1:26" x14ac:dyDescent="0.25">
      <c r="A286" s="196" t="str">
        <f t="shared" si="87"/>
        <v>Svinekød</v>
      </c>
      <c r="B286" s="196" t="str">
        <f t="shared" si="88"/>
        <v/>
      </c>
      <c r="C286" s="196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6">
        <f t="shared" si="92"/>
        <v>2050</v>
      </c>
      <c r="E286" s="194" t="s">
        <v>25</v>
      </c>
      <c r="F286" s="197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4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7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9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6">
        <f t="shared" si="93"/>
        <v>83709.698034187008</v>
      </c>
      <c r="O286" s="197">
        <f t="shared" si="89"/>
        <v>0</v>
      </c>
      <c r="P286" s="207">
        <f t="shared" si="94"/>
        <v>0</v>
      </c>
      <c r="Q286" s="194">
        <f>IFERROR(VLOOKUP(A286,[1]Energiindhold!$A$2:$C$11,3,FALSE),IFERROR(VLOOKUP(A286,[1]Biogasudbytte!$A$2:$B$18,2,FALSE)*[1]Energiindhold!$C$10,0))*O286</f>
        <v>0</v>
      </c>
      <c r="R286" s="194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4">
        <f>IFERROR(VLOOKUP(A286,[1]Biogasudbytte!$A$2:$B$18,2,FALSE)*[1]Energiindhold!$C$10,0)*J286*IFERROR(VLOOKUP(A286,Biogasanlæg!$F$3:$G$8,2,FALSE),1)</f>
        <v>0</v>
      </c>
      <c r="T286" s="195">
        <f t="shared" si="95"/>
        <v>0</v>
      </c>
      <c r="U286" s="193">
        <f>O286*IFERROR(VLOOKUP(A286,[1]Tørstofindhold!A$2:B$25,2,FALSE),0)</f>
        <v>0</v>
      </c>
      <c r="V286" s="194">
        <f>IF(D286=År1,P286,SUM(O286,P286))*IFERROR(VLOOKUP(A286,[1]Tørstofindhold!A$2:B$25,2,FALSE),0)</f>
        <v>0</v>
      </c>
      <c r="W286" s="194">
        <f>J286*IFERROR(VLOOKUP(A286,[1]Tørstofindhold!A$2:B$25,2,FALSE),0)</f>
        <v>0</v>
      </c>
      <c r="X286" s="195">
        <f t="shared" si="96"/>
        <v>0</v>
      </c>
      <c r="Y286" s="173">
        <f t="shared" si="90"/>
        <v>0</v>
      </c>
      <c r="Z286" s="104">
        <f t="shared" si="91"/>
        <v>1</v>
      </c>
    </row>
    <row r="287" spans="1:26" x14ac:dyDescent="0.25">
      <c r="A287" s="196" t="str">
        <f t="shared" si="87"/>
        <v>Tang</v>
      </c>
      <c r="B287" s="196" t="str">
        <f t="shared" si="88"/>
        <v>Havbiomasse</v>
      </c>
      <c r="C287" s="196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6">
        <f t="shared" si="92"/>
        <v>2050</v>
      </c>
      <c r="E287" s="194" t="s">
        <v>25</v>
      </c>
      <c r="F287" s="197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1193.8794894044117</v>
      </c>
      <c r="H287" s="194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7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9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6">
        <f t="shared" si="93"/>
        <v>3306.1205105955883</v>
      </c>
      <c r="O287" s="197">
        <f t="shared" si="89"/>
        <v>3306.1205105955883</v>
      </c>
      <c r="P287" s="207">
        <f t="shared" si="94"/>
        <v>0</v>
      </c>
      <c r="Q287" s="194">
        <f>IFERROR(VLOOKUP(A287,[1]Energiindhold!$A$2:$C$11,3,FALSE),IFERROR(VLOOKUP(A287,[1]Biogasudbytte!$A$2:$B$18,2,FALSE)*[1]Energiindhold!$C$10,0))*O287</f>
        <v>2.9672431582595409E-3</v>
      </c>
      <c r="R287" s="194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2.9672431582595409E-3</v>
      </c>
      <c r="S287" s="194">
        <f>IFERROR(VLOOKUP(A287,[1]Biogasudbytte!$A$2:$B$18,2,FALSE)*[1]Energiindhold!$C$10,0)*J287*IFERROR(VLOOKUP(A287,Biogasanlæg!$F$3:$G$8,2,FALSE),1)</f>
        <v>0</v>
      </c>
      <c r="T287" s="195">
        <f t="shared" si="95"/>
        <v>2.9672431582595409E-3</v>
      </c>
      <c r="U287" s="193">
        <f>O287*IFERROR(VLOOKUP(A287,[1]Tørstofindhold!A$2:B$25,2,FALSE),0)</f>
        <v>495.91807658933823</v>
      </c>
      <c r="V287" s="194">
        <f>IF(D287=År1,P287,SUM(O287,P287))*IFERROR(VLOOKUP(A287,[1]Tørstofindhold!A$2:B$25,2,FALSE),0)</f>
        <v>495.91807658933823</v>
      </c>
      <c r="W287" s="194">
        <f>J287*IFERROR(VLOOKUP(A287,[1]Tørstofindhold!A$2:B$25,2,FALSE),0)</f>
        <v>0</v>
      </c>
      <c r="X287" s="195">
        <f t="shared" si="96"/>
        <v>495.91807658933823</v>
      </c>
      <c r="Y287" s="173">
        <f t="shared" si="90"/>
        <v>0</v>
      </c>
      <c r="Z287" s="104">
        <f t="shared" si="91"/>
        <v>1</v>
      </c>
    </row>
    <row r="288" spans="1:26" x14ac:dyDescent="0.25">
      <c r="A288" s="196" t="str">
        <f t="shared" si="87"/>
        <v>Total til biogas</v>
      </c>
      <c r="B288" s="196" t="str">
        <f t="shared" si="88"/>
        <v/>
      </c>
      <c r="C288" s="196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6">
        <f t="shared" si="92"/>
        <v>2050</v>
      </c>
      <c r="E288" s="194" t="s">
        <v>25</v>
      </c>
      <c r="F288" s="197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4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7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9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6">
        <f t="shared" si="93"/>
        <v>0</v>
      </c>
      <c r="O288" s="197">
        <f t="shared" si="89"/>
        <v>0</v>
      </c>
      <c r="P288" s="207">
        <f t="shared" si="94"/>
        <v>0</v>
      </c>
      <c r="Q288" s="194">
        <f>IFERROR(VLOOKUP(A288,[1]Energiindhold!$A$2:$C$11,3,FALSE),IFERROR(VLOOKUP(A288,[1]Biogasudbytte!$A$2:$B$18,2,FALSE)*[1]Energiindhold!$C$10,0))*O288</f>
        <v>0</v>
      </c>
      <c r="R288" s="194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4">
        <f>IFERROR(VLOOKUP(A288,[1]Biogasudbytte!$A$2:$B$18,2,FALSE)*[1]Energiindhold!$C$10,0)*J288*IFERROR(VLOOKUP(A288,Biogasanlæg!$F$3:$G$8,2,FALSE),1)</f>
        <v>0</v>
      </c>
      <c r="T288" s="195">
        <f t="shared" si="95"/>
        <v>0</v>
      </c>
      <c r="U288" s="193">
        <f>O288*IFERROR(VLOOKUP(A288,[1]Tørstofindhold!A$2:B$25,2,FALSE),0)</f>
        <v>0</v>
      </c>
      <c r="V288" s="194">
        <f>IF(D288=År1,P288,SUM(O288,P288))*IFERROR(VLOOKUP(A288,[1]Tørstofindhold!A$2:B$25,2,FALSE),0)</f>
        <v>0</v>
      </c>
      <c r="W288" s="194">
        <f>J288*IFERROR(VLOOKUP(A288,[1]Tørstofindhold!A$2:B$25,2,FALSE),0)</f>
        <v>0</v>
      </c>
      <c r="X288" s="195">
        <f t="shared" si="96"/>
        <v>0</v>
      </c>
      <c r="Y288" s="173">
        <f t="shared" si="90"/>
        <v>0</v>
      </c>
      <c r="Z288" s="104">
        <f t="shared" si="91"/>
        <v>0</v>
      </c>
    </row>
    <row r="289" spans="1:26" x14ac:dyDescent="0.25">
      <c r="A289" s="196" t="str">
        <f t="shared" si="87"/>
        <v>Træ til energi</v>
      </c>
      <c r="B289" s="196" t="str">
        <f t="shared" si="88"/>
        <v>Vedmasse</v>
      </c>
      <c r="C289" s="196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6">
        <f t="shared" si="92"/>
        <v>2050</v>
      </c>
      <c r="E289" s="194" t="s">
        <v>25</v>
      </c>
      <c r="F289" s="197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595128.1688444037</v>
      </c>
      <c r="G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4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7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595128.1688444037</v>
      </c>
      <c r="M289" s="159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6">
        <f t="shared" si="93"/>
        <v>0</v>
      </c>
      <c r="O289" s="197">
        <f t="shared" si="89"/>
        <v>0</v>
      </c>
      <c r="P289" s="207">
        <f t="shared" si="94"/>
        <v>595128.1688444037</v>
      </c>
      <c r="Q289" s="194">
        <f>IFERROR(VLOOKUP(A289,[1]Energiindhold!$A$2:$C$11,3,FALSE),IFERROR(VLOOKUP(A289,[1]Biogasudbytte!$A$2:$B$18,2,FALSE)*[1]Energiindhold!$C$10,0))*O289</f>
        <v>0</v>
      </c>
      <c r="R289" s="194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8.6255311199386124</v>
      </c>
      <c r="S289" s="194">
        <f>IFERROR(VLOOKUP(A289,[1]Biogasudbytte!$A$2:$B$18,2,FALSE)*[1]Energiindhold!$C$10,0)*J289*IFERROR(VLOOKUP(A289,Biogasanlæg!$F$3:$G$8,2,FALSE),1)</f>
        <v>0</v>
      </c>
      <c r="T289" s="195">
        <f t="shared" si="95"/>
        <v>8.6255311199386124</v>
      </c>
      <c r="U289" s="193">
        <f>O289*IFERROR(VLOOKUP(A289,[1]Tørstofindhold!A$2:B$25,2,FALSE),0)</f>
        <v>0</v>
      </c>
      <c r="V289" s="194">
        <f>IF(D289=År1,P289,SUM(O289,P289))*IFERROR(VLOOKUP(A289,[1]Tørstofindhold!A$2:B$25,2,FALSE),0)</f>
        <v>294340.47350762796</v>
      </c>
      <c r="W289" s="194">
        <f>J289*IFERROR(VLOOKUP(A289,[1]Tørstofindhold!A$2:B$25,2,FALSE),0)</f>
        <v>0</v>
      </c>
      <c r="X289" s="195">
        <f t="shared" si="96"/>
        <v>294340.47350762796</v>
      </c>
      <c r="Y289" s="173">
        <f t="shared" si="90"/>
        <v>0</v>
      </c>
      <c r="Z289" s="104">
        <f t="shared" si="91"/>
        <v>0</v>
      </c>
    </row>
    <row r="290" spans="1:26" ht="15.75" thickBot="1" x14ac:dyDescent="0.3">
      <c r="A290" s="196" t="str">
        <f t="shared" si="87"/>
        <v>Træmaterialer</v>
      </c>
      <c r="B290" s="196" t="str">
        <f t="shared" si="88"/>
        <v/>
      </c>
      <c r="C290" s="196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6">
        <f t="shared" si="92"/>
        <v>2050</v>
      </c>
      <c r="E290" s="194" t="s">
        <v>25</v>
      </c>
      <c r="F290" s="197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165791.82373780277</v>
      </c>
      <c r="G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4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7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9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8">
        <f t="shared" si="93"/>
        <v>165791.82373780277</v>
      </c>
      <c r="O290" s="209">
        <f t="shared" si="89"/>
        <v>0</v>
      </c>
      <c r="P290" s="210">
        <f t="shared" si="94"/>
        <v>0</v>
      </c>
      <c r="Q290" s="199">
        <f>IFERROR(VLOOKUP(A290,[1]Energiindhold!$A$2:$C$11,3,FALSE),IFERROR(VLOOKUP(A290,[1]Biogasudbytte!$A$2:$B$18,2,FALSE)*[1]Energiindhold!$C$10,0))*O290</f>
        <v>0</v>
      </c>
      <c r="R290" s="199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9">
        <f>IFERROR(VLOOKUP(A290,[1]Biogasudbytte!$A$2:$B$18,2,FALSE)*[1]Energiindhold!$C$10,0)*J290*IFERROR(VLOOKUP(A290,Biogasanlæg!$F$3:$G$8,2,FALSE),1)</f>
        <v>0</v>
      </c>
      <c r="T290" s="200">
        <f t="shared" si="95"/>
        <v>0</v>
      </c>
      <c r="U290" s="198">
        <f>O290*IFERROR(VLOOKUP(A290,[1]Tørstofindhold!A$2:B$25,2,FALSE),0)</f>
        <v>0</v>
      </c>
      <c r="V290" s="199">
        <f>IF(D290=År1,P290,SUM(O290,P290))*IFERROR(VLOOKUP(A290,[1]Tørstofindhold!A$2:B$25,2,FALSE),0)</f>
        <v>0</v>
      </c>
      <c r="W290" s="199">
        <f>J290*IFERROR(VLOOKUP(A290,[1]Tørstofindhold!A$2:B$25,2,FALSE),0)</f>
        <v>0</v>
      </c>
      <c r="X290" s="200">
        <f t="shared" si="96"/>
        <v>0</v>
      </c>
      <c r="Y290" s="173">
        <f t="shared" si="90"/>
        <v>0</v>
      </c>
      <c r="Z290" s="104">
        <f t="shared" si="91"/>
        <v>1</v>
      </c>
    </row>
  </sheetData>
  <autoFilter ref="A2:Z290" xr:uid="{E8FEB0F6-BC35-420D-A381-2F9B028DCC93}"/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Q37"/>
  <sheetViews>
    <sheetView topLeftCell="A2" workbookViewId="0">
      <selection activeCell="T96" sqref="T96"/>
    </sheetView>
  </sheetViews>
  <sheetFormatPr defaultRowHeight="15" x14ac:dyDescent="0.25"/>
  <cols>
    <col min="1" max="1" width="21.28515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10" bestFit="1" customWidth="1"/>
    <col min="24" max="24" width="8.7109375" bestFit="1" customWidth="1"/>
    <col min="25" max="26" width="5.140625" bestFit="1" customWidth="1"/>
    <col min="27" max="27" width="20.7109375" bestFit="1" customWidth="1"/>
    <col min="28" max="28" width="16" bestFit="1" customWidth="1"/>
    <col min="29" max="29" width="10.140625" bestFit="1" customWidth="1"/>
    <col min="30" max="30" width="9.140625" bestFit="1" customWidth="1"/>
    <col min="31" max="31" width="5.140625" bestFit="1" customWidth="1"/>
    <col min="32" max="32" width="12" bestFit="1" customWidth="1"/>
    <col min="33" max="33" width="12.85546875" bestFit="1" customWidth="1"/>
    <col min="34" max="34" width="12.5703125" bestFit="1" customWidth="1"/>
    <col min="35" max="35" width="12.28515625" bestFit="1" customWidth="1"/>
    <col min="36" max="36" width="8.85546875" bestFit="1" customWidth="1"/>
    <col min="37" max="37" width="9.28515625" bestFit="1" customWidth="1"/>
    <col min="38" max="38" width="8.5703125" bestFit="1" customWidth="1"/>
    <col min="39" max="39" width="11" bestFit="1" customWidth="1"/>
    <col min="40" max="40" width="13.28515625" bestFit="1" customWidth="1"/>
    <col min="41" max="41" width="11.42578125" bestFit="1" customWidth="1"/>
    <col min="42" max="42" width="12" bestFit="1" customWidth="1"/>
    <col min="43" max="43" width="11.285156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43" x14ac:dyDescent="0.25">
      <c r="A3" s="77" t="s">
        <v>181</v>
      </c>
      <c r="B3" s="77" t="s">
        <v>63</v>
      </c>
    </row>
    <row r="4" spans="1:43" x14ac:dyDescent="0.25">
      <c r="A4" s="77" t="s">
        <v>61</v>
      </c>
      <c r="B4" s="173" t="s">
        <v>15</v>
      </c>
      <c r="C4" s="173" t="s">
        <v>50</v>
      </c>
      <c r="D4" s="173" t="s">
        <v>104</v>
      </c>
      <c r="E4" s="173" t="s">
        <v>103</v>
      </c>
      <c r="F4" s="173" t="s">
        <v>19</v>
      </c>
      <c r="G4" s="173" t="s">
        <v>143</v>
      </c>
      <c r="H4" s="173" t="s">
        <v>98</v>
      </c>
      <c r="I4" s="173" t="s">
        <v>55</v>
      </c>
      <c r="J4" s="173" t="s">
        <v>165</v>
      </c>
      <c r="K4" s="173" t="s">
        <v>52</v>
      </c>
      <c r="L4" s="173" t="s">
        <v>6</v>
      </c>
      <c r="M4" s="173" t="s">
        <v>69</v>
      </c>
      <c r="N4" s="173" t="s">
        <v>169</v>
      </c>
      <c r="O4" s="173" t="s">
        <v>166</v>
      </c>
      <c r="P4" s="173" t="s">
        <v>105</v>
      </c>
      <c r="Q4" s="173" t="s">
        <v>12</v>
      </c>
      <c r="R4" s="173" t="s">
        <v>49</v>
      </c>
      <c r="S4" s="173" t="s">
        <v>142</v>
      </c>
      <c r="T4" s="173" t="s">
        <v>111</v>
      </c>
      <c r="U4" s="173" t="s">
        <v>54</v>
      </c>
      <c r="V4" s="173" t="s">
        <v>119</v>
      </c>
      <c r="W4" s="173" t="s">
        <v>109</v>
      </c>
      <c r="X4" s="173" t="s">
        <v>14</v>
      </c>
      <c r="Y4" s="173" t="s">
        <v>51</v>
      </c>
      <c r="Z4" s="173" t="s">
        <v>53</v>
      </c>
      <c r="AA4" s="173" t="s">
        <v>110</v>
      </c>
      <c r="AB4" s="173" t="s">
        <v>146</v>
      </c>
      <c r="AC4" s="173" t="s">
        <v>141</v>
      </c>
      <c r="AD4" s="173" t="s">
        <v>13</v>
      </c>
      <c r="AE4" s="173" t="s">
        <v>101</v>
      </c>
      <c r="AF4" s="173" t="s">
        <v>97</v>
      </c>
      <c r="AG4" s="173" t="s">
        <v>122</v>
      </c>
      <c r="AH4" s="173" t="s">
        <v>213</v>
      </c>
      <c r="AI4" s="173" t="s">
        <v>212</v>
      </c>
      <c r="AJ4" s="173" t="s">
        <v>217</v>
      </c>
      <c r="AK4" s="173" t="s">
        <v>250</v>
      </c>
      <c r="AL4" s="173" t="s">
        <v>243</v>
      </c>
      <c r="AM4" s="173" t="s">
        <v>113</v>
      </c>
      <c r="AN4" s="173" t="s">
        <v>118</v>
      </c>
      <c r="AO4" s="173" t="s">
        <v>336</v>
      </c>
      <c r="AP4" s="173" t="s">
        <v>337</v>
      </c>
      <c r="AQ4" s="173" t="s">
        <v>62</v>
      </c>
    </row>
    <row r="5" spans="1:43" x14ac:dyDescent="0.25">
      <c r="A5" s="78" t="s">
        <v>112</v>
      </c>
      <c r="B5" s="251"/>
      <c r="C5" s="251"/>
      <c r="D5" s="251">
        <v>1462906</v>
      </c>
      <c r="E5" s="251">
        <v>5539351.363801932</v>
      </c>
      <c r="F5" s="251"/>
      <c r="G5" s="251">
        <v>17790.307335334699</v>
      </c>
      <c r="H5" s="251"/>
      <c r="I5" s="251"/>
      <c r="J5" s="251">
        <v>428226</v>
      </c>
      <c r="K5" s="251">
        <v>85676.999999999985</v>
      </c>
      <c r="L5" s="251"/>
      <c r="M5" s="251">
        <v>75934</v>
      </c>
      <c r="N5" s="251">
        <v>1000078</v>
      </c>
      <c r="O5" s="251"/>
      <c r="P5" s="251">
        <v>2444654</v>
      </c>
      <c r="Q5" s="251"/>
      <c r="R5" s="251">
        <v>3785.9999999999991</v>
      </c>
      <c r="S5" s="251">
        <v>25834737.265934031</v>
      </c>
      <c r="T5" s="251"/>
      <c r="U5" s="251">
        <v>330026</v>
      </c>
      <c r="V5" s="251"/>
      <c r="W5" s="251">
        <v>0</v>
      </c>
      <c r="X5" s="251"/>
      <c r="Y5" s="251"/>
      <c r="Z5" s="251">
        <v>28645.000000000004</v>
      </c>
      <c r="AA5" s="251"/>
      <c r="AB5" s="251">
        <v>12425507.815831818</v>
      </c>
      <c r="AC5" s="251">
        <v>27352097.159757346</v>
      </c>
      <c r="AD5" s="251"/>
      <c r="AE5" s="251">
        <v>0</v>
      </c>
      <c r="AF5" s="251"/>
      <c r="AG5" s="251"/>
      <c r="AH5" s="251"/>
      <c r="AI5" s="251"/>
      <c r="AJ5" s="251">
        <v>10775.081100705571</v>
      </c>
      <c r="AK5" s="251"/>
      <c r="AL5" s="251"/>
      <c r="AM5" s="251"/>
      <c r="AN5" s="251"/>
      <c r="AO5" s="251"/>
      <c r="AP5" s="251"/>
      <c r="AQ5" s="251">
        <v>77040190.993761182</v>
      </c>
    </row>
    <row r="6" spans="1:43" x14ac:dyDescent="0.25">
      <c r="A6" s="79">
        <v>2019</v>
      </c>
      <c r="B6" s="251"/>
      <c r="C6" s="251"/>
      <c r="D6" s="251">
        <v>729134</v>
      </c>
      <c r="E6" s="251">
        <v>757087.00000000012</v>
      </c>
      <c r="F6" s="251"/>
      <c r="G6" s="251">
        <v>4441.5</v>
      </c>
      <c r="H6" s="251"/>
      <c r="I6" s="251"/>
      <c r="J6" s="251">
        <v>142742</v>
      </c>
      <c r="K6" s="251">
        <v>85676.999999999985</v>
      </c>
      <c r="L6" s="251"/>
      <c r="M6" s="251">
        <v>75934</v>
      </c>
      <c r="N6" s="251">
        <v>78</v>
      </c>
      <c r="O6" s="251"/>
      <c r="P6" s="251">
        <v>995654</v>
      </c>
      <c r="Q6" s="251"/>
      <c r="R6" s="251">
        <v>3785.9999999999991</v>
      </c>
      <c r="S6" s="251">
        <v>4353509.666666667</v>
      </c>
      <c r="T6" s="251"/>
      <c r="U6" s="251">
        <v>330026</v>
      </c>
      <c r="V6" s="251"/>
      <c r="W6" s="251">
        <v>0</v>
      </c>
      <c r="X6" s="251"/>
      <c r="Y6" s="251"/>
      <c r="Z6" s="251">
        <v>28645.000000000004</v>
      </c>
      <c r="AA6" s="251"/>
      <c r="AB6" s="251">
        <v>2668834</v>
      </c>
      <c r="AC6" s="251">
        <v>2914869.3333333335</v>
      </c>
      <c r="AD6" s="251"/>
      <c r="AE6" s="251">
        <v>0</v>
      </c>
      <c r="AF6" s="251"/>
      <c r="AG6" s="251"/>
      <c r="AH6" s="251"/>
      <c r="AI6" s="251"/>
      <c r="AJ6" s="251">
        <v>0</v>
      </c>
      <c r="AK6" s="251"/>
      <c r="AL6" s="251"/>
      <c r="AM6" s="251"/>
      <c r="AN6" s="251"/>
      <c r="AO6" s="251"/>
      <c r="AP6" s="251"/>
      <c r="AQ6" s="251">
        <v>13090417.500000002</v>
      </c>
    </row>
    <row r="7" spans="1:43" x14ac:dyDescent="0.25">
      <c r="A7" s="79">
        <v>2030</v>
      </c>
      <c r="B7" s="251"/>
      <c r="C7" s="251"/>
      <c r="D7" s="251">
        <v>363995</v>
      </c>
      <c r="E7" s="251">
        <v>2258235.6960382708</v>
      </c>
      <c r="F7" s="251"/>
      <c r="G7" s="251">
        <v>5877.9032394539199</v>
      </c>
      <c r="H7" s="251"/>
      <c r="I7" s="251"/>
      <c r="J7" s="251">
        <v>142742</v>
      </c>
      <c r="K7" s="251">
        <v>0</v>
      </c>
      <c r="L7" s="251"/>
      <c r="M7" s="251">
        <v>0</v>
      </c>
      <c r="N7" s="251">
        <v>500000</v>
      </c>
      <c r="O7" s="251"/>
      <c r="P7" s="251">
        <v>725967.99999999977</v>
      </c>
      <c r="Q7" s="251"/>
      <c r="R7" s="251">
        <v>0</v>
      </c>
      <c r="S7" s="251">
        <v>10568777.271841513</v>
      </c>
      <c r="T7" s="251"/>
      <c r="U7" s="251">
        <v>0</v>
      </c>
      <c r="V7" s="251"/>
      <c r="W7" s="251">
        <v>0</v>
      </c>
      <c r="X7" s="251"/>
      <c r="Y7" s="251"/>
      <c r="Z7" s="251">
        <v>0</v>
      </c>
      <c r="AA7" s="251"/>
      <c r="AB7" s="251">
        <v>3658982.5441344669</v>
      </c>
      <c r="AC7" s="251">
        <v>11218436.459050545</v>
      </c>
      <c r="AD7" s="251"/>
      <c r="AE7" s="251">
        <v>0</v>
      </c>
      <c r="AF7" s="251"/>
      <c r="AG7" s="251"/>
      <c r="AH7" s="251"/>
      <c r="AI7" s="251"/>
      <c r="AJ7" s="251">
        <v>4144.2619618098342</v>
      </c>
      <c r="AK7" s="251"/>
      <c r="AL7" s="251"/>
      <c r="AM7" s="251"/>
      <c r="AN7" s="251"/>
      <c r="AO7" s="251"/>
      <c r="AP7" s="251"/>
      <c r="AQ7" s="251">
        <v>29447159.13626606</v>
      </c>
    </row>
    <row r="8" spans="1:43" x14ac:dyDescent="0.25">
      <c r="A8" s="79">
        <v>2050</v>
      </c>
      <c r="B8" s="251"/>
      <c r="C8" s="251"/>
      <c r="D8" s="251">
        <v>369777</v>
      </c>
      <c r="E8" s="251">
        <v>2524028.6677636607</v>
      </c>
      <c r="F8" s="251"/>
      <c r="G8" s="251">
        <v>7470.90409588078</v>
      </c>
      <c r="H8" s="251"/>
      <c r="I8" s="251"/>
      <c r="J8" s="251">
        <v>142742</v>
      </c>
      <c r="K8" s="251">
        <v>0</v>
      </c>
      <c r="L8" s="251"/>
      <c r="M8" s="251">
        <v>0</v>
      </c>
      <c r="N8" s="251">
        <v>500000</v>
      </c>
      <c r="O8" s="251"/>
      <c r="P8" s="251">
        <v>723032.00000000023</v>
      </c>
      <c r="Q8" s="251"/>
      <c r="R8" s="251">
        <v>0</v>
      </c>
      <c r="S8" s="251">
        <v>10912450.327425852</v>
      </c>
      <c r="T8" s="251"/>
      <c r="U8" s="251">
        <v>0</v>
      </c>
      <c r="V8" s="251"/>
      <c r="W8" s="251">
        <v>0</v>
      </c>
      <c r="X8" s="251"/>
      <c r="Y8" s="251"/>
      <c r="Z8" s="251">
        <v>0</v>
      </c>
      <c r="AA8" s="251"/>
      <c r="AB8" s="251">
        <v>6097691.2716973517</v>
      </c>
      <c r="AC8" s="251">
        <v>13218791.367373465</v>
      </c>
      <c r="AD8" s="251"/>
      <c r="AE8" s="251">
        <v>0</v>
      </c>
      <c r="AF8" s="251"/>
      <c r="AG8" s="251"/>
      <c r="AH8" s="251"/>
      <c r="AI8" s="251"/>
      <c r="AJ8" s="251">
        <v>6630.8191388957357</v>
      </c>
      <c r="AK8" s="251"/>
      <c r="AL8" s="251"/>
      <c r="AM8" s="251"/>
      <c r="AN8" s="251"/>
      <c r="AO8" s="251"/>
      <c r="AP8" s="251"/>
      <c r="AQ8" s="251">
        <v>34502614.357495114</v>
      </c>
    </row>
    <row r="9" spans="1:43" x14ac:dyDescent="0.25">
      <c r="A9" s="78" t="s">
        <v>115</v>
      </c>
      <c r="B9" s="251"/>
      <c r="C9" s="251">
        <v>217245.27668679622</v>
      </c>
      <c r="D9" s="251"/>
      <c r="E9" s="251"/>
      <c r="F9" s="251"/>
      <c r="G9" s="251"/>
      <c r="H9" s="251"/>
      <c r="I9" s="251"/>
      <c r="J9" s="251"/>
      <c r="K9" s="251">
        <v>37494190.925770141</v>
      </c>
      <c r="L9" s="251"/>
      <c r="M9" s="251">
        <v>2603926.024732016</v>
      </c>
      <c r="N9" s="251"/>
      <c r="O9" s="251">
        <v>16263222.796414331</v>
      </c>
      <c r="P9" s="251"/>
      <c r="Q9" s="251">
        <v>0</v>
      </c>
      <c r="R9" s="251">
        <v>20266419.833035573</v>
      </c>
      <c r="S9" s="251"/>
      <c r="T9" s="251">
        <v>5105264.0021397118</v>
      </c>
      <c r="U9" s="251">
        <v>19059964.363647241</v>
      </c>
      <c r="V9" s="251"/>
      <c r="W9" s="251">
        <v>105334.28555404255</v>
      </c>
      <c r="X9" s="251"/>
      <c r="Y9" s="251"/>
      <c r="Z9" s="251">
        <v>2894924.5536562409</v>
      </c>
      <c r="AA9" s="251">
        <v>132761.00241970882</v>
      </c>
      <c r="AB9" s="251"/>
      <c r="AC9" s="251"/>
      <c r="AD9" s="251"/>
      <c r="AE9" s="251">
        <v>21841.373916352939</v>
      </c>
      <c r="AF9" s="251"/>
      <c r="AG9" s="251"/>
      <c r="AH9" s="251">
        <v>11679.423654624115</v>
      </c>
      <c r="AI9" s="251">
        <v>5671.1257733346893</v>
      </c>
      <c r="AJ9" s="251"/>
      <c r="AK9" s="251">
        <v>721133.62677978189</v>
      </c>
      <c r="AL9" s="251"/>
      <c r="AM9" s="251"/>
      <c r="AN9" s="251"/>
      <c r="AO9" s="251"/>
      <c r="AP9" s="251"/>
      <c r="AQ9" s="251">
        <v>104903578.61417988</v>
      </c>
    </row>
    <row r="10" spans="1:43" x14ac:dyDescent="0.25">
      <c r="A10" s="79">
        <v>2019</v>
      </c>
      <c r="B10" s="251"/>
      <c r="C10" s="251">
        <v>72415.092228932088</v>
      </c>
      <c r="D10" s="251"/>
      <c r="E10" s="251"/>
      <c r="F10" s="251"/>
      <c r="G10" s="251"/>
      <c r="H10" s="251"/>
      <c r="I10" s="251"/>
      <c r="J10" s="251"/>
      <c r="K10" s="251">
        <v>13739757.985270014</v>
      </c>
      <c r="L10" s="251"/>
      <c r="M10" s="251">
        <v>867975.34157733875</v>
      </c>
      <c r="N10" s="251"/>
      <c r="O10" s="251">
        <v>5421074.2654714445</v>
      </c>
      <c r="P10" s="251"/>
      <c r="Q10" s="251">
        <v>0</v>
      </c>
      <c r="R10" s="251">
        <v>6600836.8097011279</v>
      </c>
      <c r="S10" s="251"/>
      <c r="T10" s="251">
        <v>1701754.6673799041</v>
      </c>
      <c r="U10" s="251">
        <v>6351407.0475792512</v>
      </c>
      <c r="V10" s="251"/>
      <c r="W10" s="251">
        <v>0</v>
      </c>
      <c r="X10" s="251"/>
      <c r="Y10" s="251"/>
      <c r="Z10" s="251">
        <v>944413.49448565592</v>
      </c>
      <c r="AA10" s="251">
        <v>44253.667473236274</v>
      </c>
      <c r="AB10" s="251"/>
      <c r="AC10" s="251"/>
      <c r="AD10" s="251"/>
      <c r="AE10" s="251">
        <v>0</v>
      </c>
      <c r="AF10" s="251"/>
      <c r="AG10" s="251"/>
      <c r="AH10" s="251">
        <v>0</v>
      </c>
      <c r="AI10" s="251">
        <v>0</v>
      </c>
      <c r="AJ10" s="251"/>
      <c r="AK10" s="251">
        <v>240377.87559326066</v>
      </c>
      <c r="AL10" s="251"/>
      <c r="AM10" s="251"/>
      <c r="AN10" s="251"/>
      <c r="AO10" s="251"/>
      <c r="AP10" s="251"/>
      <c r="AQ10" s="251">
        <v>35984266.24676016</v>
      </c>
    </row>
    <row r="11" spans="1:43" x14ac:dyDescent="0.25">
      <c r="A11" s="79">
        <v>2030</v>
      </c>
      <c r="B11" s="251"/>
      <c r="C11" s="251">
        <v>72415.092228932073</v>
      </c>
      <c r="D11" s="251"/>
      <c r="E11" s="251"/>
      <c r="F11" s="251"/>
      <c r="G11" s="251"/>
      <c r="H11" s="251"/>
      <c r="I11" s="251"/>
      <c r="J11" s="251"/>
      <c r="K11" s="251">
        <v>11877216.470250065</v>
      </c>
      <c r="L11" s="251"/>
      <c r="M11" s="251">
        <v>867975.34157733864</v>
      </c>
      <c r="N11" s="251"/>
      <c r="O11" s="251">
        <v>5421074.2654714435</v>
      </c>
      <c r="P11" s="251"/>
      <c r="Q11" s="251">
        <v>0</v>
      </c>
      <c r="R11" s="251">
        <v>6832791.5116672218</v>
      </c>
      <c r="S11" s="251"/>
      <c r="T11" s="251">
        <v>1701754.6673799036</v>
      </c>
      <c r="U11" s="251">
        <v>6354278.658033995</v>
      </c>
      <c r="V11" s="251"/>
      <c r="W11" s="251">
        <v>52667.142777021276</v>
      </c>
      <c r="X11" s="251"/>
      <c r="Y11" s="251"/>
      <c r="Z11" s="251">
        <v>975255.52958529233</v>
      </c>
      <c r="AA11" s="251">
        <v>44253.667473236274</v>
      </c>
      <c r="AB11" s="251"/>
      <c r="AC11" s="251"/>
      <c r="AD11" s="251"/>
      <c r="AE11" s="251">
        <v>10920.686958176469</v>
      </c>
      <c r="AF11" s="251"/>
      <c r="AG11" s="251"/>
      <c r="AH11" s="251">
        <v>5839.7118273120577</v>
      </c>
      <c r="AI11" s="251">
        <v>2835.5628866673446</v>
      </c>
      <c r="AJ11" s="251"/>
      <c r="AK11" s="251">
        <v>240377.87559326063</v>
      </c>
      <c r="AL11" s="251"/>
      <c r="AM11" s="251"/>
      <c r="AN11" s="251"/>
      <c r="AO11" s="251"/>
      <c r="AP11" s="251"/>
      <c r="AQ11" s="251">
        <v>34459656.183709867</v>
      </c>
    </row>
    <row r="12" spans="1:43" x14ac:dyDescent="0.25">
      <c r="A12" s="79">
        <v>2050</v>
      </c>
      <c r="B12" s="251"/>
      <c r="C12" s="251">
        <v>72415.092228932073</v>
      </c>
      <c r="D12" s="251"/>
      <c r="E12" s="251"/>
      <c r="F12" s="251"/>
      <c r="G12" s="251"/>
      <c r="H12" s="251"/>
      <c r="I12" s="251"/>
      <c r="J12" s="251"/>
      <c r="K12" s="251">
        <v>11877216.470250065</v>
      </c>
      <c r="L12" s="251"/>
      <c r="M12" s="251">
        <v>867975.34157733864</v>
      </c>
      <c r="N12" s="251"/>
      <c r="O12" s="251">
        <v>5421074.2654714435</v>
      </c>
      <c r="P12" s="251"/>
      <c r="Q12" s="251">
        <v>0</v>
      </c>
      <c r="R12" s="251">
        <v>6832791.5116672218</v>
      </c>
      <c r="S12" s="251"/>
      <c r="T12" s="251">
        <v>1701754.6673799036</v>
      </c>
      <c r="U12" s="251">
        <v>6354278.658033995</v>
      </c>
      <c r="V12" s="251"/>
      <c r="W12" s="251">
        <v>52667.142777021269</v>
      </c>
      <c r="X12" s="251"/>
      <c r="Y12" s="251"/>
      <c r="Z12" s="251">
        <v>975255.52958529233</v>
      </c>
      <c r="AA12" s="251">
        <v>44253.667473236274</v>
      </c>
      <c r="AB12" s="251"/>
      <c r="AC12" s="251"/>
      <c r="AD12" s="251"/>
      <c r="AE12" s="251">
        <v>10920.686958176469</v>
      </c>
      <c r="AF12" s="251"/>
      <c r="AG12" s="251"/>
      <c r="AH12" s="251">
        <v>5839.7118273120577</v>
      </c>
      <c r="AI12" s="251">
        <v>2835.5628866673446</v>
      </c>
      <c r="AJ12" s="251"/>
      <c r="AK12" s="251">
        <v>240377.87559326063</v>
      </c>
      <c r="AL12" s="251"/>
      <c r="AM12" s="251"/>
      <c r="AN12" s="251"/>
      <c r="AO12" s="251"/>
      <c r="AP12" s="251"/>
      <c r="AQ12" s="251">
        <v>34459656.183709867</v>
      </c>
    </row>
    <row r="13" spans="1:43" x14ac:dyDescent="0.25">
      <c r="A13" s="78" t="s">
        <v>130</v>
      </c>
      <c r="B13" s="251">
        <v>182574.19618217932</v>
      </c>
      <c r="C13" s="251">
        <v>0</v>
      </c>
      <c r="D13" s="251"/>
      <c r="E13" s="251"/>
      <c r="F13" s="251">
        <v>281468.55244752642</v>
      </c>
      <c r="G13" s="251"/>
      <c r="H13" s="251">
        <v>197788.71253069426</v>
      </c>
      <c r="I13" s="251">
        <v>1445379.0531089196</v>
      </c>
      <c r="J13" s="251"/>
      <c r="K13" s="251"/>
      <c r="L13" s="251">
        <v>1513844.376677237</v>
      </c>
      <c r="M13" s="251"/>
      <c r="N13" s="251"/>
      <c r="O13" s="251"/>
      <c r="P13" s="251"/>
      <c r="Q13" s="251">
        <v>692260.49385742994</v>
      </c>
      <c r="R13" s="251">
        <v>1658382.281988129</v>
      </c>
      <c r="S13" s="251"/>
      <c r="T13" s="251"/>
      <c r="U13" s="251"/>
      <c r="V13" s="251">
        <v>2647325.8446415998</v>
      </c>
      <c r="W13" s="251">
        <v>0</v>
      </c>
      <c r="X13" s="251">
        <v>336392.95646566537</v>
      </c>
      <c r="Y13" s="251"/>
      <c r="Z13" s="251"/>
      <c r="AA13" s="251"/>
      <c r="AB13" s="251"/>
      <c r="AC13" s="251"/>
      <c r="AD13" s="251">
        <v>682979.63888483576</v>
      </c>
      <c r="AE13" s="251">
        <v>0</v>
      </c>
      <c r="AF13" s="251"/>
      <c r="AG13" s="251"/>
      <c r="AH13" s="251"/>
      <c r="AI13" s="251"/>
      <c r="AJ13" s="251"/>
      <c r="AK13" s="251"/>
      <c r="AL13" s="251"/>
      <c r="AM13" s="251"/>
      <c r="AN13" s="251"/>
      <c r="AO13" s="251"/>
      <c r="AP13" s="251"/>
      <c r="AQ13" s="251">
        <v>9638396.1067842171</v>
      </c>
    </row>
    <row r="14" spans="1:43" x14ac:dyDescent="0.25">
      <c r="A14" s="79">
        <v>2019</v>
      </c>
      <c r="B14" s="251">
        <v>58403.100598004137</v>
      </c>
      <c r="C14" s="251">
        <v>0</v>
      </c>
      <c r="D14" s="251"/>
      <c r="E14" s="251"/>
      <c r="F14" s="251">
        <v>90038.113421923044</v>
      </c>
      <c r="G14" s="251"/>
      <c r="H14" s="251">
        <v>63270.025647837821</v>
      </c>
      <c r="I14" s="251">
        <v>462357.87973419944</v>
      </c>
      <c r="J14" s="251"/>
      <c r="K14" s="251"/>
      <c r="L14" s="251">
        <v>484259.042458451</v>
      </c>
      <c r="M14" s="251"/>
      <c r="N14" s="251"/>
      <c r="O14" s="251"/>
      <c r="P14" s="251"/>
      <c r="Q14" s="251">
        <v>221445.08976743236</v>
      </c>
      <c r="R14" s="251">
        <v>530494.83043187088</v>
      </c>
      <c r="S14" s="251"/>
      <c r="T14" s="251"/>
      <c r="U14" s="251"/>
      <c r="V14" s="251">
        <v>846844.95867106004</v>
      </c>
      <c r="W14" s="251">
        <v>0</v>
      </c>
      <c r="X14" s="251">
        <v>107607.71285182264</v>
      </c>
      <c r="Y14" s="251"/>
      <c r="Z14" s="251"/>
      <c r="AA14" s="251"/>
      <c r="AB14" s="251"/>
      <c r="AC14" s="251"/>
      <c r="AD14" s="251">
        <v>218476.26548703379</v>
      </c>
      <c r="AE14" s="251">
        <v>0</v>
      </c>
      <c r="AF14" s="251"/>
      <c r="AG14" s="251"/>
      <c r="AH14" s="251"/>
      <c r="AI14" s="251"/>
      <c r="AJ14" s="251"/>
      <c r="AK14" s="251"/>
      <c r="AL14" s="251"/>
      <c r="AM14" s="251"/>
      <c r="AN14" s="251"/>
      <c r="AO14" s="251"/>
      <c r="AP14" s="251"/>
      <c r="AQ14" s="251">
        <v>3083197.0190696353</v>
      </c>
    </row>
    <row r="15" spans="1:43" x14ac:dyDescent="0.25">
      <c r="A15" s="79">
        <v>2030</v>
      </c>
      <c r="B15" s="251">
        <v>60789.12467762841</v>
      </c>
      <c r="C15" s="251">
        <v>0</v>
      </c>
      <c r="D15" s="251"/>
      <c r="E15" s="251"/>
      <c r="F15" s="251">
        <v>93716.56721134379</v>
      </c>
      <c r="G15" s="251"/>
      <c r="H15" s="251">
        <v>65854.885067430776</v>
      </c>
      <c r="I15" s="251">
        <v>481247.23703122488</v>
      </c>
      <c r="J15" s="251"/>
      <c r="K15" s="251"/>
      <c r="L15" s="251">
        <v>504043.1587853356</v>
      </c>
      <c r="M15" s="251"/>
      <c r="N15" s="251"/>
      <c r="O15" s="251"/>
      <c r="P15" s="251"/>
      <c r="Q15" s="251">
        <v>230492.09773600774</v>
      </c>
      <c r="R15" s="251">
        <v>552167.88248845807</v>
      </c>
      <c r="S15" s="251"/>
      <c r="T15" s="251"/>
      <c r="U15" s="251"/>
      <c r="V15" s="251">
        <v>881442.3078256119</v>
      </c>
      <c r="W15" s="251">
        <v>0</v>
      </c>
      <c r="X15" s="251">
        <v>112003.96221853035</v>
      </c>
      <c r="Y15" s="251"/>
      <c r="Z15" s="251"/>
      <c r="AA15" s="251"/>
      <c r="AB15" s="251"/>
      <c r="AC15" s="251"/>
      <c r="AD15" s="251">
        <v>227401.98389822827</v>
      </c>
      <c r="AE15" s="251">
        <v>0</v>
      </c>
      <c r="AF15" s="251"/>
      <c r="AG15" s="251"/>
      <c r="AH15" s="251"/>
      <c r="AI15" s="251"/>
      <c r="AJ15" s="251"/>
      <c r="AK15" s="251"/>
      <c r="AL15" s="251"/>
      <c r="AM15" s="251"/>
      <c r="AN15" s="251"/>
      <c r="AO15" s="251"/>
      <c r="AP15" s="251"/>
      <c r="AQ15" s="251">
        <v>3209159.2069397997</v>
      </c>
    </row>
    <row r="16" spans="1:43" x14ac:dyDescent="0.25">
      <c r="A16" s="79">
        <v>2050</v>
      </c>
      <c r="B16" s="251">
        <v>63381.970906546776</v>
      </c>
      <c r="C16" s="251">
        <v>0</v>
      </c>
      <c r="D16" s="251"/>
      <c r="E16" s="251"/>
      <c r="F16" s="251">
        <v>97713.871814259604</v>
      </c>
      <c r="G16" s="251"/>
      <c r="H16" s="251">
        <v>68663.801815425672</v>
      </c>
      <c r="I16" s="251">
        <v>501773.93634349527</v>
      </c>
      <c r="J16" s="251"/>
      <c r="K16" s="251"/>
      <c r="L16" s="251">
        <v>525542.17543345026</v>
      </c>
      <c r="M16" s="251"/>
      <c r="N16" s="251"/>
      <c r="O16" s="251"/>
      <c r="P16" s="251"/>
      <c r="Q16" s="251">
        <v>240323.30635398987</v>
      </c>
      <c r="R16" s="251">
        <v>575719.56906779984</v>
      </c>
      <c r="S16" s="251"/>
      <c r="T16" s="251"/>
      <c r="U16" s="251"/>
      <c r="V16" s="251">
        <v>919038.57814492821</v>
      </c>
      <c r="W16" s="251">
        <v>0</v>
      </c>
      <c r="X16" s="251">
        <v>116781.28139531243</v>
      </c>
      <c r="Y16" s="251"/>
      <c r="Z16" s="251"/>
      <c r="AA16" s="251"/>
      <c r="AB16" s="251"/>
      <c r="AC16" s="251"/>
      <c r="AD16" s="251">
        <v>237101.38949957371</v>
      </c>
      <c r="AE16" s="251">
        <v>0</v>
      </c>
      <c r="AF16" s="251"/>
      <c r="AG16" s="251"/>
      <c r="AH16" s="251"/>
      <c r="AI16" s="251"/>
      <c r="AJ16" s="251"/>
      <c r="AK16" s="251"/>
      <c r="AL16" s="251"/>
      <c r="AM16" s="251"/>
      <c r="AN16" s="251"/>
      <c r="AO16" s="251"/>
      <c r="AP16" s="251"/>
      <c r="AQ16" s="251">
        <v>3346039.8807747816</v>
      </c>
    </row>
    <row r="17" spans="1:43" x14ac:dyDescent="0.25">
      <c r="A17" s="78" t="s">
        <v>123</v>
      </c>
      <c r="B17" s="251"/>
      <c r="C17" s="251"/>
      <c r="D17" s="251">
        <v>0</v>
      </c>
      <c r="E17" s="251"/>
      <c r="F17" s="251"/>
      <c r="G17" s="251"/>
      <c r="H17" s="251"/>
      <c r="I17" s="251"/>
      <c r="J17" s="251"/>
      <c r="K17" s="251"/>
      <c r="L17" s="251"/>
      <c r="M17" s="251">
        <v>1904669.1616139403</v>
      </c>
      <c r="N17" s="251">
        <v>1948349</v>
      </c>
      <c r="O17" s="251"/>
      <c r="P17" s="251"/>
      <c r="Q17" s="251"/>
      <c r="R17" s="251"/>
      <c r="S17" s="251"/>
      <c r="T17" s="251"/>
      <c r="U17" s="251"/>
      <c r="V17" s="251"/>
      <c r="W17" s="251"/>
      <c r="X17" s="251"/>
      <c r="Y17" s="251"/>
      <c r="Z17" s="251"/>
      <c r="AA17" s="251"/>
      <c r="AB17" s="251"/>
      <c r="AC17" s="251"/>
      <c r="AD17" s="251"/>
      <c r="AE17" s="251"/>
      <c r="AF17" s="251">
        <v>465806.42584655172</v>
      </c>
      <c r="AG17" s="251">
        <v>8548198.3623979334</v>
      </c>
      <c r="AH17" s="251"/>
      <c r="AI17" s="251"/>
      <c r="AJ17" s="251"/>
      <c r="AK17" s="251"/>
      <c r="AL17" s="251">
        <v>514217.98657332978</v>
      </c>
      <c r="AM17" s="251"/>
      <c r="AN17" s="251"/>
      <c r="AO17" s="251">
        <v>1333919.9999999998</v>
      </c>
      <c r="AP17" s="251">
        <v>333479.99999999994</v>
      </c>
      <c r="AQ17" s="251">
        <v>15048640.936431756</v>
      </c>
    </row>
    <row r="18" spans="1:43" x14ac:dyDescent="0.25">
      <c r="A18" s="79">
        <v>2019</v>
      </c>
      <c r="B18" s="251"/>
      <c r="C18" s="251"/>
      <c r="D18" s="251">
        <v>0</v>
      </c>
      <c r="E18" s="251"/>
      <c r="F18" s="251"/>
      <c r="G18" s="251"/>
      <c r="H18" s="251"/>
      <c r="I18" s="251"/>
      <c r="J18" s="251"/>
      <c r="K18" s="251"/>
      <c r="L18" s="251"/>
      <c r="M18" s="251">
        <v>1893765.2125355615</v>
      </c>
      <c r="N18" s="251">
        <v>982731</v>
      </c>
      <c r="O18" s="251"/>
      <c r="P18" s="251"/>
      <c r="Q18" s="251"/>
      <c r="R18" s="251"/>
      <c r="S18" s="251"/>
      <c r="T18" s="251"/>
      <c r="U18" s="251"/>
      <c r="V18" s="251"/>
      <c r="W18" s="251"/>
      <c r="X18" s="251"/>
      <c r="Y18" s="251"/>
      <c r="Z18" s="251"/>
      <c r="AA18" s="251"/>
      <c r="AB18" s="251"/>
      <c r="AC18" s="251"/>
      <c r="AD18" s="251"/>
      <c r="AE18" s="251"/>
      <c r="AF18" s="251">
        <v>209782.38739500003</v>
      </c>
      <c r="AG18" s="251">
        <v>3010238.4923246857</v>
      </c>
      <c r="AH18" s="251"/>
      <c r="AI18" s="251"/>
      <c r="AJ18" s="251"/>
      <c r="AK18" s="251"/>
      <c r="AL18" s="251">
        <v>217090.50152909773</v>
      </c>
      <c r="AM18" s="251"/>
      <c r="AN18" s="251"/>
      <c r="AO18" s="251">
        <v>0</v>
      </c>
      <c r="AP18" s="251">
        <v>0</v>
      </c>
      <c r="AQ18" s="251">
        <v>6313607.5937843453</v>
      </c>
    </row>
    <row r="19" spans="1:43" x14ac:dyDescent="0.25">
      <c r="A19" s="79">
        <v>2030</v>
      </c>
      <c r="B19" s="251"/>
      <c r="C19" s="251"/>
      <c r="D19" s="251">
        <v>0</v>
      </c>
      <c r="E19" s="251"/>
      <c r="F19" s="251"/>
      <c r="G19" s="251"/>
      <c r="H19" s="251"/>
      <c r="I19" s="251"/>
      <c r="J19" s="251"/>
      <c r="K19" s="251"/>
      <c r="L19" s="251"/>
      <c r="M19" s="251">
        <v>0</v>
      </c>
      <c r="N19" s="251">
        <v>482809.00000000006</v>
      </c>
      <c r="O19" s="251"/>
      <c r="P19" s="251"/>
      <c r="Q19" s="251"/>
      <c r="R19" s="251"/>
      <c r="S19" s="251"/>
      <c r="T19" s="251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>
        <v>128936.60256776394</v>
      </c>
      <c r="AG19" s="251">
        <v>2848752.9835421797</v>
      </c>
      <c r="AH19" s="251"/>
      <c r="AI19" s="251"/>
      <c r="AJ19" s="251"/>
      <c r="AK19" s="251"/>
      <c r="AL19" s="251">
        <v>149700.18579975853</v>
      </c>
      <c r="AM19" s="251"/>
      <c r="AN19" s="251"/>
      <c r="AO19" s="251">
        <v>669200</v>
      </c>
      <c r="AP19" s="251">
        <v>167300</v>
      </c>
      <c r="AQ19" s="251">
        <v>4446698.7719097026</v>
      </c>
    </row>
    <row r="20" spans="1:43" x14ac:dyDescent="0.25">
      <c r="A20" s="79">
        <v>2050</v>
      </c>
      <c r="B20" s="251"/>
      <c r="C20" s="251"/>
      <c r="D20" s="251">
        <v>0</v>
      </c>
      <c r="E20" s="251"/>
      <c r="F20" s="251"/>
      <c r="G20" s="251"/>
      <c r="H20" s="251"/>
      <c r="I20" s="251"/>
      <c r="J20" s="251"/>
      <c r="K20" s="251"/>
      <c r="L20" s="251"/>
      <c r="M20" s="251">
        <v>10903.94907837885</v>
      </c>
      <c r="N20" s="251">
        <v>482809</v>
      </c>
      <c r="O20" s="251"/>
      <c r="P20" s="251"/>
      <c r="Q20" s="251"/>
      <c r="R20" s="251"/>
      <c r="S20" s="251"/>
      <c r="T20" s="251"/>
      <c r="U20" s="251"/>
      <c r="V20" s="251"/>
      <c r="W20" s="251"/>
      <c r="X20" s="251"/>
      <c r="Y20" s="251"/>
      <c r="Z20" s="251"/>
      <c r="AA20" s="251"/>
      <c r="AB20" s="251"/>
      <c r="AC20" s="251"/>
      <c r="AD20" s="251"/>
      <c r="AE20" s="251"/>
      <c r="AF20" s="251">
        <v>127087.43588378775</v>
      </c>
      <c r="AG20" s="251">
        <v>2689206.886531068</v>
      </c>
      <c r="AH20" s="251"/>
      <c r="AI20" s="251"/>
      <c r="AJ20" s="251"/>
      <c r="AK20" s="251"/>
      <c r="AL20" s="251">
        <v>147427.29924447354</v>
      </c>
      <c r="AM20" s="251"/>
      <c r="AN20" s="251"/>
      <c r="AO20" s="251">
        <v>664719.99999999977</v>
      </c>
      <c r="AP20" s="251">
        <v>166179.99999999994</v>
      </c>
      <c r="AQ20" s="251">
        <v>4288334.5707377084</v>
      </c>
    </row>
    <row r="21" spans="1:43" x14ac:dyDescent="0.25">
      <c r="A21" s="78" t="s">
        <v>117</v>
      </c>
      <c r="B21" s="251"/>
      <c r="C21" s="251"/>
      <c r="D21" s="251"/>
      <c r="E21" s="251">
        <v>1347614.1153181759</v>
      </c>
      <c r="F21" s="251"/>
      <c r="G21" s="251">
        <v>7173.3613542339208</v>
      </c>
      <c r="H21" s="251"/>
      <c r="I21" s="251"/>
      <c r="J21" s="251"/>
      <c r="K21" s="251"/>
      <c r="L21" s="251"/>
      <c r="M21" s="251"/>
      <c r="N21" s="251"/>
      <c r="O21" s="251"/>
      <c r="P21" s="251"/>
      <c r="Q21" s="251"/>
      <c r="R21" s="251"/>
      <c r="S21" s="251">
        <v>10442398.886869555</v>
      </c>
      <c r="T21" s="251"/>
      <c r="U21" s="251"/>
      <c r="V21" s="251"/>
      <c r="W21" s="251"/>
      <c r="X21" s="251"/>
      <c r="Y21" s="251"/>
      <c r="Z21" s="251"/>
      <c r="AA21" s="251"/>
      <c r="AB21" s="251"/>
      <c r="AC21" s="251">
        <v>24087525.0633834</v>
      </c>
      <c r="AD21" s="251"/>
      <c r="AE21" s="251"/>
      <c r="AF21" s="251"/>
      <c r="AG21" s="251"/>
      <c r="AH21" s="251"/>
      <c r="AI21" s="251"/>
      <c r="AJ21" s="251"/>
      <c r="AK21" s="251"/>
      <c r="AL21" s="251"/>
      <c r="AM21" s="251">
        <v>57304300.520071834</v>
      </c>
      <c r="AN21" s="251">
        <v>1769122.4768751739</v>
      </c>
      <c r="AO21" s="251"/>
      <c r="AP21" s="251"/>
      <c r="AQ21" s="251">
        <v>94958134.423872381</v>
      </c>
    </row>
    <row r="22" spans="1:43" x14ac:dyDescent="0.25">
      <c r="A22" s="79">
        <v>2019</v>
      </c>
      <c r="B22" s="251"/>
      <c r="C22" s="251"/>
      <c r="D22" s="251"/>
      <c r="E22" s="251">
        <v>823764.99285714305</v>
      </c>
      <c r="F22" s="251"/>
      <c r="G22" s="251">
        <v>3362.8500000000004</v>
      </c>
      <c r="H22" s="251"/>
      <c r="I22" s="251"/>
      <c r="J22" s="251"/>
      <c r="K22" s="251"/>
      <c r="L22" s="251"/>
      <c r="M22" s="251"/>
      <c r="N22" s="251"/>
      <c r="O22" s="251"/>
      <c r="P22" s="251"/>
      <c r="Q22" s="251"/>
      <c r="R22" s="251"/>
      <c r="S22" s="251">
        <v>6423924.8458333323</v>
      </c>
      <c r="T22" s="251"/>
      <c r="U22" s="251"/>
      <c r="V22" s="251"/>
      <c r="W22" s="251"/>
      <c r="X22" s="251"/>
      <c r="Y22" s="251"/>
      <c r="Z22" s="251"/>
      <c r="AA22" s="251"/>
      <c r="AB22" s="251"/>
      <c r="AC22" s="251">
        <v>14742130.666666664</v>
      </c>
      <c r="AD22" s="251"/>
      <c r="AE22" s="251"/>
      <c r="AF22" s="251"/>
      <c r="AG22" s="251"/>
      <c r="AH22" s="251"/>
      <c r="AI22" s="251"/>
      <c r="AJ22" s="251"/>
      <c r="AK22" s="251"/>
      <c r="AL22" s="251"/>
      <c r="AM22" s="251">
        <v>8803491.7355084848</v>
      </c>
      <c r="AN22" s="251">
        <v>1108490.5539925825</v>
      </c>
      <c r="AO22" s="251"/>
      <c r="AP22" s="251"/>
      <c r="AQ22" s="251">
        <v>31905165.644858211</v>
      </c>
    </row>
    <row r="23" spans="1:43" x14ac:dyDescent="0.25">
      <c r="A23" s="79">
        <v>2030</v>
      </c>
      <c r="B23" s="251"/>
      <c r="C23" s="251"/>
      <c r="D23" s="251"/>
      <c r="E23" s="251">
        <v>284967.83783340082</v>
      </c>
      <c r="F23" s="251"/>
      <c r="G23" s="251">
        <v>2396.375936085059</v>
      </c>
      <c r="H23" s="251"/>
      <c r="I23" s="251"/>
      <c r="J23" s="251"/>
      <c r="K23" s="251"/>
      <c r="L23" s="251"/>
      <c r="M23" s="251"/>
      <c r="N23" s="251"/>
      <c r="O23" s="251"/>
      <c r="P23" s="251"/>
      <c r="Q23" s="251"/>
      <c r="R23" s="251"/>
      <c r="S23" s="251">
        <v>2211099.4555563163</v>
      </c>
      <c r="T23" s="251"/>
      <c r="U23" s="251"/>
      <c r="V23" s="251"/>
      <c r="W23" s="251"/>
      <c r="X23" s="251"/>
      <c r="Y23" s="251"/>
      <c r="Z23" s="251"/>
      <c r="AA23" s="251"/>
      <c r="AB23" s="251"/>
      <c r="AC23" s="251">
        <v>6040696.5548733696</v>
      </c>
      <c r="AD23" s="251"/>
      <c r="AE23" s="251"/>
      <c r="AF23" s="251"/>
      <c r="AG23" s="251"/>
      <c r="AH23" s="251"/>
      <c r="AI23" s="251"/>
      <c r="AJ23" s="251"/>
      <c r="AK23" s="251"/>
      <c r="AL23" s="251"/>
      <c r="AM23" s="251">
        <v>23179087.136456601</v>
      </c>
      <c r="AN23" s="251">
        <v>339241.60538953869</v>
      </c>
      <c r="AO23" s="251"/>
      <c r="AP23" s="251"/>
      <c r="AQ23" s="251">
        <v>32057488.966045313</v>
      </c>
    </row>
    <row r="24" spans="1:43" x14ac:dyDescent="0.25">
      <c r="A24" s="79">
        <v>2050</v>
      </c>
      <c r="B24" s="251"/>
      <c r="C24" s="251"/>
      <c r="D24" s="251"/>
      <c r="E24" s="251">
        <v>238881.28462763206</v>
      </c>
      <c r="F24" s="251"/>
      <c r="G24" s="251">
        <v>1414.1354181488614</v>
      </c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>
        <v>1807374.5854799061</v>
      </c>
      <c r="T24" s="251"/>
      <c r="U24" s="251"/>
      <c r="V24" s="251"/>
      <c r="W24" s="251"/>
      <c r="X24" s="251"/>
      <c r="Y24" s="251"/>
      <c r="Z24" s="251"/>
      <c r="AA24" s="251"/>
      <c r="AB24" s="251"/>
      <c r="AC24" s="251">
        <v>3304697.8418433652</v>
      </c>
      <c r="AD24" s="251"/>
      <c r="AE24" s="251"/>
      <c r="AF24" s="251"/>
      <c r="AG24" s="251"/>
      <c r="AH24" s="251"/>
      <c r="AI24" s="251"/>
      <c r="AJ24" s="251"/>
      <c r="AK24" s="251"/>
      <c r="AL24" s="251"/>
      <c r="AM24" s="251">
        <v>25321721.648106746</v>
      </c>
      <c r="AN24" s="251">
        <v>321390.3174930528</v>
      </c>
      <c r="AO24" s="251"/>
      <c r="AP24" s="251"/>
      <c r="AQ24" s="251">
        <v>30995479.81296885</v>
      </c>
    </row>
    <row r="25" spans="1:43" x14ac:dyDescent="0.25">
      <c r="A25" s="78" t="s">
        <v>219</v>
      </c>
      <c r="B25" s="251"/>
      <c r="C25" s="251"/>
      <c r="D25" s="251"/>
      <c r="E25" s="251"/>
      <c r="F25" s="251"/>
      <c r="G25" s="251"/>
      <c r="H25" s="251"/>
      <c r="I25" s="251"/>
      <c r="J25" s="251"/>
      <c r="K25" s="251">
        <v>33924.020800968974</v>
      </c>
      <c r="L25" s="251"/>
      <c r="M25" s="251"/>
      <c r="N25" s="251"/>
      <c r="O25" s="251"/>
      <c r="P25" s="251"/>
      <c r="Q25" s="251"/>
      <c r="R25" s="251"/>
      <c r="S25" s="251"/>
      <c r="T25" s="251"/>
      <c r="U25" s="251"/>
      <c r="V25" s="251"/>
      <c r="W25" s="251"/>
      <c r="X25" s="251"/>
      <c r="Y25" s="251"/>
      <c r="Z25" s="251"/>
      <c r="AA25" s="251"/>
      <c r="AB25" s="251"/>
      <c r="AC25" s="251"/>
      <c r="AD25" s="251"/>
      <c r="AE25" s="251"/>
      <c r="AF25" s="251"/>
      <c r="AG25" s="251"/>
      <c r="AH25" s="251"/>
      <c r="AI25" s="251"/>
      <c r="AJ25" s="251"/>
      <c r="AK25" s="251"/>
      <c r="AL25" s="251"/>
      <c r="AM25" s="251"/>
      <c r="AN25" s="251"/>
      <c r="AO25" s="251"/>
      <c r="AP25" s="251"/>
      <c r="AQ25" s="251">
        <v>33924.020800968974</v>
      </c>
    </row>
    <row r="26" spans="1:43" x14ac:dyDescent="0.25">
      <c r="A26" s="79">
        <v>2019</v>
      </c>
      <c r="B26" s="251"/>
      <c r="C26" s="251"/>
      <c r="D26" s="251"/>
      <c r="E26" s="251"/>
      <c r="F26" s="251"/>
      <c r="G26" s="251"/>
      <c r="H26" s="251"/>
      <c r="I26" s="251"/>
      <c r="J26" s="251"/>
      <c r="K26" s="251">
        <v>0</v>
      </c>
      <c r="L26" s="251"/>
      <c r="M26" s="251"/>
      <c r="N26" s="251"/>
      <c r="O26" s="251"/>
      <c r="P26" s="251"/>
      <c r="Q26" s="251"/>
      <c r="R26" s="251"/>
      <c r="S26" s="251"/>
      <c r="T26" s="251"/>
      <c r="U26" s="251"/>
      <c r="V26" s="251"/>
      <c r="W26" s="251"/>
      <c r="X26" s="251"/>
      <c r="Y26" s="251"/>
      <c r="Z26" s="251"/>
      <c r="AA26" s="251"/>
      <c r="AB26" s="251"/>
      <c r="AC26" s="251"/>
      <c r="AD26" s="251"/>
      <c r="AE26" s="251"/>
      <c r="AF26" s="251"/>
      <c r="AG26" s="251"/>
      <c r="AH26" s="251"/>
      <c r="AI26" s="251"/>
      <c r="AJ26" s="251"/>
      <c r="AK26" s="251"/>
      <c r="AL26" s="251"/>
      <c r="AM26" s="251"/>
      <c r="AN26" s="251"/>
      <c r="AO26" s="251"/>
      <c r="AP26" s="251"/>
      <c r="AQ26" s="251">
        <v>0</v>
      </c>
    </row>
    <row r="27" spans="1:43" x14ac:dyDescent="0.25">
      <c r="A27" s="79">
        <v>2030</v>
      </c>
      <c r="B27" s="251"/>
      <c r="C27" s="251"/>
      <c r="D27" s="251"/>
      <c r="E27" s="251"/>
      <c r="F27" s="251"/>
      <c r="G27" s="251"/>
      <c r="H27" s="251"/>
      <c r="I27" s="251"/>
      <c r="J27" s="251"/>
      <c r="K27" s="251">
        <v>16962.010400484487</v>
      </c>
      <c r="L27" s="251"/>
      <c r="M27" s="251"/>
      <c r="N27" s="251"/>
      <c r="O27" s="251"/>
      <c r="P27" s="251"/>
      <c r="Q27" s="251"/>
      <c r="R27" s="251"/>
      <c r="S27" s="251"/>
      <c r="T27" s="251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1"/>
      <c r="AI27" s="251"/>
      <c r="AJ27" s="251"/>
      <c r="AK27" s="251"/>
      <c r="AL27" s="251"/>
      <c r="AM27" s="251"/>
      <c r="AN27" s="251"/>
      <c r="AO27" s="251"/>
      <c r="AP27" s="251"/>
      <c r="AQ27" s="251">
        <v>16962.010400484487</v>
      </c>
    </row>
    <row r="28" spans="1:43" x14ac:dyDescent="0.25">
      <c r="A28" s="79">
        <v>2050</v>
      </c>
      <c r="B28" s="251"/>
      <c r="C28" s="251"/>
      <c r="D28" s="251"/>
      <c r="E28" s="251"/>
      <c r="F28" s="251"/>
      <c r="G28" s="251"/>
      <c r="H28" s="251"/>
      <c r="I28" s="251"/>
      <c r="J28" s="251"/>
      <c r="K28" s="251">
        <v>16962.010400484487</v>
      </c>
      <c r="L28" s="251"/>
      <c r="M28" s="251"/>
      <c r="N28" s="251"/>
      <c r="O28" s="251"/>
      <c r="P28" s="251"/>
      <c r="Q28" s="251"/>
      <c r="R28" s="251"/>
      <c r="S28" s="251"/>
      <c r="T28" s="251"/>
      <c r="U28" s="251"/>
      <c r="V28" s="251"/>
      <c r="W28" s="251"/>
      <c r="X28" s="251"/>
      <c r="Y28" s="251"/>
      <c r="Z28" s="251"/>
      <c r="AA28" s="251"/>
      <c r="AB28" s="251"/>
      <c r="AC28" s="251"/>
      <c r="AD28" s="251"/>
      <c r="AE28" s="251"/>
      <c r="AF28" s="251"/>
      <c r="AG28" s="251"/>
      <c r="AH28" s="251"/>
      <c r="AI28" s="251"/>
      <c r="AJ28" s="251"/>
      <c r="AK28" s="251"/>
      <c r="AL28" s="251"/>
      <c r="AM28" s="251"/>
      <c r="AN28" s="251"/>
      <c r="AO28" s="251"/>
      <c r="AP28" s="251"/>
      <c r="AQ28" s="251">
        <v>16962.010400484487</v>
      </c>
    </row>
    <row r="29" spans="1:43" x14ac:dyDescent="0.25">
      <c r="A29" s="78" t="s">
        <v>249</v>
      </c>
      <c r="B29" s="251"/>
      <c r="C29" s="251"/>
      <c r="D29" s="251"/>
      <c r="E29" s="251"/>
      <c r="F29" s="251"/>
      <c r="G29" s="251"/>
      <c r="H29" s="251"/>
      <c r="I29" s="251"/>
      <c r="J29" s="251"/>
      <c r="K29" s="251"/>
      <c r="L29" s="251"/>
      <c r="M29" s="251"/>
      <c r="N29" s="251"/>
      <c r="O29" s="251"/>
      <c r="P29" s="251"/>
      <c r="Q29" s="251"/>
      <c r="R29" s="251"/>
      <c r="S29" s="251"/>
      <c r="T29" s="251"/>
      <c r="U29" s="251"/>
      <c r="V29" s="251"/>
      <c r="W29" s="251"/>
      <c r="X29" s="251"/>
      <c r="Y29" s="251">
        <v>1606931.2080416554</v>
      </c>
      <c r="Z29" s="251"/>
      <c r="AA29" s="251"/>
      <c r="AB29" s="251"/>
      <c r="AC29" s="251"/>
      <c r="AD29" s="251"/>
      <c r="AE29" s="251"/>
      <c r="AF29" s="251"/>
      <c r="AG29" s="251"/>
      <c r="AH29" s="251"/>
      <c r="AI29" s="251"/>
      <c r="AJ29" s="251"/>
      <c r="AK29" s="251"/>
      <c r="AL29" s="251"/>
      <c r="AM29" s="251"/>
      <c r="AN29" s="251"/>
      <c r="AO29" s="251"/>
      <c r="AP29" s="251"/>
      <c r="AQ29" s="251">
        <v>1606931.2080416554</v>
      </c>
    </row>
    <row r="30" spans="1:43" x14ac:dyDescent="0.25">
      <c r="A30" s="79">
        <v>2019</v>
      </c>
      <c r="B30" s="251"/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M30" s="251"/>
      <c r="N30" s="251"/>
      <c r="O30" s="251"/>
      <c r="P30" s="251"/>
      <c r="Q30" s="251"/>
      <c r="R30" s="251"/>
      <c r="S30" s="251"/>
      <c r="T30" s="251"/>
      <c r="U30" s="251"/>
      <c r="V30" s="251"/>
      <c r="W30" s="251"/>
      <c r="X30" s="251"/>
      <c r="Y30" s="251">
        <v>678407.81727843033</v>
      </c>
      <c r="Z30" s="251"/>
      <c r="AA30" s="251"/>
      <c r="AB30" s="251"/>
      <c r="AC30" s="251"/>
      <c r="AD30" s="251"/>
      <c r="AE30" s="251"/>
      <c r="AF30" s="251"/>
      <c r="AG30" s="251"/>
      <c r="AH30" s="251"/>
      <c r="AI30" s="251"/>
      <c r="AJ30" s="251"/>
      <c r="AK30" s="251"/>
      <c r="AL30" s="251"/>
      <c r="AM30" s="251"/>
      <c r="AN30" s="251"/>
      <c r="AO30" s="251"/>
      <c r="AP30" s="251"/>
      <c r="AQ30" s="251">
        <v>678407.81727843033</v>
      </c>
    </row>
    <row r="31" spans="1:43" x14ac:dyDescent="0.25">
      <c r="A31" s="79">
        <v>2030</v>
      </c>
      <c r="B31" s="251"/>
      <c r="C31" s="251"/>
      <c r="D31" s="251"/>
      <c r="E31" s="251"/>
      <c r="F31" s="251"/>
      <c r="G31" s="251"/>
      <c r="H31" s="251"/>
      <c r="I31" s="251"/>
      <c r="J31" s="251"/>
      <c r="K31" s="251"/>
      <c r="L31" s="251"/>
      <c r="M31" s="251"/>
      <c r="N31" s="251"/>
      <c r="O31" s="251"/>
      <c r="P31" s="251"/>
      <c r="Q31" s="251"/>
      <c r="R31" s="251"/>
      <c r="S31" s="251"/>
      <c r="T31" s="251"/>
      <c r="U31" s="251"/>
      <c r="V31" s="251"/>
      <c r="W31" s="251"/>
      <c r="X31" s="251"/>
      <c r="Y31" s="251">
        <v>467813.0806242454</v>
      </c>
      <c r="Z31" s="251"/>
      <c r="AA31" s="251"/>
      <c r="AB31" s="251"/>
      <c r="AC31" s="251"/>
      <c r="AD31" s="251"/>
      <c r="AE31" s="251"/>
      <c r="AF31" s="251"/>
      <c r="AG31" s="251"/>
      <c r="AH31" s="251"/>
      <c r="AI31" s="251"/>
      <c r="AJ31" s="251"/>
      <c r="AK31" s="251"/>
      <c r="AL31" s="251"/>
      <c r="AM31" s="251"/>
      <c r="AN31" s="251"/>
      <c r="AO31" s="251"/>
      <c r="AP31" s="251"/>
      <c r="AQ31" s="251">
        <v>467813.0806242454</v>
      </c>
    </row>
    <row r="32" spans="1:43" x14ac:dyDescent="0.25">
      <c r="A32" s="79">
        <v>2050</v>
      </c>
      <c r="B32" s="251"/>
      <c r="C32" s="251"/>
      <c r="D32" s="251"/>
      <c r="E32" s="251"/>
      <c r="F32" s="251"/>
      <c r="G32" s="251"/>
      <c r="H32" s="251"/>
      <c r="I32" s="251"/>
      <c r="J32" s="251"/>
      <c r="K32" s="251"/>
      <c r="L32" s="251"/>
      <c r="M32" s="251"/>
      <c r="N32" s="251"/>
      <c r="O32" s="251"/>
      <c r="P32" s="251"/>
      <c r="Q32" s="251"/>
      <c r="R32" s="251"/>
      <c r="S32" s="251"/>
      <c r="T32" s="251"/>
      <c r="U32" s="251"/>
      <c r="V32" s="251"/>
      <c r="W32" s="251"/>
      <c r="X32" s="251"/>
      <c r="Y32" s="251">
        <v>460710.31013897981</v>
      </c>
      <c r="Z32" s="251"/>
      <c r="AA32" s="251"/>
      <c r="AB32" s="251"/>
      <c r="AC32" s="251"/>
      <c r="AD32" s="251"/>
      <c r="AE32" s="251"/>
      <c r="AF32" s="251"/>
      <c r="AG32" s="251"/>
      <c r="AH32" s="251"/>
      <c r="AI32" s="251"/>
      <c r="AJ32" s="251"/>
      <c r="AK32" s="251"/>
      <c r="AL32" s="251"/>
      <c r="AM32" s="251"/>
      <c r="AN32" s="251"/>
      <c r="AO32" s="251"/>
      <c r="AP32" s="251"/>
      <c r="AQ32" s="251">
        <v>460710.31013897981</v>
      </c>
    </row>
    <row r="33" spans="1:43" x14ac:dyDescent="0.25">
      <c r="A33" s="78" t="s">
        <v>340</v>
      </c>
      <c r="B33" s="251"/>
      <c r="C33" s="251"/>
      <c r="D33" s="251"/>
      <c r="E33" s="251"/>
      <c r="F33" s="251"/>
      <c r="G33" s="251"/>
      <c r="H33" s="251"/>
      <c r="I33" s="251"/>
      <c r="J33" s="251"/>
      <c r="K33" s="251"/>
      <c r="L33" s="251"/>
      <c r="M33" s="251">
        <v>2381999.9999999995</v>
      </c>
      <c r="N33" s="251"/>
      <c r="O33" s="251"/>
      <c r="P33" s="251"/>
      <c r="Q33" s="251"/>
      <c r="R33" s="251"/>
      <c r="S33" s="251"/>
      <c r="T33" s="251"/>
      <c r="U33" s="251"/>
      <c r="V33" s="251"/>
      <c r="W33" s="251"/>
      <c r="X33" s="251"/>
      <c r="Y33" s="251"/>
      <c r="Z33" s="251"/>
      <c r="AA33" s="251"/>
      <c r="AB33" s="251"/>
      <c r="AC33" s="251"/>
      <c r="AD33" s="251"/>
      <c r="AE33" s="251"/>
      <c r="AF33" s="251"/>
      <c r="AG33" s="251"/>
      <c r="AH33" s="251"/>
      <c r="AI33" s="251"/>
      <c r="AJ33" s="251"/>
      <c r="AK33" s="251"/>
      <c r="AL33" s="251"/>
      <c r="AM33" s="251"/>
      <c r="AN33" s="251"/>
      <c r="AO33" s="251"/>
      <c r="AP33" s="251"/>
      <c r="AQ33" s="251">
        <v>2381999.9999999995</v>
      </c>
    </row>
    <row r="34" spans="1:43" x14ac:dyDescent="0.25">
      <c r="A34" s="79">
        <v>2019</v>
      </c>
      <c r="B34" s="251"/>
      <c r="C34" s="251"/>
      <c r="D34" s="251"/>
      <c r="E34" s="251"/>
      <c r="F34" s="251"/>
      <c r="G34" s="251"/>
      <c r="H34" s="251"/>
      <c r="I34" s="251"/>
      <c r="J34" s="251"/>
      <c r="K34" s="251"/>
      <c r="L34" s="251"/>
      <c r="M34" s="251">
        <v>0</v>
      </c>
      <c r="N34" s="251"/>
      <c r="O34" s="251"/>
      <c r="P34" s="251"/>
      <c r="Q34" s="251"/>
      <c r="R34" s="251"/>
      <c r="S34" s="251"/>
      <c r="T34" s="251"/>
      <c r="U34" s="251"/>
      <c r="V34" s="251"/>
      <c r="W34" s="251"/>
      <c r="X34" s="251"/>
      <c r="Y34" s="251"/>
      <c r="Z34" s="251"/>
      <c r="AA34" s="251"/>
      <c r="AB34" s="251"/>
      <c r="AC34" s="251"/>
      <c r="AD34" s="251"/>
      <c r="AE34" s="251"/>
      <c r="AF34" s="251"/>
      <c r="AG34" s="251"/>
      <c r="AH34" s="251"/>
      <c r="AI34" s="251"/>
      <c r="AJ34" s="251"/>
      <c r="AK34" s="251"/>
      <c r="AL34" s="251"/>
      <c r="AM34" s="251"/>
      <c r="AN34" s="251"/>
      <c r="AO34" s="251"/>
      <c r="AP34" s="251"/>
      <c r="AQ34" s="251">
        <v>0</v>
      </c>
    </row>
    <row r="35" spans="1:43" x14ac:dyDescent="0.25">
      <c r="A35" s="79">
        <v>2030</v>
      </c>
      <c r="B35" s="251"/>
      <c r="C35" s="251"/>
      <c r="D35" s="251"/>
      <c r="E35" s="251"/>
      <c r="F35" s="251"/>
      <c r="G35" s="251"/>
      <c r="H35" s="251"/>
      <c r="I35" s="251"/>
      <c r="J35" s="251"/>
      <c r="K35" s="251"/>
      <c r="L35" s="251"/>
      <c r="M35" s="251">
        <v>1195000</v>
      </c>
      <c r="N35" s="251"/>
      <c r="O35" s="251"/>
      <c r="P35" s="251"/>
      <c r="Q35" s="251"/>
      <c r="R35" s="251"/>
      <c r="S35" s="251"/>
      <c r="T35" s="251"/>
      <c r="U35" s="251"/>
      <c r="V35" s="251"/>
      <c r="W35" s="251"/>
      <c r="X35" s="251"/>
      <c r="Y35" s="251"/>
      <c r="Z35" s="251"/>
      <c r="AA35" s="251"/>
      <c r="AB35" s="251"/>
      <c r="AC35" s="251"/>
      <c r="AD35" s="251"/>
      <c r="AE35" s="251"/>
      <c r="AF35" s="251"/>
      <c r="AG35" s="251"/>
      <c r="AH35" s="251"/>
      <c r="AI35" s="251"/>
      <c r="AJ35" s="251"/>
      <c r="AK35" s="251"/>
      <c r="AL35" s="251"/>
      <c r="AM35" s="251"/>
      <c r="AN35" s="251"/>
      <c r="AO35" s="251"/>
      <c r="AP35" s="251"/>
      <c r="AQ35" s="251">
        <v>1195000</v>
      </c>
    </row>
    <row r="36" spans="1:43" x14ac:dyDescent="0.25">
      <c r="A36" s="79">
        <v>2050</v>
      </c>
      <c r="B36" s="251"/>
      <c r="C36" s="251"/>
      <c r="D36" s="251"/>
      <c r="E36" s="251"/>
      <c r="F36" s="251"/>
      <c r="G36" s="251"/>
      <c r="H36" s="251"/>
      <c r="I36" s="251"/>
      <c r="J36" s="251"/>
      <c r="K36" s="251"/>
      <c r="L36" s="251"/>
      <c r="M36" s="251">
        <v>1186999.9999999995</v>
      </c>
      <c r="N36" s="251"/>
      <c r="O36" s="251"/>
      <c r="P36" s="251"/>
      <c r="Q36" s="251"/>
      <c r="R36" s="251"/>
      <c r="S36" s="251"/>
      <c r="T36" s="251"/>
      <c r="U36" s="251"/>
      <c r="V36" s="251"/>
      <c r="W36" s="251"/>
      <c r="X36" s="251"/>
      <c r="Y36" s="251"/>
      <c r="Z36" s="251"/>
      <c r="AA36" s="251"/>
      <c r="AB36" s="251"/>
      <c r="AC36" s="251"/>
      <c r="AD36" s="251"/>
      <c r="AE36" s="251"/>
      <c r="AF36" s="251"/>
      <c r="AG36" s="251"/>
      <c r="AH36" s="251"/>
      <c r="AI36" s="251"/>
      <c r="AJ36" s="251"/>
      <c r="AK36" s="251"/>
      <c r="AL36" s="251"/>
      <c r="AM36" s="251"/>
      <c r="AN36" s="251"/>
      <c r="AO36" s="251"/>
      <c r="AP36" s="251"/>
      <c r="AQ36" s="251">
        <v>1186999.9999999995</v>
      </c>
    </row>
    <row r="37" spans="1:43" x14ac:dyDescent="0.25">
      <c r="A37" s="78" t="s">
        <v>62</v>
      </c>
      <c r="B37" s="251">
        <v>182574.19618217932</v>
      </c>
      <c r="C37" s="251">
        <v>217245.27668679622</v>
      </c>
      <c r="D37" s="251">
        <v>1462906</v>
      </c>
      <c r="E37" s="251">
        <v>6886965.4791201083</v>
      </c>
      <c r="F37" s="251">
        <v>281468.55244752642</v>
      </c>
      <c r="G37" s="251">
        <v>24963.668689568618</v>
      </c>
      <c r="H37" s="251">
        <v>197788.71253069426</v>
      </c>
      <c r="I37" s="251">
        <v>1445379.0531089196</v>
      </c>
      <c r="J37" s="251">
        <v>428226</v>
      </c>
      <c r="K37" s="251">
        <v>37613791.946571104</v>
      </c>
      <c r="L37" s="251">
        <v>1513844.376677237</v>
      </c>
      <c r="M37" s="251">
        <v>6966529.1863459572</v>
      </c>
      <c r="N37" s="251">
        <v>2948427</v>
      </c>
      <c r="O37" s="251">
        <v>16263222.796414331</v>
      </c>
      <c r="P37" s="251">
        <v>2444654</v>
      </c>
      <c r="Q37" s="251">
        <v>692260.49385742994</v>
      </c>
      <c r="R37" s="251">
        <v>21928588.115023702</v>
      </c>
      <c r="S37" s="251">
        <v>36277136.152803585</v>
      </c>
      <c r="T37" s="251">
        <v>5105264.0021397118</v>
      </c>
      <c r="U37" s="251">
        <v>19389990.363647241</v>
      </c>
      <c r="V37" s="251">
        <v>2647325.8446415998</v>
      </c>
      <c r="W37" s="251">
        <v>105334.28555404255</v>
      </c>
      <c r="X37" s="251">
        <v>336392.95646566537</v>
      </c>
      <c r="Y37" s="251">
        <v>1606931.2080416554</v>
      </c>
      <c r="Z37" s="251">
        <v>2923569.5536562409</v>
      </c>
      <c r="AA37" s="251">
        <v>132761.00241970882</v>
      </c>
      <c r="AB37" s="251">
        <v>12425507.815831818</v>
      </c>
      <c r="AC37" s="251">
        <v>51439622.223140746</v>
      </c>
      <c r="AD37" s="251">
        <v>682979.63888483576</v>
      </c>
      <c r="AE37" s="251">
        <v>21841.373916352939</v>
      </c>
      <c r="AF37" s="251">
        <v>465806.42584655172</v>
      </c>
      <c r="AG37" s="251">
        <v>8548198.3623979334</v>
      </c>
      <c r="AH37" s="251">
        <v>11679.423654624115</v>
      </c>
      <c r="AI37" s="251">
        <v>5671.1257733346893</v>
      </c>
      <c r="AJ37" s="251">
        <v>10775.081100705571</v>
      </c>
      <c r="AK37" s="251">
        <v>721133.62677978189</v>
      </c>
      <c r="AL37" s="251">
        <v>514217.98657332978</v>
      </c>
      <c r="AM37" s="251">
        <v>57304300.520071834</v>
      </c>
      <c r="AN37" s="251">
        <v>1769122.4768751739</v>
      </c>
      <c r="AO37" s="251">
        <v>1333919.9999999998</v>
      </c>
      <c r="AP37" s="251">
        <v>333479.99999999994</v>
      </c>
      <c r="AQ37" s="251">
        <v>305611796.30387205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O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5.5703125" bestFit="1" customWidth="1"/>
    <col min="5" max="5" width="13.140625" bestFit="1" customWidth="1"/>
    <col min="6" max="6" width="8.85546875" bestFit="1" customWidth="1"/>
    <col min="7" max="7" width="13.28515625" bestFit="1" customWidth="1"/>
    <col min="8" max="8" width="7.7109375" bestFit="1" customWidth="1"/>
    <col min="9" max="9" width="8.7109375" bestFit="1" customWidth="1"/>
    <col min="10" max="10" width="8.42578125" bestFit="1" customWidth="1"/>
    <col min="11" max="11" width="12.5703125" bestFit="1" customWidth="1"/>
    <col min="12" max="12" width="8.85546875" bestFit="1" customWidth="1"/>
    <col min="13" max="13" width="14.5703125" bestFit="1" customWidth="1"/>
    <col min="14" max="14" width="9.28515625" bestFit="1" customWidth="1"/>
    <col min="15" max="17" width="11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5" x14ac:dyDescent="0.25">
      <c r="A2" s="77" t="s">
        <v>304</v>
      </c>
      <c r="B2" s="78">
        <v>1</v>
      </c>
    </row>
    <row r="4" spans="1:15" x14ac:dyDescent="0.25">
      <c r="A4" s="77" t="s">
        <v>335</v>
      </c>
      <c r="B4" s="77" t="s">
        <v>63</v>
      </c>
    </row>
    <row r="5" spans="1:15" x14ac:dyDescent="0.25">
      <c r="A5" s="77" t="s">
        <v>61</v>
      </c>
      <c r="B5" s="173" t="s">
        <v>104</v>
      </c>
      <c r="C5" s="173" t="s">
        <v>6</v>
      </c>
      <c r="D5" s="173" t="s">
        <v>69</v>
      </c>
      <c r="E5" s="173" t="s">
        <v>105</v>
      </c>
      <c r="F5" s="173" t="s">
        <v>12</v>
      </c>
      <c r="G5" s="173" t="s">
        <v>118</v>
      </c>
      <c r="H5" s="173" t="s">
        <v>54</v>
      </c>
      <c r="I5" s="173" t="s">
        <v>14</v>
      </c>
      <c r="J5" s="173" t="s">
        <v>165</v>
      </c>
      <c r="K5" s="173" t="s">
        <v>213</v>
      </c>
      <c r="L5" s="173" t="s">
        <v>55</v>
      </c>
      <c r="M5" s="173" t="s">
        <v>166</v>
      </c>
      <c r="N5" s="173" t="s">
        <v>250</v>
      </c>
      <c r="O5" s="173" t="s">
        <v>62</v>
      </c>
    </row>
    <row r="6" spans="1:15" x14ac:dyDescent="0.25">
      <c r="A6" s="78">
        <v>2019</v>
      </c>
      <c r="B6" s="76">
        <v>370459.67448149773</v>
      </c>
      <c r="C6" s="76">
        <v>203649.62100550608</v>
      </c>
      <c r="D6" s="76">
        <v>0</v>
      </c>
      <c r="E6" s="76">
        <v>282332.03034110228</v>
      </c>
      <c r="F6" s="76">
        <v>0</v>
      </c>
      <c r="G6" s="76">
        <v>1108490.5539925825</v>
      </c>
      <c r="H6" s="76">
        <v>0</v>
      </c>
      <c r="I6" s="76">
        <v>0</v>
      </c>
      <c r="J6" s="76">
        <v>142742</v>
      </c>
      <c r="K6" s="76">
        <v>0</v>
      </c>
      <c r="L6" s="76">
        <v>420629.98984142789</v>
      </c>
      <c r="M6" s="76">
        <v>5421074.2654714445</v>
      </c>
      <c r="N6" s="76">
        <v>0</v>
      </c>
      <c r="O6" s="76">
        <v>7949378.1351335607</v>
      </c>
    </row>
    <row r="7" spans="1:15" x14ac:dyDescent="0.25">
      <c r="A7" s="78">
        <v>2030</v>
      </c>
      <c r="B7" s="76">
        <v>2.825725611182861E-2</v>
      </c>
      <c r="C7" s="76">
        <v>278262.69869425741</v>
      </c>
      <c r="D7" s="76">
        <v>341.41020267689601</v>
      </c>
      <c r="E7" s="76">
        <v>0</v>
      </c>
      <c r="F7" s="76">
        <v>230492.09773600774</v>
      </c>
      <c r="G7" s="76">
        <v>339241.60538953869</v>
      </c>
      <c r="H7" s="76">
        <v>561962.44405162125</v>
      </c>
      <c r="I7" s="76">
        <v>0</v>
      </c>
      <c r="J7" s="76">
        <v>142742</v>
      </c>
      <c r="K7" s="76">
        <v>1.7882371145836942</v>
      </c>
      <c r="L7" s="76">
        <v>448189.3811495062</v>
      </c>
      <c r="M7" s="76">
        <v>5421074.2654714435</v>
      </c>
      <c r="N7" s="76">
        <v>6471.3352811379264</v>
      </c>
      <c r="O7" s="76">
        <v>7428779.0544705596</v>
      </c>
    </row>
    <row r="8" spans="1:15" x14ac:dyDescent="0.25">
      <c r="A8" s="78">
        <v>2050</v>
      </c>
      <c r="B8" s="76">
        <v>0.18489040050189942</v>
      </c>
      <c r="C8" s="76">
        <v>302908.63644307404</v>
      </c>
      <c r="D8" s="76">
        <v>0</v>
      </c>
      <c r="E8" s="76">
        <v>0.11492812394862995</v>
      </c>
      <c r="F8" s="76">
        <v>240323.30635398987</v>
      </c>
      <c r="G8" s="76">
        <v>321390.3174930528</v>
      </c>
      <c r="H8" s="76">
        <v>295363.07582411153</v>
      </c>
      <c r="I8" s="76">
        <v>6687.6021110492293</v>
      </c>
      <c r="J8" s="76">
        <v>142742</v>
      </c>
      <c r="K8" s="76">
        <v>1.7882371145836942</v>
      </c>
      <c r="L8" s="76">
        <v>469066.24706579954</v>
      </c>
      <c r="M8" s="76">
        <v>5421074.2654714435</v>
      </c>
      <c r="N8" s="76">
        <v>10022.720523770717</v>
      </c>
      <c r="O8" s="76">
        <v>7209580.259341931</v>
      </c>
    </row>
    <row r="9" spans="1:15" x14ac:dyDescent="0.25">
      <c r="A9" s="78" t="s">
        <v>62</v>
      </c>
      <c r="B9" s="76">
        <v>370459.88762915425</v>
      </c>
      <c r="C9" s="76">
        <v>784820.95614283753</v>
      </c>
      <c r="D9" s="76">
        <v>341.41020267689601</v>
      </c>
      <c r="E9" s="76">
        <v>282332.14526922622</v>
      </c>
      <c r="F9" s="76">
        <v>470815.40408999758</v>
      </c>
      <c r="G9" s="76">
        <v>1769122.4768751739</v>
      </c>
      <c r="H9" s="76">
        <v>857325.51987573272</v>
      </c>
      <c r="I9" s="76">
        <v>6687.6021110492293</v>
      </c>
      <c r="J9" s="76">
        <v>428226</v>
      </c>
      <c r="K9" s="76">
        <v>3.5764742291673883</v>
      </c>
      <c r="L9" s="76">
        <v>1337885.6180567336</v>
      </c>
      <c r="M9" s="76">
        <v>16263222.796414331</v>
      </c>
      <c r="N9" s="76">
        <v>16494.055804908643</v>
      </c>
      <c r="O9" s="76">
        <v>22587737.448946051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3" bestFit="1" customWidth="1"/>
    <col min="2" max="2" width="16.28515625" style="173" bestFit="1" customWidth="1"/>
    <col min="3" max="3" width="9.140625" style="173" bestFit="1" customWidth="1"/>
    <col min="4" max="4" width="11" style="173" bestFit="1" customWidth="1"/>
    <col min="5" max="5" width="11.5703125" style="173" bestFit="1" customWidth="1"/>
    <col min="6" max="6" width="11.140625" style="173" bestFit="1" customWidth="1"/>
    <col min="7" max="8" width="9.85546875" style="173" bestFit="1" customWidth="1"/>
    <col min="9" max="9" width="5.5703125" style="173" bestFit="1" customWidth="1"/>
    <col min="10" max="10" width="13.140625" style="173" bestFit="1" customWidth="1"/>
    <col min="11" max="12" width="9.85546875" style="173" bestFit="1" customWidth="1"/>
    <col min="13" max="13" width="13.85546875" style="173" bestFit="1" customWidth="1"/>
    <col min="14" max="14" width="9.85546875" style="173" bestFit="1" customWidth="1"/>
    <col min="15" max="15" width="16" style="173" bestFit="1" customWidth="1"/>
    <col min="16" max="16" width="10" style="173" bestFit="1" customWidth="1"/>
    <col min="17" max="17" width="8.7109375" style="173" bestFit="1" customWidth="1"/>
    <col min="18" max="18" width="11" style="173" bestFit="1" customWidth="1"/>
    <col min="19" max="19" width="9.85546875" style="173" bestFit="1" customWidth="1"/>
    <col min="20" max="20" width="21" style="173" bestFit="1" customWidth="1"/>
    <col min="21" max="21" width="20.7109375" style="173" bestFit="1" customWidth="1"/>
    <col min="22" max="22" width="9.85546875" style="173" bestFit="1" customWidth="1"/>
    <col min="23" max="23" width="7.140625" style="173" bestFit="1" customWidth="1"/>
    <col min="24" max="24" width="13.85546875" style="173" bestFit="1" customWidth="1"/>
    <col min="25" max="25" width="10.140625" style="173" bestFit="1" customWidth="1"/>
    <col min="26" max="26" width="12.140625" style="173" bestFit="1" customWidth="1"/>
    <col min="27" max="27" width="16" style="173" bestFit="1" customWidth="1"/>
    <col min="28" max="28" width="8.85546875" style="173" bestFit="1" customWidth="1"/>
    <col min="29" max="30" width="9.85546875" style="173" bestFit="1" customWidth="1"/>
    <col min="31" max="31" width="9.28515625" style="173" bestFit="1" customWidth="1"/>
    <col min="32" max="33" width="11.28515625" style="173" bestFit="1" customWidth="1"/>
    <col min="34" max="34" width="8.85546875" style="173" bestFit="1" customWidth="1"/>
    <col min="35" max="35" width="15.42578125" style="173" bestFit="1" customWidth="1"/>
    <col min="36" max="36" width="16" style="173" bestFit="1" customWidth="1"/>
    <col min="37" max="37" width="8.85546875" style="173" bestFit="1" customWidth="1"/>
    <col min="38" max="38" width="12.5703125" style="173" bestFit="1" customWidth="1"/>
    <col min="39" max="39" width="10.42578125" style="173" bestFit="1" customWidth="1"/>
    <col min="40" max="40" width="12.28515625" style="173" bestFit="1" customWidth="1"/>
    <col min="41" max="41" width="14.5703125" style="173" bestFit="1" customWidth="1"/>
    <col min="42" max="43" width="9.85546875" style="173" bestFit="1" customWidth="1"/>
    <col min="44" max="44" width="14" style="173" bestFit="1" customWidth="1"/>
    <col min="45" max="45" width="6.7109375" style="173" bestFit="1" customWidth="1"/>
    <col min="46" max="46" width="9.28515625" style="173" bestFit="1" customWidth="1"/>
    <col min="47" max="47" width="8.5703125" style="173" bestFit="1" customWidth="1"/>
    <col min="48" max="48" width="12" style="173" bestFit="1" customWidth="1"/>
    <col min="49" max="49" width="12.28515625" style="173" bestFit="1" customWidth="1"/>
    <col min="50" max="50" width="13.28515625" style="173" bestFit="1" customWidth="1"/>
    <col min="51" max="51" width="13.42578125" style="173" bestFit="1" customWidth="1"/>
    <col min="52" max="52" width="20.85546875" style="173" bestFit="1" customWidth="1"/>
    <col min="53" max="54" width="12.28515625" style="173" bestFit="1" customWidth="1"/>
    <col min="55" max="55" width="13.28515625" style="173" bestFit="1" customWidth="1"/>
    <col min="56" max="59" width="12.28515625" style="173" bestFit="1" customWidth="1"/>
    <col min="60" max="60" width="13.28515625" style="173" bestFit="1" customWidth="1"/>
    <col min="61" max="61" width="13.42578125" style="173" bestFit="1" customWidth="1"/>
    <col min="62" max="62" width="20.85546875" style="173" bestFit="1" customWidth="1"/>
    <col min="63" max="64" width="12.28515625" style="173" bestFit="1" customWidth="1"/>
    <col min="65" max="65" width="13.28515625" style="173" bestFit="1" customWidth="1"/>
    <col min="66" max="66" width="13.42578125" style="173" bestFit="1" customWidth="1"/>
    <col min="67" max="67" width="20.85546875" style="173" bestFit="1" customWidth="1"/>
    <col min="68" max="69" width="11.28515625" style="173" bestFit="1" customWidth="1"/>
    <col min="70" max="70" width="13.28515625" style="173" bestFit="1" customWidth="1"/>
    <col min="71" max="71" width="13.42578125" style="173" bestFit="1" customWidth="1"/>
    <col min="72" max="72" width="12.28515625" style="173" bestFit="1" customWidth="1"/>
    <col min="73" max="73" width="16.85546875" style="173" bestFit="1" customWidth="1"/>
    <col min="74" max="74" width="12.28515625" style="173" bestFit="1" customWidth="1"/>
    <col min="75" max="75" width="13.28515625" style="173" bestFit="1" customWidth="1"/>
    <col min="76" max="76" width="13.42578125" style="173" bestFit="1" customWidth="1"/>
    <col min="77" max="77" width="12.28515625" style="173" bestFit="1" customWidth="1"/>
    <col min="78" max="78" width="16.85546875" style="173" bestFit="1" customWidth="1"/>
    <col min="79" max="79" width="12.28515625" style="173" bestFit="1" customWidth="1"/>
    <col min="80" max="80" width="13.28515625" style="173" bestFit="1" customWidth="1"/>
    <col min="81" max="81" width="13.42578125" style="173" bestFit="1" customWidth="1"/>
    <col min="82" max="82" width="12.28515625" style="173" bestFit="1" customWidth="1"/>
    <col min="83" max="83" width="15.85546875" style="173" bestFit="1" customWidth="1"/>
    <col min="84" max="84" width="12.28515625" style="173" bestFit="1" customWidth="1"/>
    <col min="85" max="85" width="13.28515625" style="173" bestFit="1" customWidth="1"/>
    <col min="86" max="89" width="11.7109375" style="173" bestFit="1" customWidth="1"/>
    <col min="90" max="90" width="14.28515625" style="173" bestFit="1" customWidth="1"/>
    <col min="91" max="91" width="13.42578125" style="173" bestFit="1" customWidth="1"/>
    <col min="92" max="92" width="20.85546875" style="173" bestFit="1" customWidth="1"/>
    <col min="93" max="94" width="11.7109375" style="173" bestFit="1" customWidth="1"/>
    <col min="95" max="95" width="14.28515625" style="173" bestFit="1" customWidth="1"/>
    <col min="96" max="96" width="13.42578125" style="173" bestFit="1" customWidth="1"/>
    <col min="97" max="97" width="20.85546875" style="173" bestFit="1" customWidth="1"/>
    <col min="98" max="99" width="12.28515625" style="173" bestFit="1" customWidth="1"/>
    <col min="100" max="100" width="14.28515625" style="173" bestFit="1" customWidth="1"/>
    <col min="101" max="101" width="12.28515625" style="173" bestFit="1" customWidth="1"/>
    <col min="102" max="103" width="13.28515625" style="173" bestFit="1" customWidth="1"/>
    <col min="104" max="104" width="13.42578125" style="173" bestFit="1" customWidth="1"/>
    <col min="105" max="105" width="20.85546875" style="173" bestFit="1" customWidth="1"/>
    <col min="106" max="107" width="12.28515625" style="173" bestFit="1" customWidth="1"/>
    <col min="108" max="109" width="13.28515625" style="173" bestFit="1" customWidth="1"/>
    <col min="110" max="113" width="11.7109375" style="173" bestFit="1" customWidth="1"/>
    <col min="114" max="115" width="13.28515625" style="173" bestFit="1" customWidth="1"/>
    <col min="116" max="116" width="13.42578125" style="173" bestFit="1" customWidth="1"/>
    <col min="117" max="117" width="20.85546875" style="173" bestFit="1" customWidth="1"/>
    <col min="118" max="120" width="11.7109375" style="173" bestFit="1" customWidth="1"/>
    <col min="121" max="121" width="13.28515625" style="173" bestFit="1" customWidth="1"/>
    <col min="122" max="122" width="13.42578125" style="173" bestFit="1" customWidth="1"/>
    <col min="123" max="123" width="12.28515625" style="173" bestFit="1" customWidth="1"/>
    <col min="124" max="124" width="15.85546875" style="173" bestFit="1" customWidth="1"/>
    <col min="125" max="125" width="12.28515625" style="173" bestFit="1" customWidth="1"/>
    <col min="126" max="127" width="13.28515625" style="173" bestFit="1" customWidth="1"/>
    <col min="128" max="128" width="13.42578125" style="173" bestFit="1" customWidth="1"/>
    <col min="129" max="129" width="20.85546875" style="173" bestFit="1" customWidth="1"/>
    <col min="130" max="131" width="11.28515625" style="173" bestFit="1" customWidth="1"/>
    <col min="132" max="133" width="13.28515625" style="173" bestFit="1" customWidth="1"/>
    <col min="134" max="134" width="13.42578125" style="173" bestFit="1" customWidth="1"/>
    <col min="135" max="135" width="20.85546875" style="173" bestFit="1" customWidth="1"/>
    <col min="136" max="137" width="12.28515625" style="173" bestFit="1" customWidth="1"/>
    <col min="138" max="139" width="13.28515625" style="173" bestFit="1" customWidth="1"/>
    <col min="140" max="143" width="12.28515625" style="173" bestFit="1" customWidth="1"/>
    <col min="144" max="145" width="13.28515625" style="173" bestFit="1" customWidth="1"/>
    <col min="146" max="146" width="13.42578125" style="173" bestFit="1" customWidth="1"/>
    <col min="147" max="147" width="12.28515625" style="173" bestFit="1" customWidth="1"/>
    <col min="148" max="148" width="16.85546875" style="173" bestFit="1" customWidth="1"/>
    <col min="149" max="149" width="12.28515625" style="173" bestFit="1" customWidth="1"/>
    <col min="150" max="151" width="13.28515625" style="173" bestFit="1" customWidth="1"/>
    <col min="152" max="152" width="13.42578125" style="173" bestFit="1" customWidth="1"/>
    <col min="153" max="153" width="12.28515625" style="173" bestFit="1" customWidth="1"/>
    <col min="154" max="154" width="16.85546875" style="173" bestFit="1" customWidth="1"/>
    <col min="155" max="155" width="12.28515625" style="173" bestFit="1" customWidth="1"/>
    <col min="156" max="157" width="13.28515625" style="173" bestFit="1" customWidth="1"/>
    <col min="158" max="158" width="13.42578125" style="173" bestFit="1" customWidth="1"/>
    <col min="159" max="159" width="20.85546875" style="173" bestFit="1" customWidth="1"/>
    <col min="160" max="161" width="12.28515625" style="173" bestFit="1" customWidth="1"/>
    <col min="162" max="163" width="14.28515625" style="173" bestFit="1" customWidth="1"/>
    <col min="164" max="164" width="13.42578125" style="173" bestFit="1" customWidth="1"/>
    <col min="165" max="165" width="20.85546875" style="173" bestFit="1" customWidth="1"/>
    <col min="166" max="167" width="11.7109375" style="173" bestFit="1" customWidth="1"/>
    <col min="168" max="169" width="14.28515625" style="173" bestFit="1" customWidth="1"/>
    <col min="170" max="173" width="11.7109375" style="173" bestFit="1" customWidth="1"/>
    <col min="174" max="175" width="14.28515625" style="173" bestFit="1" customWidth="1"/>
    <col min="176" max="176" width="12.28515625" style="173" bestFit="1" customWidth="1"/>
    <col min="177" max="16384" width="9.140625" style="173"/>
  </cols>
  <sheetData>
    <row r="2" spans="1:48" x14ac:dyDescent="0.25">
      <c r="A2" s="77" t="s">
        <v>329</v>
      </c>
      <c r="B2" s="78">
        <v>1</v>
      </c>
    </row>
    <row r="4" spans="1:48" x14ac:dyDescent="0.25">
      <c r="A4" s="77" t="s">
        <v>270</v>
      </c>
      <c r="B4" s="77" t="s">
        <v>63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7" t="s">
        <v>61</v>
      </c>
      <c r="B5" s="173" t="s">
        <v>15</v>
      </c>
      <c r="C5" s="173" t="s">
        <v>50</v>
      </c>
      <c r="D5" s="173" t="s">
        <v>113</v>
      </c>
      <c r="E5" s="173" t="s">
        <v>103</v>
      </c>
      <c r="F5" s="173" t="s">
        <v>98</v>
      </c>
      <c r="G5" s="173" t="s">
        <v>116</v>
      </c>
      <c r="H5" s="173" t="s">
        <v>52</v>
      </c>
      <c r="I5" s="173" t="s">
        <v>69</v>
      </c>
      <c r="J5" s="173" t="s">
        <v>105</v>
      </c>
      <c r="K5" s="173" t="s">
        <v>12</v>
      </c>
      <c r="L5" s="173" t="s">
        <v>49</v>
      </c>
      <c r="M5" s="173" t="s">
        <v>111</v>
      </c>
      <c r="N5" s="173" t="s">
        <v>54</v>
      </c>
      <c r="O5" s="173" t="s">
        <v>119</v>
      </c>
      <c r="P5" s="173" t="s">
        <v>109</v>
      </c>
      <c r="Q5" s="173" t="s">
        <v>14</v>
      </c>
      <c r="R5" s="173" t="s">
        <v>120</v>
      </c>
      <c r="S5" s="173" t="s">
        <v>53</v>
      </c>
      <c r="T5" s="173" t="s">
        <v>124</v>
      </c>
      <c r="U5" s="173" t="s">
        <v>110</v>
      </c>
      <c r="V5" s="173" t="s">
        <v>13</v>
      </c>
      <c r="W5" s="173" t="s">
        <v>101</v>
      </c>
      <c r="X5" s="173" t="s">
        <v>121</v>
      </c>
      <c r="Y5" s="173" t="s">
        <v>142</v>
      </c>
      <c r="Z5" s="173" t="s">
        <v>143</v>
      </c>
      <c r="AA5" s="173" t="s">
        <v>146</v>
      </c>
      <c r="AB5" s="173" t="s">
        <v>217</v>
      </c>
      <c r="AC5" s="173" t="s">
        <v>57</v>
      </c>
      <c r="AD5" s="173" t="s">
        <v>56</v>
      </c>
      <c r="AE5" s="173" t="s">
        <v>250</v>
      </c>
      <c r="AF5" s="173" t="s">
        <v>62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78">
        <v>2019</v>
      </c>
      <c r="B6" s="99">
        <v>176596.89940199585</v>
      </c>
      <c r="C6" s="99">
        <v>212711.00975574681</v>
      </c>
      <c r="D6" s="99">
        <v>3230529.0722415121</v>
      </c>
      <c r="E6" s="99">
        <v>1352218.0071428574</v>
      </c>
      <c r="F6" s="99">
        <v>138275.28002889914</v>
      </c>
      <c r="G6" s="99">
        <v>1502558.0356082148</v>
      </c>
      <c r="H6" s="99">
        <v>4118003.7103001666</v>
      </c>
      <c r="I6" s="99"/>
      <c r="J6" s="99"/>
      <c r="K6" s="99">
        <v>2040873.7508661344</v>
      </c>
      <c r="L6" s="99">
        <v>1974670.329311419</v>
      </c>
      <c r="M6" s="99">
        <v>51892.132620096323</v>
      </c>
      <c r="N6" s="99">
        <v>1266262.2462674922</v>
      </c>
      <c r="O6" s="99">
        <v>2536783.2413289398</v>
      </c>
      <c r="P6" s="99">
        <v>880.1</v>
      </c>
      <c r="Q6" s="99">
        <v>8064.2063400965635</v>
      </c>
      <c r="R6" s="99">
        <v>5269000</v>
      </c>
      <c r="S6" s="99">
        <v>1656364.6415009145</v>
      </c>
      <c r="T6" s="99">
        <v>217010.36743552322</v>
      </c>
      <c r="U6" s="99">
        <v>105946.31157195524</v>
      </c>
      <c r="V6" s="99">
        <v>1382651.4311789067</v>
      </c>
      <c r="W6" s="99">
        <v>76.5</v>
      </c>
      <c r="X6" s="99">
        <v>827693.20492220437</v>
      </c>
      <c r="Y6" s="99">
        <v>3272565.4875000007</v>
      </c>
      <c r="Z6" s="99">
        <v>1078.6499999999999</v>
      </c>
      <c r="AA6" s="99">
        <v>4368323.901678659</v>
      </c>
      <c r="AB6" s="99"/>
      <c r="AC6" s="99">
        <v>911574.64248506655</v>
      </c>
      <c r="AD6" s="99">
        <v>2005102.1714007764</v>
      </c>
      <c r="AE6" s="99">
        <v>98826.033045954537</v>
      </c>
      <c r="AF6" s="99">
        <v>38726531.363933533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78">
        <v>2030</v>
      </c>
      <c r="B7" s="99">
        <v>170946.30461315686</v>
      </c>
      <c r="C7" s="99">
        <v>137109.03167802229</v>
      </c>
      <c r="D7" s="99">
        <v>3891686.2575127915</v>
      </c>
      <c r="E7" s="99">
        <v>467777.39417935623</v>
      </c>
      <c r="F7" s="99">
        <v>131018.05015567706</v>
      </c>
      <c r="G7" s="99">
        <v>1121036.0604266715</v>
      </c>
      <c r="H7" s="99">
        <v>44494.197606562637</v>
      </c>
      <c r="I7" s="99"/>
      <c r="J7" s="99">
        <v>0.40288562423666008</v>
      </c>
      <c r="K7" s="99"/>
      <c r="L7" s="99">
        <v>20688.370813856833</v>
      </c>
      <c r="M7" s="99">
        <v>34449.731880352119</v>
      </c>
      <c r="N7" s="99"/>
      <c r="O7" s="99">
        <v>2468531.1111667752</v>
      </c>
      <c r="P7" s="99">
        <v>95406.837717421964</v>
      </c>
      <c r="Q7" s="99">
        <v>1709.9716434609509</v>
      </c>
      <c r="R7" s="99">
        <v>5216592.6341052745</v>
      </c>
      <c r="S7" s="99">
        <v>1434089.1049770473</v>
      </c>
      <c r="T7" s="99">
        <v>213658.900448664</v>
      </c>
      <c r="U7" s="99">
        <v>103730.08649485061</v>
      </c>
      <c r="V7" s="99">
        <v>1350281.1539118693</v>
      </c>
      <c r="W7" s="99">
        <v>7079.3130418235296</v>
      </c>
      <c r="X7" s="99">
        <v>783291.25515859458</v>
      </c>
      <c r="Y7" s="99">
        <v>1126409.156604161</v>
      </c>
      <c r="Z7" s="99">
        <v>768.64888515935843</v>
      </c>
      <c r="AA7" s="99">
        <v>3658982.5441344669</v>
      </c>
      <c r="AB7" s="99">
        <v>4144.2619618098342</v>
      </c>
      <c r="AC7" s="99">
        <v>679098.34691830049</v>
      </c>
      <c r="AD7" s="99">
        <v>569927.74114280404</v>
      </c>
      <c r="AE7" s="99"/>
      <c r="AF7" s="99">
        <v>23732906.870064557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78">
        <v>2050</v>
      </c>
      <c r="B8" s="99">
        <v>162317.36767727343</v>
      </c>
      <c r="C8" s="99">
        <v>133620.35366271777</v>
      </c>
      <c r="D8" s="99">
        <v>6396531.7307385029</v>
      </c>
      <c r="E8" s="99">
        <v>392125.88231328258</v>
      </c>
      <c r="F8" s="99">
        <v>119570.06432731522</v>
      </c>
      <c r="G8" s="99">
        <v>1110059.524082453</v>
      </c>
      <c r="H8" s="99">
        <v>239732.89906206005</v>
      </c>
      <c r="I8" s="99">
        <v>1.1641532182693481E-10</v>
      </c>
      <c r="J8" s="99"/>
      <c r="K8" s="99"/>
      <c r="L8" s="99">
        <v>316.79332798323594</v>
      </c>
      <c r="M8" s="99">
        <v>2199.2700615431677</v>
      </c>
      <c r="N8" s="99"/>
      <c r="O8" s="99">
        <v>2368708.1871831375</v>
      </c>
      <c r="P8" s="99">
        <v>217790.44170925685</v>
      </c>
      <c r="Q8" s="99"/>
      <c r="R8" s="99">
        <v>5119693.0284815514</v>
      </c>
      <c r="S8" s="99">
        <v>1428486.5239850583</v>
      </c>
      <c r="T8" s="99">
        <v>207462.14120035616</v>
      </c>
      <c r="U8" s="99">
        <v>99632.354577237478</v>
      </c>
      <c r="V8" s="99">
        <v>1297233.4809750344</v>
      </c>
      <c r="W8" s="99">
        <v>7079.3130418235305</v>
      </c>
      <c r="X8" s="99">
        <v>760237.19321567786</v>
      </c>
      <c r="Y8" s="99">
        <v>920737.996376556</v>
      </c>
      <c r="Z8" s="99">
        <v>453.59060582133304</v>
      </c>
      <c r="AA8" s="99">
        <v>1524422.8179243379</v>
      </c>
      <c r="AB8" s="99">
        <v>1657.7047847239328</v>
      </c>
      <c r="AC8" s="99">
        <v>668798.3131816989</v>
      </c>
      <c r="AD8" s="99">
        <v>563246.17498841672</v>
      </c>
      <c r="AE8" s="99"/>
      <c r="AF8" s="99">
        <v>23742113.147483822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78" t="s">
        <v>62</v>
      </c>
      <c r="B9" s="99">
        <v>509860.57169242611</v>
      </c>
      <c r="C9" s="99">
        <v>483440.3950964869</v>
      </c>
      <c r="D9" s="99">
        <v>13518747.060492806</v>
      </c>
      <c r="E9" s="99">
        <v>2212121.2836354962</v>
      </c>
      <c r="F9" s="99">
        <v>388863.39451189141</v>
      </c>
      <c r="G9" s="99">
        <v>3733653.6201173393</v>
      </c>
      <c r="H9" s="99">
        <v>4402230.8069687895</v>
      </c>
      <c r="I9" s="99">
        <v>1.1641532182693481E-10</v>
      </c>
      <c r="J9" s="99">
        <v>0.40288562423666008</v>
      </c>
      <c r="K9" s="99">
        <v>2040873.7508661344</v>
      </c>
      <c r="L9" s="99">
        <v>1995675.4934532591</v>
      </c>
      <c r="M9" s="99">
        <v>88541.13456199161</v>
      </c>
      <c r="N9" s="99">
        <v>1266262.2462674922</v>
      </c>
      <c r="O9" s="99">
        <v>7374022.539678853</v>
      </c>
      <c r="P9" s="99">
        <v>314077.37942667882</v>
      </c>
      <c r="Q9" s="99">
        <v>9774.1779835575144</v>
      </c>
      <c r="R9" s="99">
        <v>15605285.662586827</v>
      </c>
      <c r="S9" s="99">
        <v>4518940.2704630196</v>
      </c>
      <c r="T9" s="99">
        <v>638131.40908454335</v>
      </c>
      <c r="U9" s="99">
        <v>309308.7526440433</v>
      </c>
      <c r="V9" s="99">
        <v>4030166.0660658106</v>
      </c>
      <c r="W9" s="99">
        <v>14235.126083647061</v>
      </c>
      <c r="X9" s="99">
        <v>2371221.6532964767</v>
      </c>
      <c r="Y9" s="99">
        <v>5319712.6404807186</v>
      </c>
      <c r="Z9" s="99">
        <v>2300.8894909806913</v>
      </c>
      <c r="AA9" s="99">
        <v>9551729.2637374643</v>
      </c>
      <c r="AB9" s="99">
        <v>5801.966746533767</v>
      </c>
      <c r="AC9" s="99">
        <v>2259471.3025850658</v>
      </c>
      <c r="AD9" s="99">
        <v>3138276.0875319969</v>
      </c>
      <c r="AE9" s="99">
        <v>98826.033045954537</v>
      </c>
      <c r="AF9" s="99">
        <v>86201551.381481916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58" t="s">
        <v>24</v>
      </c>
      <c r="B1" s="359"/>
      <c r="C1" s="359"/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59"/>
      <c r="T1" s="359"/>
      <c r="U1" s="360"/>
      <c r="W1" s="32"/>
      <c r="X1" s="29">
        <f>År1</f>
        <v>2019</v>
      </c>
      <c r="Y1" s="25">
        <f>År2</f>
        <v>2030</v>
      </c>
      <c r="Z1" s="30">
        <f>År3</f>
        <v>2050</v>
      </c>
    </row>
    <row r="2" spans="1:26" x14ac:dyDescent="0.25">
      <c r="A2" s="61"/>
      <c r="B2" s="62"/>
      <c r="C2" s="364" t="s">
        <v>7</v>
      </c>
      <c r="D2" s="365"/>
      <c r="E2" s="365"/>
      <c r="F2" s="365"/>
      <c r="G2" s="365"/>
      <c r="H2" s="365"/>
      <c r="I2" s="365"/>
      <c r="J2" s="365"/>
      <c r="K2" s="366"/>
      <c r="L2" s="364" t="s">
        <v>8</v>
      </c>
      <c r="M2" s="365"/>
      <c r="N2" s="365"/>
      <c r="O2" s="365"/>
      <c r="P2" s="365"/>
      <c r="Q2" s="365"/>
      <c r="R2" s="365"/>
      <c r="S2" s="365"/>
      <c r="T2" s="366"/>
      <c r="U2" s="71"/>
      <c r="W2" s="31" t="s">
        <v>298</v>
      </c>
      <c r="X2" s="35">
        <f>C23+C50</f>
        <v>11808068</v>
      </c>
      <c r="Y2" s="11">
        <f>D23+D50</f>
        <v>11613981.348523566</v>
      </c>
      <c r="Z2" s="23">
        <f>E23+E50</f>
        <v>11168804.040691316</v>
      </c>
    </row>
    <row r="3" spans="1:26" ht="15.75" thickBot="1" x14ac:dyDescent="0.3">
      <c r="A3" s="61"/>
      <c r="B3" s="63"/>
      <c r="C3" s="174">
        <f>År1</f>
        <v>2019</v>
      </c>
      <c r="D3" s="174">
        <f>År1</f>
        <v>2019</v>
      </c>
      <c r="E3" s="174">
        <f>År1</f>
        <v>2019</v>
      </c>
      <c r="F3" s="175">
        <f>År2</f>
        <v>2030</v>
      </c>
      <c r="G3" s="175">
        <f>År2</f>
        <v>2030</v>
      </c>
      <c r="H3" s="175">
        <f>År2</f>
        <v>2030</v>
      </c>
      <c r="I3" s="175">
        <f>År3</f>
        <v>2050</v>
      </c>
      <c r="J3" s="175">
        <f>År3</f>
        <v>2050</v>
      </c>
      <c r="K3" s="175">
        <f>År3</f>
        <v>2050</v>
      </c>
      <c r="L3" s="174">
        <f>År1</f>
        <v>2019</v>
      </c>
      <c r="M3" s="174">
        <f>År1</f>
        <v>2019</v>
      </c>
      <c r="N3" s="174">
        <f>År1</f>
        <v>2019</v>
      </c>
      <c r="O3" s="175">
        <f>År2</f>
        <v>2030</v>
      </c>
      <c r="P3" s="175">
        <f>År2</f>
        <v>2030</v>
      </c>
      <c r="Q3" s="175">
        <f>År2</f>
        <v>2030</v>
      </c>
      <c r="R3" s="175">
        <f>År3</f>
        <v>2050</v>
      </c>
      <c r="S3" s="175">
        <f>År3</f>
        <v>2050</v>
      </c>
      <c r="T3" s="175">
        <f>År3</f>
        <v>2050</v>
      </c>
      <c r="U3" s="71"/>
      <c r="W3" s="31" t="s">
        <v>299</v>
      </c>
      <c r="X3" s="35">
        <f t="shared" ref="X3:Z4" si="0">C24+C51</f>
        <v>1267084</v>
      </c>
      <c r="Y3" s="11">
        <f t="shared" si="0"/>
        <v>1232959.2457426467</v>
      </c>
      <c r="Z3" s="23">
        <f t="shared" si="0"/>
        <v>1172869.6474243198</v>
      </c>
    </row>
    <row r="4" spans="1:26" ht="15.75" thickBot="1" x14ac:dyDescent="0.3">
      <c r="A4" s="61"/>
      <c r="B4" s="40" t="s">
        <v>30</v>
      </c>
      <c r="C4" s="29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0" t="str">
        <f>Organ12</f>
        <v>OC12</v>
      </c>
      <c r="L4" s="29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0" t="str">
        <f>Organ12</f>
        <v>OC12</v>
      </c>
      <c r="U4" s="71"/>
      <c r="W4" s="46" t="s">
        <v>300</v>
      </c>
      <c r="X4" s="48">
        <f t="shared" si="0"/>
        <v>19782594</v>
      </c>
      <c r="Y4" s="16">
        <f t="shared" si="0"/>
        <v>19328402.782654595</v>
      </c>
      <c r="Z4" s="24">
        <f t="shared" si="0"/>
        <v>18416921.146918636</v>
      </c>
    </row>
    <row r="5" spans="1:26" x14ac:dyDescent="0.25">
      <c r="A5" s="61"/>
      <c r="B5" s="41" t="str">
        <f>[1]Afgrødefordeling!C2</f>
        <v>Korn</v>
      </c>
      <c r="C5" s="35">
        <f>VLOOKUP($B5,'[1]Afgrødefordeling - jordtype'!$F$4:$I$17,MATCH(C$4,'[1]Afgrødefordeling - jordtype'!$F$3:$I$3,0),FALSE)*(1-Landbrug!$C$5)*Arealanvendelse!J$26</f>
        <v>853064.00210361299</v>
      </c>
      <c r="D5" s="35">
        <f>VLOOKUP($B5,'[1]Afgrødefordeling - jordtype'!$F$4:$I$17,MATCH(D$4,'[1]Afgrødefordeling - jordtype'!$F$3:$I$3,0),FALSE)*(1-Landbrug!$C$5)*Arealanvendelse!K$26</f>
        <v>23536.994348302134</v>
      </c>
      <c r="E5" s="35">
        <f>VLOOKUP($B5,'[1]Afgrødefordeling - jordtype'!$F$4:$I$17,MATCH(E$4,'[1]Afgrødefordeling - jordtype'!$F$3:$I$3,0),FALSE)*(1-Landbrug!$C$5)*Arealanvendelse!L$26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jordtype'!$F$3:$I$3,0),FALSE)+SUMIF(Landbrug!$B$32:$B$45,$B5,Landbrug!$D$32:$D$45))*(1-Landbrug!$D$5)*Arealanvendelse!M$26</f>
        <v>623601.64762370673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5" s="11">
        <f>(VLOOKUP($B5,'[1]Afgrødefordeling - jordtype'!$F$4:$I$17,MATCH(I$4,'[1]Afgrødefordeling - jordtype'!$F$3:$I$3,0),FALSE)+SUMIF(Landbrug!$B$32:$B$45,$B5,Landbrug!$E$32:$E$45))*(1-Landbrug!$E$5)*Arealanvendelse!P$26</f>
        <v>582945.73538311059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5" s="35">
        <f>VLOOKUP($B5,'[1]Afgrødefordeling - jordtype'!$F$4:$I$17,MATCH(C$4,'[1]Afgrødefordeling - jordtype'!$F$3:$I$3,0),FALSE)*(Landbrug!$C$5)*Arealanvendelse!J$26</f>
        <v>109074.05508995618</v>
      </c>
      <c r="M5" s="35">
        <f>VLOOKUP($B5,'[1]Afgrødefordeling - jordtype'!$F$4:$I$17,MATCH(D$4,'[1]Afgrødefordeling - jordtype'!$F$3:$I$3,0),FALSE)*(Landbrug!$C$5)*Arealanvendelse!K$26</f>
        <v>3009.4757390628633</v>
      </c>
      <c r="N5" s="35">
        <f>VLOOKUP($B5,'[1]Afgrødefordeling - jordtype'!$F$4:$I$17,MATCH(E$4,'[1]Afgrødefordeling - jordtype'!$F$3:$I$3,0),FALSE)*(Landbrug!$C$5)*Arealanvendelse!L$26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jordtype'!$F$3:$I$3,0),FALSE)+SUMIF(Landbrug!$B$32:$B$45,$B5,Landbrug!$D$32:$D$45))*(Landbrug!$D$5)*Arealanvendelse!M$26</f>
        <v>97325.112634913778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5" s="11">
        <f>(VLOOKUP($B5,'[1]Afgrødefordeling - jordtype'!$F$4:$I$17,MATCH(R$4,'[1]Afgrødefordeling - jordtype'!$F$3:$I$3,0),FALSE)+SUMIF(Landbrug!$B$32:$B$45,$B5,Landbrug!$E$32:$E$45))*(Landbrug!$E$5)*Arealanvendelse!P$26</f>
        <v>123655.15599035678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5" s="95"/>
      <c r="W5" s="31" t="s">
        <v>301</v>
      </c>
      <c r="X5" s="34">
        <f t="shared" ref="X5:Z7" si="1">F23+F50</f>
        <v>490924</v>
      </c>
      <c r="Y5" s="11">
        <f t="shared" si="1"/>
        <v>685010.65147643292</v>
      </c>
      <c r="Z5" s="23">
        <f t="shared" si="1"/>
        <v>1130187.9593086836</v>
      </c>
    </row>
    <row r="6" spans="1:26" x14ac:dyDescent="0.25">
      <c r="A6" s="61"/>
      <c r="B6" s="41" t="str">
        <f>[1]Afgrødefordeling!C3</f>
        <v>Bælgsæd</v>
      </c>
      <c r="C6" s="35">
        <f>VLOOKUP($B6,'[1]Afgrødefordeling - jordtype'!$F$4:$I$17,MATCH(C$4,'[1]Afgrødefordeling - jordtype'!$F$3:$I$3,0),FALSE)*(1-Landbrug!$C$5)*Arealanvendelse!J$26</f>
        <v>58939.484550716581</v>
      </c>
      <c r="D6" s="35">
        <f>VLOOKUP($B6,'[1]Afgrødefordeling - jordtype'!$F$4:$I$17,MATCH(D$4,'[1]Afgrødefordeling - jordtype'!$F$3:$I$3,0),FALSE)*(1-Landbrug!$C$5)*Arealanvendelse!K$26</f>
        <v>2017.6900814622547</v>
      </c>
      <c r="E6" s="35">
        <f>VLOOKUP($B6,'[1]Afgrødefordeling - jordtype'!$F$4:$I$17,MATCH(E$4,'[1]Afgrødefordeling - jordtype'!$F$3:$I$3,0),FALSE)*(1-Landbrug!$C$5)*Arealanvendelse!L$26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jordtype'!$F$3:$I$3,0),FALSE)+SUMIF(Landbrug!$B$32:$B$45,$B6,Landbrug!$D$32:$D$45))*(1-Landbrug!$D$5)*Arealanvendelse!M$26</f>
        <v>40924.577321691744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6" s="11">
        <f>(VLOOKUP($B6,'[1]Afgrødefordeling - jordtype'!$F$4:$I$17,MATCH(I$4,'[1]Afgrødefordeling - jordtype'!$F$3:$I$3,0),FALSE)+SUMIF(Landbrug!$B$32:$B$45,$B6,Landbrug!$E$32:$E$45))*(1-Landbrug!$E$5)*Arealanvendelse!P$26</f>
        <v>38013.824730586261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6" s="35">
        <f>VLOOKUP($B6,'[1]Afgrødefordeling - jordtype'!$F$4:$I$17,MATCH(C$4,'[1]Afgrødefordeling - jordtype'!$F$3:$I$3,0),FALSE)*(Landbrug!$C$5)*Arealanvendelse!J$26</f>
        <v>7536.0917457605292</v>
      </c>
      <c r="M6" s="35">
        <f>VLOOKUP($B6,'[1]Afgrødefordeling - jordtype'!$F$4:$I$17,MATCH(D$4,'[1]Afgrødefordeling - jordtype'!$F$3:$I$3,0),FALSE)*(Landbrug!$C$5)*Arealanvendelse!K$26</f>
        <v>257.98490917114276</v>
      </c>
      <c r="N6" s="35">
        <f>VLOOKUP($B6,'[1]Afgrødefordeling - jordtype'!$F$4:$I$17,MATCH(E$4,'[1]Afgrødefordeling - jordtype'!$F$3:$I$3,0),FALSE)*(Landbrug!$C$5)*Arealanvendelse!L$26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jordtype'!$F$3:$I$3,0),FALSE)+SUMIF(Landbrug!$B$32:$B$45,$B6,Landbrug!$D$32:$D$45))*(Landbrug!$D$5)*Arealanvendelse!M$26</f>
        <v>6387.072761188886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6" s="11">
        <f>(VLOOKUP($B6,'[1]Afgrødefordeling - jordtype'!$F$4:$I$17,MATCH(R$4,'[1]Afgrødefordeling - jordtype'!$F$3:$I$3,0),FALSE)+SUMIF(Landbrug!$B$32:$B$45,$B6,Landbrug!$E$32:$E$45))*(Landbrug!$E$5)*Arealanvendelse!P$26</f>
        <v>8063.5385792152683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6" s="95"/>
      <c r="W6" s="31" t="s">
        <v>302</v>
      </c>
      <c r="X6" s="34">
        <f t="shared" si="1"/>
        <v>224348</v>
      </c>
      <c r="Y6" s="11">
        <f t="shared" si="1"/>
        <v>258472.75425735323</v>
      </c>
      <c r="Z6" s="23">
        <f t="shared" si="1"/>
        <v>318562.35257568007</v>
      </c>
    </row>
    <row r="7" spans="1:26" ht="15.75" thickBot="1" x14ac:dyDescent="0.3">
      <c r="A7" s="61"/>
      <c r="B7" s="41" t="str">
        <f>[1]Afgrødefordeling!C4</f>
        <v>Raps</v>
      </c>
      <c r="C7" s="35">
        <f>VLOOKUP($B7,'[1]Afgrødefordeling - jordtype'!$F$4:$I$17,MATCH(C$4,'[1]Afgrødefordeling - jordtype'!$F$3:$I$3,0),FALSE)*(1-Landbrug!$C$5)*Arealanvendelse!J$26</f>
        <v>99115.06241944003</v>
      </c>
      <c r="D7" s="35">
        <f>VLOOKUP($B7,'[1]Afgrødefordeling - jordtype'!$F$4:$I$17,MATCH(D$4,'[1]Afgrødefordeling - jordtype'!$F$3:$I$3,0),FALSE)*(1-Landbrug!$C$5)*Arealanvendelse!K$26</f>
        <v>2160.5082355894242</v>
      </c>
      <c r="E7" s="35">
        <f>VLOOKUP($B7,'[1]Afgrødefordeling - jordtype'!$F$4:$I$17,MATCH(E$4,'[1]Afgrødefordeling - jordtype'!$F$3:$I$3,0),FALSE)*(1-Landbrug!$C$5)*Arealanvendelse!L$26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jordtype'!$F$3:$I$3,0),FALSE)+SUMIF(Landbrug!$B$32:$B$45,$B7,Landbrug!$D$32:$D$45))*(1-Landbrug!$D$5)*Arealanvendelse!M$26</f>
        <v>68820.453158838543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7" s="11">
        <f>(VLOOKUP($B7,'[1]Afgrødefordeling - jordtype'!$F$4:$I$17,MATCH(I$4,'[1]Afgrødefordeling - jordtype'!$F$3:$I$3,0),FALSE)+SUMIF(Landbrug!$B$32:$B$45,$B7,Landbrug!$E$32:$E$45))*(1-Landbrug!$E$5)*Arealanvendelse!P$26</f>
        <v>63925.611832109302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7" s="35">
        <f>VLOOKUP($B7,'[1]Afgrødefordeling - jordtype'!$F$4:$I$17,MATCH(C$4,'[1]Afgrødefordeling - jordtype'!$F$3:$I$3,0),FALSE)*(Landbrug!$C$5)*Arealanvendelse!J$26</f>
        <v>12673.001969281737</v>
      </c>
      <c r="M7" s="35">
        <f>VLOOKUP($B7,'[1]Afgrødefordeling - jordtype'!$F$4:$I$17,MATCH(D$4,'[1]Afgrødefordeling - jordtype'!$F$3:$I$3,0),FALSE)*(Landbrug!$C$5)*Arealanvendelse!K$26</f>
        <v>276.24585462505803</v>
      </c>
      <c r="N7" s="35">
        <f>VLOOKUP($B7,'[1]Afgrødefordeling - jordtype'!$F$4:$I$17,MATCH(E$4,'[1]Afgrødefordeling - jordtype'!$F$3:$I$3,0),FALSE)*(Landbrug!$C$5)*Arealanvendelse!L$26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jordtype'!$F$3:$I$3,0),FALSE)+SUMIF(Landbrug!$B$32:$B$45,$B7,Landbrug!$D$32:$D$45))*(Landbrug!$D$5)*Arealanvendelse!M$26</f>
        <v>10740.764365830293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7" s="11">
        <f>(VLOOKUP($B7,'[1]Afgrødefordeling - jordtype'!$F$4:$I$17,MATCH(R$4,'[1]Afgrødefordeling - jordtype'!$F$3:$I$3,0),FALSE)+SUMIF(Landbrug!$B$32:$B$45,$B7,Landbrug!$E$32:$E$45))*(Landbrug!$E$5)*Arealanvendelse!P$26</f>
        <v>13559.978267417126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7" s="95"/>
      <c r="W7" s="46" t="s">
        <v>303</v>
      </c>
      <c r="X7" s="47">
        <f t="shared" si="1"/>
        <v>3277287</v>
      </c>
      <c r="Y7" s="16">
        <f t="shared" si="1"/>
        <v>3731478.2173454049</v>
      </c>
      <c r="Z7" s="24">
        <f t="shared" si="1"/>
        <v>4642959.853081366</v>
      </c>
    </row>
    <row r="8" spans="1:26" x14ac:dyDescent="0.25">
      <c r="A8" s="61"/>
      <c r="B8" s="41" t="str">
        <f>[1]Afgrødefordeling!C5</f>
        <v>Græs</v>
      </c>
      <c r="C8" s="35">
        <f>VLOOKUP($B8,'[1]Afgrødefordeling - jordtype'!$F$4:$I$17,MATCH(C$4,'[1]Afgrødefordeling - jordtype'!$F$3:$I$3,0),FALSE)*(1-Landbrug!$C$5)*Arealanvendelse!J$26</f>
        <v>188981.25083524975</v>
      </c>
      <c r="D8" s="35">
        <f>VLOOKUP($B8,'[1]Afgrødefordeling - jordtype'!$F$4:$I$17,MATCH(D$4,'[1]Afgrødefordeling - jordtype'!$F$3:$I$3,0),FALSE)*(1-Landbrug!$C$5)*Arealanvendelse!K$26</f>
        <v>19937.932611161701</v>
      </c>
      <c r="E8" s="35">
        <f>VLOOKUP($B8,'[1]Afgrødefordeling - jordtype'!$F$4:$I$17,MATCH(E$4,'[1]Afgrødefordeling - jordtype'!$F$3:$I$3,0),FALSE)*(1-Landbrug!$C$5)*Arealanvendelse!L$26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jordtype'!$F$3:$I$3,0),FALSE)+SUMIF(Landbrug!$B$32:$B$45,$B8,Landbrug!$D$32:$D$45))*(1-Landbrug!$D$5)*Arealanvendelse!M$26</f>
        <v>139749.16893583816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8" s="11">
        <f>(VLOOKUP($B8,'[1]Afgrødefordeling - jordtype'!$F$4:$I$17,MATCH(I$4,'[1]Afgrødefordeling - jordtype'!$F$3:$I$3,0),FALSE)+SUMIF(Landbrug!$B$32:$B$45,$B8,Landbrug!$E$32:$E$45))*(1-Landbrug!$E$5)*Arealanvendelse!P$26</f>
        <v>136676.5701338283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8" s="35">
        <f>VLOOKUP($B8,'[1]Afgrødefordeling - jordtype'!$F$4:$I$17,MATCH(C$4,'[1]Afgrødefordeling - jordtype'!$F$3:$I$3,0),FALSE)*(Landbrug!$C$5)*Arealanvendelse!J$26</f>
        <v>24163.428903039348</v>
      </c>
      <c r="M8" s="35">
        <f>VLOOKUP($B8,'[1]Afgrødefordeling - jordtype'!$F$4:$I$17,MATCH(D$4,'[1]Afgrødefordeling - jordtype'!$F$3:$I$3,0),FALSE)*(Landbrug!$C$5)*Arealanvendelse!K$26</f>
        <v>2549.2942553512476</v>
      </c>
      <c r="N8" s="35">
        <f>VLOOKUP($B8,'[1]Afgrødefordeling - jordtype'!$F$4:$I$17,MATCH(E$4,'[1]Afgrødefordeling - jordtype'!$F$3:$I$3,0),FALSE)*(Landbrug!$C$5)*Arealanvendelse!L$26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jordtype'!$F$3:$I$3,0),FALSE)+SUMIF(Landbrug!$B$32:$B$45,$B8,Landbrug!$D$32:$D$45))*(Landbrug!$D$5)*Arealanvendelse!M$26</f>
        <v>21810.563937963179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8" s="11">
        <f>(VLOOKUP($B8,'[1]Afgrødefordeling - jordtype'!$F$4:$I$17,MATCH(R$4,'[1]Afgrødefordeling - jordtype'!$F$3:$I$3,0),FALSE)+SUMIF(Landbrug!$B$32:$B$45,$B8,Landbrug!$E$32:$E$45))*(Landbrug!$E$5)*Arealanvendelse!P$26</f>
        <v>28991.999725357517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8" s="95"/>
    </row>
    <row r="9" spans="1:26" x14ac:dyDescent="0.25">
      <c r="A9" s="61"/>
      <c r="B9" s="41" t="str">
        <f>[1]Afgrødefordeling!C6</f>
        <v>Grøntsager</v>
      </c>
      <c r="C9" s="35">
        <f>VLOOKUP($B9,'[1]Afgrødefordeling - jordtype'!$F$4:$I$17,MATCH(C$4,'[1]Afgrødefordeling - jordtype'!$F$3:$I$3,0),FALSE)*(1-Landbrug!$C$5)*Arealanvendelse!J$26</f>
        <v>7313.1446192208541</v>
      </c>
      <c r="D9" s="35">
        <f>VLOOKUP($B9,'[1]Afgrødefordeling - jordtype'!$F$4:$I$17,MATCH(D$4,'[1]Afgrødefordeling - jordtype'!$F$3:$I$3,0),FALSE)*(1-Landbrug!$C$5)*Arealanvendelse!K$26</f>
        <v>93.250460767730289</v>
      </c>
      <c r="E9" s="35">
        <f>VLOOKUP($B9,'[1]Afgrødefordeling - jordtype'!$F$4:$I$17,MATCH(E$4,'[1]Afgrødefordeling - jordtype'!$F$3:$I$3,0),FALSE)*(1-Landbrug!$C$5)*Arealanvendelse!L$26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jordtype'!$F$3:$I$3,0),FALSE)+SUMIF(Landbrug!$B$32:$B$45,$B9,Landbrug!$D$32:$D$45))*(1-Landbrug!$D$5)*Arealanvendelse!M$26</f>
        <v>5077.8752938785101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9" s="11">
        <f>(VLOOKUP($B9,'[1]Afgrødefordeling - jordtype'!$F$4:$I$17,MATCH(I$4,'[1]Afgrødefordeling - jordtype'!$F$3:$I$3,0),FALSE)+SUMIF(Landbrug!$B$32:$B$45,$B9,Landbrug!$E$32:$E$45))*(1-Landbrug!$E$5)*Arealanvendelse!P$26</f>
        <v>4716.7124026216434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9" s="35">
        <f>VLOOKUP($B9,'[1]Afgrødefordeling - jordtype'!$F$4:$I$17,MATCH(C$4,'[1]Afgrødefordeling - jordtype'!$F$3:$I$3,0),FALSE)*(Landbrug!$C$5)*Arealanvendelse!J$26</f>
        <v>935.06974518991217</v>
      </c>
      <c r="M9" s="35">
        <f>VLOOKUP($B9,'[1]Afgrødefordeling - jordtype'!$F$4:$I$17,MATCH(D$4,'[1]Afgrødefordeling - jordtype'!$F$3:$I$3,0),FALSE)*(Landbrug!$C$5)*Arealanvendelse!K$26</f>
        <v>11.923145121422927</v>
      </c>
      <c r="N9" s="35">
        <f>VLOOKUP($B9,'[1]Afgrødefordeling - jordtype'!$F$4:$I$17,MATCH(E$4,'[1]Afgrødefordeling - jordtype'!$F$3:$I$3,0),FALSE)*(Landbrug!$C$5)*Arealanvendelse!L$26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jordtype'!$F$3:$I$3,0),FALSE)+SUMIF(Landbrug!$B$32:$B$45,$B9,Landbrug!$D$32:$D$45))*(Landbrug!$D$5)*Arealanvendelse!M$26</f>
        <v>792.50076840878489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9" s="11">
        <f>(VLOOKUP($B9,'[1]Afgrødefordeling - jordtype'!$F$4:$I$17,MATCH(R$4,'[1]Afgrødefordeling - jordtype'!$F$3:$I$3,0),FALSE)+SUMIF(Landbrug!$B$32:$B$45,$B9,Landbrug!$E$32:$E$45))*(Landbrug!$E$5)*Arealanvendelse!P$26</f>
        <v>1000.5147520712576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9" s="95"/>
    </row>
    <row r="10" spans="1:26" x14ac:dyDescent="0.25">
      <c r="A10" s="61"/>
      <c r="B10" s="41" t="str">
        <f>[1]Afgrødefordeling!C7</f>
        <v>Kartofler</v>
      </c>
      <c r="C10" s="35">
        <f>VLOOKUP($B10,'[1]Afgrødefordeling - jordtype'!$F$4:$I$17,MATCH(C$4,'[1]Afgrødefordeling - jordtype'!$F$3:$I$3,0),FALSE)*(1-Landbrug!$C$5)*Arealanvendelse!J$26</f>
        <v>43565.33101601588</v>
      </c>
      <c r="D10" s="35">
        <f>VLOOKUP($B10,'[1]Afgrødefordeling - jordtype'!$F$4:$I$17,MATCH(D$4,'[1]Afgrødefordeling - jordtype'!$F$3:$I$3,0),FALSE)*(1-Landbrug!$C$5)*Arealanvendelse!K$26</f>
        <v>1472.183079133998</v>
      </c>
      <c r="E10" s="35">
        <f>VLOOKUP($B10,'[1]Afgrødefordeling - jordtype'!$F$4:$I$17,MATCH(E$4,'[1]Afgrødefordeling - jordtype'!$F$3:$I$3,0),FALSE)*(1-Landbrug!$C$5)*Arealanvendelse!L$26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jordtype'!$F$3:$I$3,0),FALSE)+SUMIF(Landbrug!$B$32:$B$45,$B10,Landbrug!$D$32:$D$45))*(1-Landbrug!$D$5)*Arealanvendelse!M$26</f>
        <v>-3871.2915336419205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0" s="11">
        <f>(VLOOKUP($B10,'[1]Afgrødefordeling - jordtype'!$F$4:$I$17,MATCH(I$4,'[1]Afgrødefordeling - jordtype'!$F$3:$I$3,0),FALSE)+SUMIF(Landbrug!$B$32:$B$45,$B10,Landbrug!$E$32:$E$45))*(1-Landbrug!$E$5)*Arealanvendelse!P$26</f>
        <v>-3595.9466773249751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0" s="35">
        <f>VLOOKUP($B10,'[1]Afgrødefordeling - jordtype'!$F$4:$I$17,MATCH(C$4,'[1]Afgrødefordeling - jordtype'!$F$3:$I$3,0),FALSE)*(Landbrug!$C$5)*Arealanvendelse!J$26</f>
        <v>5570.3291939822529</v>
      </c>
      <c r="M10" s="35">
        <f>VLOOKUP($B10,'[1]Afgrødefordeling - jordtype'!$F$4:$I$17,MATCH(D$4,'[1]Afgrødefordeling - jordtype'!$F$3:$I$3,0),FALSE)*(Landbrug!$C$5)*Arealanvendelse!K$26</f>
        <v>188.23555780104221</v>
      </c>
      <c r="N10" s="35">
        <f>VLOOKUP($B10,'[1]Afgrødefordeling - jordtype'!$F$4:$I$17,MATCH(E$4,'[1]Afgrødefordeling - jordtype'!$F$3:$I$3,0),FALSE)*(Landbrug!$C$5)*Arealanvendelse!L$26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jordtype'!$F$3:$I$3,0),FALSE)+SUMIF(Landbrug!$B$32:$B$45,$B10,Landbrug!$D$32:$D$45))*(Landbrug!$D$5)*Arealanvendelse!M$26</f>
        <v>-604.19000814064668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0" s="11">
        <f>(VLOOKUP($B10,'[1]Afgrødefordeling - jordtype'!$F$4:$I$17,MATCH(R$4,'[1]Afgrødefordeling - jordtype'!$F$3:$I$3,0),FALSE)+SUMIF(Landbrug!$B$32:$B$45,$B10,Landbrug!$E$32:$E$45))*(Landbrug!$E$5)*Arealanvendelse!P$26</f>
        <v>-762.77656791741902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0" s="95"/>
    </row>
    <row r="11" spans="1:26" x14ac:dyDescent="0.25">
      <c r="A11" s="61"/>
      <c r="B11" s="41" t="str">
        <f>[1]Afgrødefordeling!C8</f>
        <v>Roer</v>
      </c>
      <c r="C11" s="35">
        <f>VLOOKUP($B11,'[1]Afgrødefordeling - jordtype'!$F$4:$I$17,MATCH(C$4,'[1]Afgrødefordeling - jordtype'!$F$3:$I$3,0),FALSE)*(1-Landbrug!$C$5)*Arealanvendelse!J$26</f>
        <v>4252.8843446697592</v>
      </c>
      <c r="D11" s="35">
        <f>VLOOKUP($B11,'[1]Afgrødefordeling - jordtype'!$F$4:$I$17,MATCH(D$4,'[1]Afgrødefordeling - jordtype'!$F$3:$I$3,0),FALSE)*(1-Landbrug!$C$5)*Arealanvendelse!K$26</f>
        <v>38.623193326213141</v>
      </c>
      <c r="E11" s="35">
        <f>VLOOKUP($B11,'[1]Afgrødefordeling - jordtype'!$F$4:$I$17,MATCH(E$4,'[1]Afgrødefordeling - jordtype'!$F$3:$I$3,0),FALSE)*(1-Landbrug!$C$5)*Arealanvendelse!L$26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jordtype'!$F$3:$I$3,0),FALSE)+SUMIF(Landbrug!$B$32:$B$45,$B11,Landbrug!$D$32:$D$45))*(1-Landbrug!$D$5)*Arealanvendelse!M$26</f>
        <v>2952.9863644105094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1" s="11">
        <f>(VLOOKUP($B11,'[1]Afgrødefordeling - jordtype'!$F$4:$I$17,MATCH(I$4,'[1]Afgrødefordeling - jordtype'!$F$3:$I$3,0),FALSE)+SUMIF(Landbrug!$B$32:$B$45,$B11,Landbrug!$E$32:$E$45))*(1-Landbrug!$E$5)*Arealanvendelse!P$26</f>
        <v>2742.955784396403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1" s="35">
        <f>VLOOKUP($B11,'[1]Afgrødefordeling - jordtype'!$F$4:$I$17,MATCH(C$4,'[1]Afgrødefordeling - jordtype'!$F$3:$I$3,0),FALSE)*(Landbrug!$C$5)*Arealanvendelse!J$26</f>
        <v>543.78023238328944</v>
      </c>
      <c r="M11" s="35">
        <f>VLOOKUP($B11,'[1]Afgrødefordeling - jordtype'!$F$4:$I$17,MATCH(D$4,'[1]Afgrødefordeling - jordtype'!$F$3:$I$3,0),FALSE)*(Landbrug!$C$5)*Arealanvendelse!K$26</f>
        <v>4.9384199851650941</v>
      </c>
      <c r="N11" s="35">
        <f>VLOOKUP($B11,'[1]Afgrødefordeling - jordtype'!$F$4:$I$17,MATCH(E$4,'[1]Afgrødefordeling - jordtype'!$F$3:$I$3,0),FALSE)*(Landbrug!$C$5)*Arealanvendelse!L$26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jordtype'!$F$3:$I$3,0),FALSE)+SUMIF(Landbrug!$B$32:$B$45,$B11,Landbrug!$D$32:$D$45))*(Landbrug!$D$5)*Arealanvendelse!M$26</f>
        <v>460.87070427216048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1" s="11">
        <f>(VLOOKUP($B11,'[1]Afgrødefordeling - jordtype'!$F$4:$I$17,MATCH(R$4,'[1]Afgrødefordeling - jordtype'!$F$3:$I$3,0),FALSE)+SUMIF(Landbrug!$B$32:$B$45,$B11,Landbrug!$E$32:$E$45))*(Landbrug!$E$5)*Arealanvendelse!P$26</f>
        <v>581.8391057810552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1" s="95"/>
    </row>
    <row r="12" spans="1:26" x14ac:dyDescent="0.25">
      <c r="A12" s="61"/>
      <c r="B12" s="41" t="str">
        <f>[1]Afgrødefordeling!C9</f>
        <v>Majs</v>
      </c>
      <c r="C12" s="35">
        <f>VLOOKUP($B12,'[1]Afgrødefordeling - jordtype'!$F$4:$I$17,MATCH(C$4,'[1]Afgrødefordeling - jordtype'!$F$3:$I$3,0),FALSE)*(1-Landbrug!$C$5)*Arealanvendelse!J$26</f>
        <v>145638.34626271055</v>
      </c>
      <c r="D12" s="35">
        <f>VLOOKUP($B12,'[1]Afgrødefordeling - jordtype'!$F$4:$I$17,MATCH(D$4,'[1]Afgrødefordeling - jordtype'!$F$3:$I$3,0),FALSE)*(1-Landbrug!$C$5)*Arealanvendelse!K$26</f>
        <v>4985.6738479275327</v>
      </c>
      <c r="E12" s="35">
        <f>VLOOKUP($B12,'[1]Afgrødefordeling - jordtype'!$F$4:$I$17,MATCH(E$4,'[1]Afgrødefordeling - jordtype'!$F$3:$I$3,0),FALSE)*(1-Landbrug!$C$5)*Arealanvendelse!L$26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jordtype'!$F$3:$I$3,0),FALSE)+SUMIF(Landbrug!$B$32:$B$45,$B12,Landbrug!$D$32:$D$45))*(1-Landbrug!$D$5)*Arealanvendelse!M$26</f>
        <v>101123.85284779611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2" s="11">
        <f>(VLOOKUP($B12,'[1]Afgrødefordeling - jordtype'!$F$4:$I$17,MATCH(I$4,'[1]Afgrødefordeling - jordtype'!$F$3:$I$3,0),FALSE)+SUMIF(Landbrug!$B$32:$B$45,$B12,Landbrug!$E$32:$E$45))*(1-Landbrug!$E$5)*Arealanvendelse!P$26</f>
        <v>99213.772063429395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2" s="35">
        <f>VLOOKUP($B12,'[1]Afgrødefordeling - jordtype'!$F$4:$I$17,MATCH(C$4,'[1]Afgrødefordeling - jordtype'!$F$3:$I$3,0),FALSE)*(Landbrug!$C$5)*Arealanvendelse!J$26</f>
        <v>18621.539490936779</v>
      </c>
      <c r="M12" s="35">
        <f>VLOOKUP($B12,'[1]Afgrødefordeling - jordtype'!$F$4:$I$17,MATCH(D$4,'[1]Afgrødefordeling - jordtype'!$F$3:$I$3,0),FALSE)*(Landbrug!$C$5)*Arealanvendelse!K$26</f>
        <v>637.47580792109272</v>
      </c>
      <c r="N12" s="35">
        <f>VLOOKUP($B12,'[1]Afgrødefordeling - jordtype'!$F$4:$I$17,MATCH(E$4,'[1]Afgrødefordeling - jordtype'!$F$3:$I$3,0),FALSE)*(Landbrug!$C$5)*Arealanvendelse!L$26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jordtype'!$F$3:$I$3,0),FALSE)+SUMIF(Landbrug!$B$32:$B$45,$B12,Landbrug!$D$32:$D$45))*(Landbrug!$D$5)*Arealanvendelse!M$26</f>
        <v>15782.335415551994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2" s="11">
        <f>(VLOOKUP($B12,'[1]Afgrødefordeling - jordtype'!$F$4:$I$17,MATCH(R$4,'[1]Afgrødefordeling - jordtype'!$F$3:$I$3,0),FALSE)+SUMIF(Landbrug!$B$32:$B$45,$B12,Landbrug!$E$32:$E$45))*(Landbrug!$E$5)*Arealanvendelse!P$26</f>
        <v>21045.345589212295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2" s="95"/>
    </row>
    <row r="13" spans="1:26" x14ac:dyDescent="0.25">
      <c r="A13" s="61"/>
      <c r="B13" s="41" t="str">
        <f>[1]Afgrødefordeling!C10</f>
        <v>Frugt</v>
      </c>
      <c r="C13" s="35">
        <f>VLOOKUP($B13,'[1]Afgrødefordeling - jordtype'!$F$4:$I$17,MATCH(C$4,'[1]Afgrødefordeling - jordtype'!$F$3:$I$3,0),FALSE)*(1-Landbrug!$C$5)*Arealanvendelse!J$26</f>
        <v>2676.1448409922077</v>
      </c>
      <c r="D13" s="35">
        <f>VLOOKUP($B13,'[1]Afgrødefordeling - jordtype'!$F$4:$I$17,MATCH(D$4,'[1]Afgrødefordeling - jordtype'!$F$3:$I$3,0),FALSE)*(1-Landbrug!$C$5)*Arealanvendelse!K$26</f>
        <v>84.935239958799571</v>
      </c>
      <c r="E13" s="35">
        <f>VLOOKUP($B13,'[1]Afgrødefordeling - jordtype'!$F$4:$I$17,MATCH(E$4,'[1]Afgrødefordeling - jordtype'!$F$3:$I$3,0),FALSE)*(1-Landbrug!$C$5)*Arealanvendelse!L$26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jordtype'!$F$3:$I$3,0),FALSE)+SUMIF(Landbrug!$B$32:$B$45,$B13,Landbrug!$D$32:$D$45))*(1-Landbrug!$D$5)*Arealanvendelse!M$26</f>
        <v>1858.178728641436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3" s="11">
        <f>(VLOOKUP($B13,'[1]Afgrødefordeling - jordtype'!$F$4:$I$17,MATCH(I$4,'[1]Afgrødefordeling - jordtype'!$F$3:$I$3,0),FALSE)+SUMIF(Landbrug!$B$32:$B$45,$B13,Landbrug!$E$32:$E$45))*(1-Landbrug!$E$5)*Arealanvendelse!P$26</f>
        <v>1726.0161284851893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3" s="35">
        <f>VLOOKUP($B13,'[1]Afgrødefordeling - jordtype'!$F$4:$I$17,MATCH(C$4,'[1]Afgrødefordeling - jordtype'!$F$3:$I$3,0),FALSE)*(Landbrug!$C$5)*Arealanvendelse!J$26</f>
        <v>342.17593181200988</v>
      </c>
      <c r="M13" s="35">
        <f>VLOOKUP($B13,'[1]Afgrødefordeling - jordtype'!$F$4:$I$17,MATCH(D$4,'[1]Afgrødefordeling - jordtype'!$F$3:$I$3,0),FALSE)*(Landbrug!$C$5)*Arealanvendelse!K$26</f>
        <v>10.859948397188985</v>
      </c>
      <c r="N13" s="35">
        <f>VLOOKUP($B13,'[1]Afgrødefordeling - jordtype'!$F$4:$I$17,MATCH(E$4,'[1]Afgrødefordeling - jordtype'!$F$3:$I$3,0),FALSE)*(Landbrug!$C$5)*Arealanvendelse!L$26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jordtype'!$F$3:$I$3,0),FALSE)+SUMIF(Landbrug!$B$32:$B$45,$B13,Landbrug!$D$32:$D$45))*(Landbrug!$D$5)*Arealanvendelse!M$26</f>
        <v>290.00477267814318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3" s="11">
        <f>(VLOOKUP($B13,'[1]Afgrødefordeling - jordtype'!$F$4:$I$17,MATCH(R$4,'[1]Afgrødefordeling - jordtype'!$F$3:$I$3,0),FALSE)+SUMIF(Landbrug!$B$32:$B$45,$B13,Landbrug!$E$32:$E$45))*(Landbrug!$E$5)*Arealanvendelse!P$26</f>
        <v>366.12463331504017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3" s="95"/>
    </row>
    <row r="14" spans="1:26" x14ac:dyDescent="0.25">
      <c r="A14" s="61"/>
      <c r="B14" s="41" t="str">
        <f>[1]Afgrødefordeling!C11</f>
        <v>Øvrige</v>
      </c>
      <c r="C14" s="35">
        <f>VLOOKUP($B14,'[1]Afgrødefordeling - jordtype'!$F$4:$I$17,MATCH(C$4,'[1]Afgrødefordeling - jordtype'!$F$3:$I$3,0),FALSE)*(1-Landbrug!$C$5)*Arealanvendelse!J$26</f>
        <v>47330.033772765404</v>
      </c>
      <c r="D14" s="35">
        <f>VLOOKUP($B14,'[1]Afgrødefordeling - jordtype'!$F$4:$I$17,MATCH(D$4,'[1]Afgrødefordeling - jordtype'!$F$3:$I$3,0),FALSE)*(1-Landbrug!$C$5)*Arealanvendelse!K$26</f>
        <v>1502.156278752635</v>
      </c>
      <c r="E14" s="35">
        <f>VLOOKUP($B14,'[1]Afgrødefordeling - jordtype'!$F$4:$I$17,MATCH(E$4,'[1]Afgrødefordeling - jordtype'!$F$3:$I$3,0),FALSE)*(1-Landbrug!$C$5)*Arealanvendelse!L$26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jordtype'!$F$3:$I$3,0),FALSE)+SUMIF(Landbrug!$B$32:$B$45,$B14,Landbrug!$D$32:$D$45))*(1-Landbrug!$D$5)*Arealanvendelse!M$26</f>
        <v>10116.339515882988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4" s="11">
        <f>(VLOOKUP($B14,'[1]Afgrødefordeling - jordtype'!$F$4:$I$17,MATCH(I$4,'[1]Afgrødefordeling - jordtype'!$F$3:$I$3,0),FALSE)+SUMIF(Landbrug!$B$32:$B$45,$B14,Landbrug!$E$32:$E$45))*(1-Landbrug!$E$5)*Arealanvendelse!P$26</f>
        <v>9396.8168381801825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4" s="35">
        <f>VLOOKUP($B14,'[1]Afgrødefordeling - jordtype'!$F$4:$I$17,MATCH(C$4,'[1]Afgrødefordeling - jordtype'!$F$3:$I$3,0),FALSE)*(Landbrug!$C$5)*Arealanvendelse!J$26</f>
        <v>6051.6897892885954</v>
      </c>
      <c r="M14" s="35">
        <f>VLOOKUP($B14,'[1]Afgrødefordeling - jordtype'!$F$4:$I$17,MATCH(D$4,'[1]Afgrødefordeling - jordtype'!$F$3:$I$3,0),FALSE)*(Landbrug!$C$5)*Arealanvendelse!K$26</f>
        <v>192.06797649221136</v>
      </c>
      <c r="N14" s="35">
        <f>VLOOKUP($B14,'[1]Afgrødefordeling - jordtype'!$F$4:$I$17,MATCH(E$4,'[1]Afgrødefordeling - jordtype'!$F$3:$I$3,0),FALSE)*(Landbrug!$C$5)*Arealanvendelse!L$26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jordtype'!$F$3:$I$3,0),FALSE)+SUMIF(Landbrug!$B$32:$B$45,$B14,Landbrug!$D$32:$D$45))*(Landbrug!$D$5)*Arealanvendelse!M$26</f>
        <v>1578.8506758892527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4" s="11">
        <f>(VLOOKUP($B14,'[1]Afgrødefordeling - jordtype'!$F$4:$I$17,MATCH(R$4,'[1]Afgrødefordeling - jordtype'!$F$3:$I$3,0),FALSE)+SUMIF(Landbrug!$B$32:$B$45,$B14,Landbrug!$E$32:$E$45))*(Landbrug!$E$5)*Arealanvendelse!P$26</f>
        <v>1993.2641777957963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4" s="95"/>
    </row>
    <row r="15" spans="1:26" x14ac:dyDescent="0.25">
      <c r="A15" s="61"/>
      <c r="B15" s="41" t="str">
        <f>[1]Afgrødefordeling!C12</f>
        <v>Frø</v>
      </c>
      <c r="C15" s="35">
        <f>VLOOKUP($B15,'[1]Afgrødefordeling - jordtype'!$F$4:$I$17,MATCH(C$4,'[1]Afgrødefordeling - jordtype'!$F$3:$I$3,0),FALSE)*(1-Landbrug!$C$5)*Arealanvendelse!J$26</f>
        <v>49787.032963432102</v>
      </c>
      <c r="D15" s="35">
        <f>VLOOKUP($B15,'[1]Afgrødefordeling - jordtype'!$F$4:$I$17,MATCH(D$4,'[1]Afgrødefordeling - jordtype'!$F$3:$I$3,0),FALSE)*(1-Landbrug!$C$5)*Arealanvendelse!K$26</f>
        <v>3707.7646805966074</v>
      </c>
      <c r="E15" s="35">
        <f>VLOOKUP($B15,'[1]Afgrødefordeling - jordtype'!$F$4:$I$17,MATCH(E$4,'[1]Afgrødefordeling - jordtype'!$F$3:$I$3,0),FALSE)*(1-Landbrug!$C$5)*Arealanvendelse!L$26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jordtype'!$F$3:$I$3,0),FALSE)+SUMIF(Landbrug!$B$32:$B$45,$B15,Landbrug!$D$32:$D$45))*(1-Landbrug!$D$5)*Arealanvendelse!M$26</f>
        <v>34569.580912712976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5" s="11">
        <f>(VLOOKUP($B15,'[1]Afgrødefordeling - jordtype'!$F$4:$I$17,MATCH(I$4,'[1]Afgrødefordeling - jordtype'!$F$3:$I$3,0),FALSE)+SUMIF(Landbrug!$B$32:$B$45,$B15,Landbrug!$E$32:$E$45))*(1-Landbrug!$E$5)*Arealanvendelse!P$26</f>
        <v>32110.826203430366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5" s="35">
        <f>VLOOKUP($B15,'[1]Afgrødefordeling - jordtype'!$F$4:$I$17,MATCH(C$4,'[1]Afgrødefordeling - jordtype'!$F$3:$I$3,0),FALSE)*(Landbrug!$C$5)*Arealanvendelse!J$26</f>
        <v>6365.8454264012817</v>
      </c>
      <c r="M15" s="35">
        <f>VLOOKUP($B15,'[1]Afgrødefordeling - jordtype'!$F$4:$I$17,MATCH(D$4,'[1]Afgrødefordeling - jordtype'!$F$3:$I$3,0),FALSE)*(Landbrug!$C$5)*Arealanvendelse!K$26</f>
        <v>474.0804066690265</v>
      </c>
      <c r="N15" s="35">
        <f>VLOOKUP($B15,'[1]Afgrødefordeling - jordtype'!$F$4:$I$17,MATCH(E$4,'[1]Afgrødefordeling - jordtype'!$F$3:$I$3,0),FALSE)*(Landbrug!$C$5)*Arealanvendelse!L$26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jordtype'!$F$3:$I$3,0),FALSE)+SUMIF(Landbrug!$B$32:$B$45,$B15,Landbrug!$D$32:$D$45))*(Landbrug!$D$5)*Arealanvendelse!M$26</f>
        <v>5395.2525123887299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5" s="11">
        <f>(VLOOKUP($B15,'[1]Afgrødefordeling - jordtype'!$F$4:$I$17,MATCH(R$4,'[1]Afgrødefordeling - jordtype'!$F$3:$I$3,0),FALSE)+SUMIF(Landbrug!$B$32:$B$45,$B15,Landbrug!$E$32:$E$45))*(Landbrug!$E$5)*Arealanvendelse!P$26</f>
        <v>6811.3873764852287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5" s="95"/>
    </row>
    <row r="16" spans="1:26" x14ac:dyDescent="0.25">
      <c r="A16" s="61"/>
      <c r="B16" s="42" t="str">
        <f>[1]Afgrødefordeling!C13</f>
        <v>Juletræer</v>
      </c>
      <c r="C16" s="35">
        <f>VLOOKUP($B16,'[1]Afgrødefordeling - jordtype'!$F$4:$I$17,MATCH(C$4,'[1]Afgrødefordeling - jordtype'!$F$3:$I$3,0),FALSE)*(1-Landbrug!$C$5)*Arealanvendelse!J$26</f>
        <v>13422.322311297707</v>
      </c>
      <c r="D16" s="35">
        <f>VLOOKUP($B16,'[1]Afgrødefordeling - jordtype'!$F$4:$I$17,MATCH(D$4,'[1]Afgrødefordeling - jordtype'!$F$3:$I$3,0),FALSE)*(1-Landbrug!$C$5)*Arealanvendelse!K$26</f>
        <v>425.99643668454917</v>
      </c>
      <c r="E16" s="35">
        <f>VLOOKUP($B16,'[1]Afgrødefordeling - jordtype'!$F$4:$I$17,MATCH(E$4,'[1]Afgrødefordeling - jordtype'!$F$3:$I$3,0),FALSE)*(1-Landbrug!$C$5)*Arealanvendelse!L$26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jordtype'!$F$3:$I$3,0),FALSE)+SUMIF(Landbrug!$B$32:$B$45,$B16,Landbrug!$D$32:$D$45))*(1-Landbrug!$D$5)*Arealanvendelse!M$26</f>
        <v>9319.7772503881351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6" s="11">
        <f>(VLOOKUP($B16,'[1]Afgrødefordeling - jordtype'!$F$4:$I$17,MATCH(I$4,'[1]Afgrødefordeling - jordtype'!$F$3:$I$3,0),FALSE)+SUMIF(Landbrug!$B$32:$B$45,$B16,Landbrug!$E$32:$E$45))*(1-Landbrug!$E$5)*Arealanvendelse!P$26</f>
        <v>8656.9099086718306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6" s="35">
        <f>VLOOKUP($B16,'[1]Afgrødefordeling - jordtype'!$F$4:$I$17,MATCH(C$4,'[1]Afgrødefordeling - jordtype'!$F$3:$I$3,0),FALSE)*(Landbrug!$C$5)*Arealanvendelse!J$26</f>
        <v>1716.1984559275936</v>
      </c>
      <c r="M16" s="35">
        <f>VLOOKUP($B16,'[1]Afgrødefordeling - jordtype'!$F$4:$I$17,MATCH(D$4,'[1]Afgrødefordeling - jordtype'!$F$3:$I$3,0),FALSE)*(Landbrug!$C$5)*Arealanvendelse!K$26</f>
        <v>54.468549473984133</v>
      </c>
      <c r="N16" s="35">
        <f>VLOOKUP($B16,'[1]Afgrødefordeling - jordtype'!$F$4:$I$17,MATCH(E$4,'[1]Afgrødefordeling - jordtype'!$F$3:$I$3,0),FALSE)*(Landbrug!$C$5)*Arealanvendelse!L$26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jordtype'!$F$3:$I$3,0),FALSE)+SUMIF(Landbrug!$B$32:$B$45,$B16,Landbrug!$D$32:$D$45))*(Landbrug!$D$5)*Arealanvendelse!M$26</f>
        <v>1454.5317095981484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6" s="11">
        <f>(VLOOKUP($B16,'[1]Afgrødefordeling - jordtype'!$F$4:$I$17,MATCH(R$4,'[1]Afgrødefordeling - jordtype'!$F$3:$I$3,0),FALSE)+SUMIF(Landbrug!$B$32:$B$45,$B16,Landbrug!$E$32:$E$45))*(Landbrug!$E$5)*Arealanvendelse!P$26</f>
        <v>1836.3142230516003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6" s="95"/>
    </row>
    <row r="17" spans="1:21" x14ac:dyDescent="0.25">
      <c r="A17" s="61"/>
      <c r="B17" s="42" t="str">
        <f>[1]Afgrødefordeling!C14</f>
        <v>Pil &amp; poppel</v>
      </c>
      <c r="C17" s="35">
        <f>VLOOKUP($B17,'[1]Afgrødefordeling - jordtype'!$F$4:$I$17,MATCH(C$4,'[1]Afgrødefordeling - jordtype'!$F$3:$I$3,0),FALSE)*(1-Landbrug!$C$5)*Arealanvendelse!J$26</f>
        <v>4937.1607996010098</v>
      </c>
      <c r="D17" s="35">
        <f>VLOOKUP($B17,'[1]Afgrødefordeling - jordtype'!$F$4:$I$17,MATCH(D$4,'[1]Afgrødefordeling - jordtype'!$F$3:$I$3,0),FALSE)*(1-Landbrug!$C$5)*Arealanvendelse!K$26</f>
        <v>699.64323170301793</v>
      </c>
      <c r="E17" s="35">
        <f>VLOOKUP($B17,'[1]Afgrødefordeling - jordtype'!$F$4:$I$17,MATCH(E$4,'[1]Afgrødefordeling - jordtype'!$F$3:$I$3,0),FALSE)*(1-Landbrug!$C$5)*Arealanvendelse!L$26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jordtype'!$F$3:$I$3,0),FALSE)+SUMIF(Landbrug!$B$32:$B$45,$B17,Landbrug!$D$32:$D$45))*(1-Landbrug!$D$5)*Arealanvendelse!M$26</f>
        <v>3428.1130965615221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7" s="11">
        <f>(VLOOKUP($B17,'[1]Afgrødefordeling - jordtype'!$F$4:$I$17,MATCH(I$4,'[1]Afgrødefordeling - jordtype'!$F$3:$I$3,0),FALSE)+SUMIF(Landbrug!$B$32:$B$45,$B17,Landbrug!$E$32:$E$45))*(1-Landbrug!$E$5)*Arealanvendelse!P$26</f>
        <v>3184.28922026384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7" s="35">
        <f>VLOOKUP($B17,'[1]Afgrødefordeling - jordtype'!$F$4:$I$17,MATCH(C$4,'[1]Afgrødefordeling - jordtype'!$F$3:$I$3,0),FALSE)*(Landbrug!$C$5)*Arealanvendelse!J$26</f>
        <v>631.27285609954106</v>
      </c>
      <c r="M17" s="35">
        <f>VLOOKUP($B17,'[1]Afgrødefordeling - jordtype'!$F$4:$I$17,MATCH(D$4,'[1]Afgrødefordeling - jordtype'!$F$3:$I$3,0),FALSE)*(Landbrug!$C$5)*Arealanvendelse!K$26</f>
        <v>89.457443063950791</v>
      </c>
      <c r="N17" s="35">
        <f>VLOOKUP($B17,'[1]Afgrødefordeling - jordtype'!$F$4:$I$17,MATCH(E$4,'[1]Afgrødefordeling - jordtype'!$F$3:$I$3,0),FALSE)*(Landbrug!$C$5)*Arealanvendelse!L$26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jordtype'!$F$3:$I$3,0),FALSE)+SUMIF(Landbrug!$B$32:$B$45,$B17,Landbrug!$D$32:$D$45))*(Landbrug!$D$5)*Arealanvendelse!M$26</f>
        <v>535.02343125526659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7" s="11">
        <f>(VLOOKUP($B17,'[1]Afgrødefordeling - jordtype'!$F$4:$I$17,MATCH(R$4,'[1]Afgrødefordeling - jordtype'!$F$3:$I$3,0),FALSE)+SUMIF(Landbrug!$B$32:$B$45,$B17,Landbrug!$E$32:$E$45))*(Landbrug!$E$5)*Arealanvendelse!P$26</f>
        <v>675.4552891468752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7" s="95"/>
    </row>
    <row r="18" spans="1:21" x14ac:dyDescent="0.25">
      <c r="A18" s="61"/>
      <c r="B18" s="42" t="str">
        <f>[1]Afgrødefordeling!C15</f>
        <v>Permanent græs</v>
      </c>
      <c r="C18" s="35">
        <f>VLOOKUP($B18,'[1]Afgrødefordeling - jordtype'!$F$4:$I$17,MATCH(C$4,'[1]Afgrødefordeling - jordtype'!$F$3:$I$3,0),FALSE)*(1-Landbrug!$C$5)*Arealanvendelse!J$26</f>
        <v>119003.01274629038</v>
      </c>
      <c r="D18" s="35">
        <f>VLOOKUP($B18,'[1]Afgrødefordeling - jordtype'!$F$4:$I$17,MATCH(D$4,'[1]Afgrødefordeling - jordtype'!$F$3:$I$3,0),FALSE)*(1-Landbrug!$C$5)*Arealanvendelse!K$26</f>
        <v>19775.461430434403</v>
      </c>
      <c r="E18" s="35">
        <f>VLOOKUP($B18,'[1]Afgrødefordeling - jordtype'!$F$4:$I$17,MATCH(E$4,'[1]Afgrødefordeling - jordtype'!$F$3:$I$3,0),FALSE)*(1-Landbrug!$C$5)*Arealanvendelse!L$26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jordtype'!$F$3:$I$3,0),FALSE)+SUMIF(Landbrug!$B$32:$B$45,$B18,Landbrug!$D$32:$D$45))*(1-Landbrug!$D$5)*Arealanvendelse!M$26</f>
        <v>99690.053010526652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0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0</v>
      </c>
      <c r="I18" s="11">
        <f>(VLOOKUP($B18,'[1]Afgrødefordeling - jordtype'!$F$4:$I$17,MATCH(I$4,'[1]Afgrødefordeling - jordtype'!$F$3:$I$3,0),FALSE)+SUMIF(Landbrug!$B$32:$B$45,$B18,Landbrug!$E$32:$E$45))*(1-Landbrug!$E$5)*Arealanvendelse!P$26</f>
        <v>76752.616746360844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0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0</v>
      </c>
      <c r="L18" s="35">
        <f>VLOOKUP($B18,'[1]Afgrødefordeling - jordtype'!$F$4:$I$17,MATCH(C$4,'[1]Afgrødefordeling - jordtype'!$F$3:$I$3,0),FALSE)*(Landbrug!$C$5)*Arealanvendelse!J$26</f>
        <v>15215.905414073572</v>
      </c>
      <c r="M18" s="35">
        <f>VLOOKUP($B18,'[1]Afgrødefordeling - jordtype'!$F$4:$I$17,MATCH(D$4,'[1]Afgrødefordeling - jordtype'!$F$3:$I$3,0),FALSE)*(Landbrug!$C$5)*Arealanvendelse!K$26</f>
        <v>2528.5204441559808</v>
      </c>
      <c r="N18" s="35">
        <f>VLOOKUP($B18,'[1]Afgrødefordeling - jordtype'!$F$4:$I$17,MATCH(E$4,'[1]Afgrødefordeling - jordtype'!$F$3:$I$3,0),FALSE)*(Landbrug!$C$5)*Arealanvendelse!L$26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jordtype'!$F$3:$I$3,0),FALSE)+SUMIF(Landbrug!$B$32:$B$45,$B18,Landbrug!$D$32:$D$45))*(Landbrug!$D$5)*Arealanvendelse!M$26</f>
        <v>15558.563186613987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0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0</v>
      </c>
      <c r="R18" s="11">
        <f>(VLOOKUP($B18,'[1]Afgrødefordeling - jordtype'!$F$4:$I$17,MATCH(R$4,'[1]Afgrødefordeling - jordtype'!$F$3:$I$3,0),FALSE)+SUMIF(Landbrug!$B$32:$B$45,$B18,Landbrug!$E$32:$E$45))*(Landbrug!$E$5)*Arealanvendelse!P$26</f>
        <v>16280.858097712908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0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0</v>
      </c>
      <c r="U18" s="95"/>
    </row>
    <row r="19" spans="1:21" ht="15.75" thickBot="1" x14ac:dyDescent="0.3">
      <c r="A19" s="61"/>
      <c r="B19" s="43" t="s">
        <v>31</v>
      </c>
      <c r="C19" s="36">
        <f t="shared" ref="C19:T19" si="2">SUM(C5:C18)</f>
        <v>1638025.2135860156</v>
      </c>
      <c r="D19" s="37">
        <f t="shared" si="2"/>
        <v>80438.813155800992</v>
      </c>
      <c r="E19" s="37">
        <f t="shared" si="2"/>
        <v>62614.567180798636</v>
      </c>
      <c r="F19" s="38">
        <f t="shared" si="2"/>
        <v>1137361.3125272321</v>
      </c>
      <c r="G19" s="38">
        <f t="shared" si="2"/>
        <v>0</v>
      </c>
      <c r="H19" s="38">
        <f t="shared" si="2"/>
        <v>0</v>
      </c>
      <c r="I19" s="38">
        <f t="shared" si="2"/>
        <v>1056466.7106981492</v>
      </c>
      <c r="J19" s="38">
        <f t="shared" si="2"/>
        <v>0</v>
      </c>
      <c r="K19" s="39">
        <f t="shared" si="2"/>
        <v>0</v>
      </c>
      <c r="L19" s="36">
        <f t="shared" si="2"/>
        <v>209440.38424413261</v>
      </c>
      <c r="M19" s="37">
        <f t="shared" si="2"/>
        <v>10285.028457291377</v>
      </c>
      <c r="N19" s="37">
        <f t="shared" si="2"/>
        <v>8005.9933759608657</v>
      </c>
      <c r="O19" s="38">
        <f t="shared" si="2"/>
        <v>177507.25686841196</v>
      </c>
      <c r="P19" s="38">
        <f t="shared" si="2"/>
        <v>0</v>
      </c>
      <c r="Q19" s="38">
        <f t="shared" si="2"/>
        <v>0</v>
      </c>
      <c r="R19" s="38">
        <f t="shared" si="2"/>
        <v>224098.99923900131</v>
      </c>
      <c r="S19" s="38">
        <f t="shared" si="2"/>
        <v>0</v>
      </c>
      <c r="T19" s="39">
        <f t="shared" si="2"/>
        <v>0</v>
      </c>
      <c r="U19" s="95"/>
    </row>
    <row r="20" spans="1:21" ht="15.75" thickBot="1" x14ac:dyDescent="0.3">
      <c r="A20" s="61"/>
      <c r="B20" s="68"/>
      <c r="C20" s="69"/>
      <c r="D20" s="69"/>
      <c r="E20" s="69"/>
      <c r="F20" s="69"/>
      <c r="G20" s="69"/>
      <c r="H20" s="69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1"/>
    </row>
    <row r="21" spans="1:21" x14ac:dyDescent="0.25">
      <c r="A21" s="61"/>
      <c r="B21" s="45"/>
      <c r="C21" s="364" t="s">
        <v>7</v>
      </c>
      <c r="D21" s="365"/>
      <c r="E21" s="366"/>
      <c r="F21" s="370" t="s">
        <v>8</v>
      </c>
      <c r="G21" s="365"/>
      <c r="H21" s="366"/>
      <c r="I21" s="72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71"/>
    </row>
    <row r="22" spans="1:21" x14ac:dyDescent="0.25">
      <c r="A22" s="61"/>
      <c r="B22" s="32" t="s">
        <v>27</v>
      </c>
      <c r="C22" s="29">
        <f>År1</f>
        <v>2019</v>
      </c>
      <c r="D22" s="25">
        <f>År2</f>
        <v>2030</v>
      </c>
      <c r="E22" s="30">
        <f>År3</f>
        <v>2050</v>
      </c>
      <c r="F22" s="33">
        <f>År1</f>
        <v>2019</v>
      </c>
      <c r="G22" s="25">
        <f>År2</f>
        <v>2030</v>
      </c>
      <c r="H22" s="30">
        <f>År3</f>
        <v>2050</v>
      </c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25">
      <c r="A23" s="61"/>
      <c r="B23" s="31" t="s">
        <v>23</v>
      </c>
      <c r="C23" s="35">
        <f>SUM([1]Dyrehold!$E24:$E26)-F23</f>
        <v>10266966</v>
      </c>
      <c r="D23" s="11">
        <f>($F23+$C23)*Landbrug!C11*(1-Landbrug!D6)</f>
        <v>10081251.358070999</v>
      </c>
      <c r="E23" s="23">
        <f>($F23+$C23)*Landbrug!D11*(1-Landbrug!E6)</f>
        <v>9651553.6380710006</v>
      </c>
      <c r="F23" s="34">
        <f>SUM([1]Dyrehold!E58:G61)</f>
        <v>475477</v>
      </c>
      <c r="G23" s="11">
        <f>($F23+$C23)*Landbrug!C11*Landbrug!D6</f>
        <v>661191.6419289998</v>
      </c>
      <c r="H23" s="23">
        <f>($F23+$C23)*Landbrug!D11*Landbrug!E6</f>
        <v>1090889.3619289997</v>
      </c>
      <c r="I23" s="73"/>
      <c r="J23" s="69"/>
      <c r="K23" s="69"/>
      <c r="L23" s="94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25">
      <c r="A24" s="61"/>
      <c r="B24" s="31" t="s">
        <v>3</v>
      </c>
      <c r="C24" s="35">
        <f>SUM([1]Dyrehold!$D24:$D26)-F24</f>
        <v>1184629</v>
      </c>
      <c r="D24" s="11">
        <f>($F24+$C24)*Landbrug!C12*(1-Landbrug!D7)</f>
        <v>1152879.1032080106</v>
      </c>
      <c r="E24" s="23">
        <f>($F24+$C24)*Landbrug!D12*(1-Landbrug!E7)</f>
        <v>1097180.5432080105</v>
      </c>
      <c r="F24" s="34">
        <f>SUM([1]Dyrehold!E36:G51)</f>
        <v>207835</v>
      </c>
      <c r="G24" s="11">
        <f>($F24+$C24)*Landbrug!C12*Landbrug!D7</f>
        <v>239584.89679198936</v>
      </c>
      <c r="H24" s="23">
        <f>($F24+$C24)*Landbrug!D12*Landbrug!E7</f>
        <v>295283.45679198933</v>
      </c>
      <c r="I24" s="73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pans="1:21" ht="15.75" thickBot="1" x14ac:dyDescent="0.3">
      <c r="A25" s="61"/>
      <c r="B25" s="46" t="s">
        <v>4</v>
      </c>
      <c r="C25" s="48">
        <f>SUM([1]Dyrehold!$F24:$F26)-F25</f>
        <v>18212034</v>
      </c>
      <c r="D25" s="16">
        <f>($F25+$C25)*Landbrug!C13*(1-Landbrug!D8)</f>
        <v>17790568.192894831</v>
      </c>
      <c r="E25" s="24">
        <f>($F25+$C25)*Landbrug!D13*(1-Landbrug!E8)</f>
        <v>16939594.832894832</v>
      </c>
      <c r="F25" s="47">
        <f>SUM([1]Dyrehold!E65:G78)</f>
        <v>3062300</v>
      </c>
      <c r="G25" s="16">
        <f>($F25+$C25)*Landbrug!C13*Landbrug!D8</f>
        <v>3483765.8071051692</v>
      </c>
      <c r="H25" s="24">
        <f>($F25+$C25)*Landbrug!D13*Landbrug!E8</f>
        <v>4334739.167105169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5.75" thickBot="1" x14ac:dyDescent="0.3">
      <c r="A26" s="64"/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</row>
    <row r="27" spans="1:21" ht="15.75" thickBot="1" x14ac:dyDescent="0.3">
      <c r="B27" s="6"/>
      <c r="F27" s="85"/>
      <c r="G27" s="85"/>
      <c r="H27" s="85"/>
      <c r="I27" s="12"/>
    </row>
    <row r="28" spans="1:21" ht="21.75" thickBot="1" x14ac:dyDescent="0.4">
      <c r="A28" s="361" t="s">
        <v>25</v>
      </c>
      <c r="B28" s="362"/>
      <c r="C28" s="362"/>
      <c r="D28" s="362"/>
      <c r="E28" s="362"/>
      <c r="F28" s="362"/>
      <c r="G28" s="362"/>
      <c r="H28" s="362"/>
      <c r="I28" s="362"/>
      <c r="J28" s="362"/>
      <c r="K28" s="362"/>
      <c r="L28" s="362"/>
      <c r="M28" s="362"/>
      <c r="N28" s="362"/>
      <c r="O28" s="362"/>
      <c r="P28" s="362"/>
      <c r="Q28" s="362"/>
      <c r="R28" s="362"/>
      <c r="S28" s="362"/>
      <c r="T28" s="362"/>
      <c r="U28" s="363"/>
    </row>
    <row r="29" spans="1:21" x14ac:dyDescent="0.25">
      <c r="A29" s="56"/>
      <c r="B29" s="53"/>
      <c r="C29" s="367" t="s">
        <v>7</v>
      </c>
      <c r="D29" s="368"/>
      <c r="E29" s="368"/>
      <c r="F29" s="368"/>
      <c r="G29" s="368"/>
      <c r="H29" s="368"/>
      <c r="I29" s="368"/>
      <c r="J29" s="368"/>
      <c r="K29" s="369"/>
      <c r="L29" s="367" t="s">
        <v>8</v>
      </c>
      <c r="M29" s="368"/>
      <c r="N29" s="368"/>
      <c r="O29" s="368"/>
      <c r="P29" s="368"/>
      <c r="Q29" s="368"/>
      <c r="R29" s="368"/>
      <c r="S29" s="368"/>
      <c r="T29" s="369"/>
      <c r="U29" s="53"/>
    </row>
    <row r="30" spans="1:21" ht="15.75" thickBot="1" x14ac:dyDescent="0.3">
      <c r="A30" s="56"/>
      <c r="B30" s="55"/>
      <c r="C30" s="174">
        <f>År1</f>
        <v>2019</v>
      </c>
      <c r="D30" s="174">
        <f>År1</f>
        <v>2019</v>
      </c>
      <c r="E30" s="174">
        <f>År1</f>
        <v>2019</v>
      </c>
      <c r="F30" s="175">
        <f>År2</f>
        <v>2030</v>
      </c>
      <c r="G30" s="175">
        <f>År2</f>
        <v>2030</v>
      </c>
      <c r="H30" s="175">
        <f>År2</f>
        <v>2030</v>
      </c>
      <c r="I30" s="175">
        <f>År3</f>
        <v>2050</v>
      </c>
      <c r="J30" s="175">
        <f>År3</f>
        <v>2050</v>
      </c>
      <c r="K30" s="175">
        <f>År3</f>
        <v>2050</v>
      </c>
      <c r="L30" s="174">
        <f>År1</f>
        <v>2019</v>
      </c>
      <c r="M30" s="174">
        <f>År1</f>
        <v>2019</v>
      </c>
      <c r="N30" s="174">
        <f>År1</f>
        <v>2019</v>
      </c>
      <c r="O30" s="175">
        <f>År2</f>
        <v>2030</v>
      </c>
      <c r="P30" s="175">
        <f>År2</f>
        <v>2030</v>
      </c>
      <c r="Q30" s="175">
        <f>År2</f>
        <v>2030</v>
      </c>
      <c r="R30" s="175">
        <f>År3</f>
        <v>2050</v>
      </c>
      <c r="S30" s="175">
        <f>År3</f>
        <v>2050</v>
      </c>
      <c r="T30" s="175">
        <f>År3</f>
        <v>2050</v>
      </c>
      <c r="U30" s="53"/>
    </row>
    <row r="31" spans="1:21" x14ac:dyDescent="0.25">
      <c r="A31" s="56"/>
      <c r="B31" s="60" t="s">
        <v>30</v>
      </c>
      <c r="C31" s="29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0" t="str">
        <f>Organ12</f>
        <v>OC12</v>
      </c>
      <c r="L31" s="29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0" t="str">
        <f>Organ12</f>
        <v>OC12</v>
      </c>
      <c r="U31" s="53"/>
    </row>
    <row r="32" spans="1:21" x14ac:dyDescent="0.25">
      <c r="A32" s="56"/>
      <c r="B32" s="41" t="str">
        <f>[1]Afgrødefordeling!C2</f>
        <v>Korn</v>
      </c>
      <c r="C32" s="35">
        <f>VLOOKUP($B32,'[1]Afgrødefordeling - jordtype'!$O$4:$R$17,MATCH(C$4,'[1]Afgrødefordeling - jordtype'!$O$3:$R$3,0),FALSE)*(1-Landbrug!$C$5)*Arealanvendelse!J$36</f>
        <v>292562.01681062597</v>
      </c>
      <c r="D32" s="35">
        <f>VLOOKUP($B32,'[1]Afgrødefordeling - jordtype'!$O$4:$R$17,MATCH(D$4,'[1]Afgrødefordeling - jordtype'!$O$3:$R$3,0),FALSE)*(1-Landbrug!$C$5)*Arealanvendelse!K$36</f>
        <v>3321.6653666372972</v>
      </c>
      <c r="E32" s="35">
        <f>VLOOKUP($B32,'[1]Afgrødefordeling - jordtype'!$O$4:$R$17,MATCH(E$4,'[1]Afgrødefordeling - jordtype'!$O$3:$R$3,0),FALSE)*(1-Landbrug!$C$5)*Arealanvendelse!L$36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jordtype'!$O$3:$R$3,0),FALSE)+SUMIF(Landbrug!$B$32:$B$45,$B32,Landbrug!$G$32:$G$45))*(1-Landbrug!$D$5)*Arealanvendelse!M$36</f>
        <v>268590.48894564441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2" s="11">
        <f>(VLOOKUP($B32,'[1]Afgrødefordeling - jordtype'!$O$4:$R$17,MATCH(I$4,'[1]Afgrødefordeling - jordtype'!$O$3:$R$3,0),FALSE)+SUMIF(Landbrug!$B$32:$B$45,$B32,Landbrug!$H$32:$H$45))*(1-Landbrug!$E$5)*Arealanvendelse!P$36</f>
        <v>258307.22289273364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2" s="35">
        <f>VLOOKUP($B32,'[1]Afgrødefordeling - jordtype'!$O$4:$R$17,MATCH(C$4,'[1]Afgrødefordeling - jordtype'!$O$3:$R$3,0),FALSE)*(Landbrug!$C$5)*Arealanvendelse!J$36</f>
        <v>37407.422491325582</v>
      </c>
      <c r="M32" s="35">
        <f>VLOOKUP($B32,'[1]Afgrødefordeling - jordtype'!$O$4:$R$17,MATCH(D$4,'[1]Afgrødefordeling - jordtype'!$O$3:$R$3,0),FALSE)*(Landbrug!$C$5)*Arealanvendelse!K$36</f>
        <v>424.7131637222576</v>
      </c>
      <c r="N32" s="35">
        <f>VLOOKUP($B32,'[1]Afgrødefordeling - jordtype'!$O$4:$R$17,MATCH(E$4,'[1]Afgrødefordeling - jordtype'!$O$3:$R$3,0),FALSE)*(Landbrug!$C$5)*Arealanvendelse!L$36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jordtype'!$O$3:$R$3,0),FALSE)+SUMIF(Landbrug!$B$32:$B$45,$B32,Landbrug!$G$32:$G$45))*(Landbrug!$D$5)*Arealanvendelse!M$36</f>
        <v>41918.746829667056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2" s="11">
        <f>(VLOOKUP($B32,'[1]Afgrødefordeling - jordtype'!$O$4:$R$17,MATCH(R$4,'[1]Afgrødefordeling - jordtype'!$O$3:$R$3,0),FALSE)+SUMIF(Landbrug!$B$32:$B$45,$B32,Landbrug!$H$32:$H$45))*(Landbrug!$E$5)*Arealanvendelse!P$36</f>
        <v>54792.441219670778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2" s="53"/>
    </row>
    <row r="33" spans="1:21" x14ac:dyDescent="0.25">
      <c r="A33" s="56"/>
      <c r="B33" s="41" t="str">
        <f>[1]Afgrødefordeling!C3</f>
        <v>Bælgsæd</v>
      </c>
      <c r="C33" s="35">
        <f>VLOOKUP($B33,'[1]Afgrødefordeling - jordtype'!$O$4:$R$17,MATCH(C$4,'[1]Afgrødefordeling - jordtype'!$O$3:$R$3,0),FALSE)*(1-Landbrug!$C$5)*Arealanvendelse!J$36</f>
        <v>6376.3414137528825</v>
      </c>
      <c r="D33" s="35">
        <f>VLOOKUP($B33,'[1]Afgrødefordeling - jordtype'!$O$4:$R$17,MATCH(D$4,'[1]Afgrødefordeling - jordtype'!$O$3:$R$3,0),FALSE)*(1-Landbrug!$C$5)*Arealanvendelse!K$36</f>
        <v>89.823141135380936</v>
      </c>
      <c r="E33" s="35">
        <f>VLOOKUP($B33,'[1]Afgrødefordeling - jordtype'!$O$4:$R$17,MATCH(E$4,'[1]Afgrødefordeling - jordtype'!$O$3:$R$3,0),FALSE)*(1-Landbrug!$C$5)*Arealanvendelse!L$36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jordtype'!$O$3:$R$3,0),FALSE)+SUMIF(Landbrug!$B$32:$B$45,$B33,Landbrug!$G$32:$G$45))*(1-Landbrug!$D$5)*Arealanvendelse!M$36</f>
        <v>5574.0572839170763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3" s="11">
        <f>(VLOOKUP($B33,'[1]Afgrødefordeling - jordtype'!$O$4:$R$17,MATCH(I$4,'[1]Afgrødefordeling - jordtype'!$O$3:$R$3,0),FALSE)+SUMIF(Landbrug!$B$32:$B$45,$B33,Landbrug!$H$32:$H$45))*(1-Landbrug!$E$5)*Arealanvendelse!P$36</f>
        <v>5276.5714747282582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3" s="35">
        <f>VLOOKUP($B33,'[1]Afgrødefordeling - jordtype'!$O$4:$R$17,MATCH(C$4,'[1]Afgrødefordeling - jordtype'!$O$3:$R$3,0),FALSE)*(Landbrug!$C$5)*Arealanvendelse!J$36</f>
        <v>815.28866875287099</v>
      </c>
      <c r="M33" s="35">
        <f>VLOOKUP($B33,'[1]Afgrødefordeling - jordtype'!$O$4:$R$17,MATCH(D$4,'[1]Afgrødefordeling - jordtype'!$O$3:$R$3,0),FALSE)*(Landbrug!$C$5)*Arealanvendelse!K$36</f>
        <v>11.484922843296186</v>
      </c>
      <c r="N33" s="35">
        <f>VLOOKUP($B33,'[1]Afgrødefordeling - jordtype'!$O$4:$R$17,MATCH(E$4,'[1]Afgrødefordeling - jordtype'!$O$3:$R$3,0),FALSE)*(Landbrug!$C$5)*Arealanvendelse!L$36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jordtype'!$O$3:$R$3,0),FALSE)+SUMIF(Landbrug!$B$32:$B$45,$B33,Landbrug!$G$32:$G$45))*(Landbrug!$D$5)*Arealanvendelse!M$36</f>
        <v>869.93957610266511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3" s="11">
        <f>(VLOOKUP($B33,'[1]Afgrødefordeling - jordtype'!$O$4:$R$17,MATCH(R$4,'[1]Afgrødefordeling - jordtype'!$O$3:$R$3,0),FALSE)+SUMIF(Landbrug!$B$32:$B$45,$B33,Landbrug!$H$32:$H$45))*(Landbrug!$E$5)*Arealanvendelse!P$36</f>
        <v>1119.27273706357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3" s="53"/>
    </row>
    <row r="34" spans="1:21" x14ac:dyDescent="0.25">
      <c r="A34" s="56"/>
      <c r="B34" s="41" t="str">
        <f>[1]Afgrødefordeling!C4</f>
        <v>Raps</v>
      </c>
      <c r="C34" s="35">
        <f>VLOOKUP($B34,'[1]Afgrødefordeling - jordtype'!$O$4:$R$17,MATCH(C$4,'[1]Afgrødefordeling - jordtype'!$O$3:$R$3,0),FALSE)*(1-Landbrug!$C$5)*Arealanvendelse!J$36</f>
        <v>40447.722327584328</v>
      </c>
      <c r="D34" s="35">
        <f>VLOOKUP($B34,'[1]Afgrødefordeling - jordtype'!$O$4:$R$17,MATCH(D$4,'[1]Afgrødefordeling - jordtype'!$O$3:$R$3,0),FALSE)*(1-Landbrug!$C$5)*Arealanvendelse!K$36</f>
        <v>362.80969861856295</v>
      </c>
      <c r="E34" s="35">
        <f>VLOOKUP($B34,'[1]Afgrødefordeling - jordtype'!$O$4:$R$17,MATCH(E$4,'[1]Afgrødefordeling - jordtype'!$O$3:$R$3,0),FALSE)*(1-Landbrug!$C$5)*Arealanvendelse!L$36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jordtype'!$O$3:$R$3,0),FALSE)+SUMIF(Landbrug!$B$32:$B$45,$B34,Landbrug!$G$32:$G$45))*(1-Landbrug!$D$5)*Arealanvendelse!M$36</f>
        <v>22519.293547348854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4" s="11">
        <f>(VLOOKUP($B34,'[1]Afgrødefordeling - jordtype'!$O$4:$R$17,MATCH(I$4,'[1]Afgrødefordeling - jordtype'!$O$3:$R$3,0),FALSE)+SUMIF(Landbrug!$B$32:$B$45,$B34,Landbrug!$H$32:$H$45))*(1-Landbrug!$E$5)*Arealanvendelse!P$36</f>
        <v>21317.445428094172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4" s="35">
        <f>VLOOKUP($B34,'[1]Afgrødefordeling - jordtype'!$O$4:$R$17,MATCH(C$4,'[1]Afgrødefordeling - jordtype'!$O$3:$R$3,0),FALSE)*(Landbrug!$C$5)*Arealanvendelse!J$36</f>
        <v>5171.7070261351</v>
      </c>
      <c r="M34" s="35">
        <f>VLOOKUP($B34,'[1]Afgrødefordeling - jordtype'!$O$4:$R$17,MATCH(D$4,'[1]Afgrødefordeling - jordtype'!$O$3:$R$3,0),FALSE)*(Landbrug!$C$5)*Arealanvendelse!K$36</f>
        <v>46.389397462214085</v>
      </c>
      <c r="N34" s="35">
        <f>VLOOKUP($B34,'[1]Afgrødefordeling - jordtype'!$O$4:$R$17,MATCH(E$4,'[1]Afgrødefordeling - jordtype'!$O$3:$R$3,0),FALSE)*(Landbrug!$C$5)*Arealanvendelse!L$36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jordtype'!$O$3:$R$3,0),FALSE)+SUMIF(Landbrug!$B$32:$B$45,$B34,Landbrug!$G$32:$G$45))*(Landbrug!$D$5)*Arealanvendelse!M$36</f>
        <v>3514.5718253087812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4" s="11">
        <f>(VLOOKUP($B34,'[1]Afgrødefordeling - jordtype'!$O$4:$R$17,MATCH(R$4,'[1]Afgrødefordeling - jordtype'!$O$3:$R$3,0),FALSE)+SUMIF(Landbrug!$B$32:$B$45,$B34,Landbrug!$H$32:$H$45))*(Landbrug!$E$5)*Arealanvendelse!P$36</f>
        <v>4521.8823635351273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4" s="53"/>
    </row>
    <row r="35" spans="1:21" x14ac:dyDescent="0.25">
      <c r="A35" s="56"/>
      <c r="B35" s="41" t="str">
        <f>[1]Afgrødefordeling!C5</f>
        <v>Græs</v>
      </c>
      <c r="C35" s="35">
        <f>VLOOKUP($B35,'[1]Afgrødefordeling - jordtype'!$O$4:$R$17,MATCH(C$4,'[1]Afgrødefordeling - jordtype'!$O$3:$R$3,0),FALSE)*(1-Landbrug!$C$5)*Arealanvendelse!J$36</f>
        <v>24572.998517620537</v>
      </c>
      <c r="D35" s="35">
        <f>VLOOKUP($B35,'[1]Afgrødefordeling - jordtype'!$O$4:$R$17,MATCH(D$4,'[1]Afgrødefordeling - jordtype'!$O$3:$R$3,0),FALSE)*(1-Landbrug!$C$5)*Arealanvendelse!K$36</f>
        <v>1066.8125324809869</v>
      </c>
      <c r="E35" s="35">
        <f>VLOOKUP($B35,'[1]Afgrødefordeling - jordtype'!$O$4:$R$17,MATCH(E$4,'[1]Afgrødefordeling - jordtype'!$O$3:$R$3,0),FALSE)*(1-Landbrug!$C$5)*Arealanvendelse!L$36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jordtype'!$O$3:$R$3,0),FALSE)+SUMIF(Landbrug!$B$32:$B$45,$B35,Landbrug!$G$32:$G$45))*(1-Landbrug!$D$5)*Arealanvendelse!M$36</f>
        <v>21481.174310929808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5" s="11">
        <f>(VLOOKUP($B35,'[1]Afgrødefordeling - jordtype'!$O$4:$R$17,MATCH(I$4,'[1]Afgrødefordeling - jordtype'!$O$3:$R$3,0),FALSE)+SUMIF(Landbrug!$B$32:$B$45,$B35,Landbrug!$H$32:$H$45))*(1-Landbrug!$E$5)*Arealanvendelse!P$36</f>
        <v>24386.060205130583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5" s="35">
        <f>VLOOKUP($B35,'[1]Afgrødefordeling - jordtype'!$O$4:$R$17,MATCH(C$4,'[1]Afgrødefordeling - jordtype'!$O$3:$R$3,0),FALSE)*(Landbrug!$C$5)*Arealanvendelse!J$36</f>
        <v>3141.9408009562312</v>
      </c>
      <c r="M35" s="35">
        <f>VLOOKUP($B35,'[1]Afgrødefordeling - jordtype'!$O$4:$R$17,MATCH(D$4,'[1]Afgrødefordeling - jordtype'!$O$3:$R$3,0),FALSE)*(Landbrug!$C$5)*Arealanvendelse!K$36</f>
        <v>136.4042658599414</v>
      </c>
      <c r="N35" s="35">
        <f>VLOOKUP($B35,'[1]Afgrødefordeling - jordtype'!$O$4:$R$17,MATCH(E$4,'[1]Afgrødefordeling - jordtype'!$O$3:$R$3,0),FALSE)*(Landbrug!$C$5)*Arealanvendelse!L$36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jordtype'!$O$3:$R$3,0),FALSE)+SUMIF(Landbrug!$B$32:$B$45,$B35,Landbrug!$G$32:$G$45))*(Landbrug!$D$5)*Arealanvendelse!M$36</f>
        <v>3352.5532161566757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5" s="11">
        <f>(VLOOKUP($B35,'[1]Afgrødefordeling - jordtype'!$O$4:$R$17,MATCH(R$4,'[1]Afgrødefordeling - jordtype'!$O$3:$R$3,0),FALSE)+SUMIF(Landbrug!$B$32:$B$45,$B35,Landbrug!$H$32:$H$45))*(Landbrug!$E$5)*Arealanvendelse!P$36</f>
        <v>5172.8006495731543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5" s="53"/>
    </row>
    <row r="36" spans="1:21" x14ac:dyDescent="0.25">
      <c r="A36" s="56"/>
      <c r="B36" s="41" t="str">
        <f>[1]Afgrødefordeling!C6</f>
        <v>Grøntsager</v>
      </c>
      <c r="C36" s="35">
        <f>VLOOKUP($B36,'[1]Afgrødefordeling - jordtype'!$O$4:$R$17,MATCH(C$4,'[1]Afgrødefordeling - jordtype'!$O$3:$R$3,0),FALSE)*(1-Landbrug!$C$5)*Arealanvendelse!J$36</f>
        <v>3850.5952952805674</v>
      </c>
      <c r="D36" s="35">
        <f>VLOOKUP($B36,'[1]Afgrødefordeling - jordtype'!$O$4:$R$17,MATCH(D$4,'[1]Afgrødefordeling - jordtype'!$O$3:$R$3,0),FALSE)*(1-Landbrug!$C$5)*Arealanvendelse!K$36</f>
        <v>20.204274039436456</v>
      </c>
      <c r="E36" s="35">
        <f>VLOOKUP($B36,'[1]Afgrødefordeling - jordtype'!$O$4:$R$17,MATCH(E$4,'[1]Afgrødefordeling - jordtype'!$O$3:$R$3,0),FALSE)*(1-Landbrug!$C$5)*Arealanvendelse!L$36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jordtype'!$O$3:$R$3,0),FALSE)+SUMIF(Landbrug!$B$32:$B$45,$B36,Landbrug!$G$32:$G$45))*(1-Landbrug!$D$5)*Arealanvendelse!M$36</f>
        <v>3366.1056333623883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6" s="11">
        <f>(VLOOKUP($B36,'[1]Afgrødefordeling - jordtype'!$O$4:$R$17,MATCH(I$4,'[1]Afgrødefordeling - jordtype'!$O$3:$R$3,0),FALSE)+SUMIF(Landbrug!$B$32:$B$45,$B36,Landbrug!$H$32:$H$45))*(1-Landbrug!$E$5)*Arealanvendelse!P$36</f>
        <v>3186.4575588718167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6" s="35">
        <f>VLOOKUP($B36,'[1]Afgrødefordeling - jordtype'!$O$4:$R$17,MATCH(C$4,'[1]Afgrødefordeling - jordtype'!$O$3:$R$3,0),FALSE)*(Landbrug!$C$5)*Arealanvendelse!J$36</f>
        <v>492.34294534860186</v>
      </c>
      <c r="M36" s="35">
        <f>VLOOKUP($B36,'[1]Afgrødefordeling - jordtype'!$O$4:$R$17,MATCH(D$4,'[1]Afgrødefordeling - jordtype'!$O$3:$R$3,0),FALSE)*(Landbrug!$C$5)*Arealanvendelse!K$36</f>
        <v>2.5833490736869646</v>
      </c>
      <c r="N36" s="35">
        <f>VLOOKUP($B36,'[1]Afgrødefordeling - jordtype'!$O$4:$R$17,MATCH(E$4,'[1]Afgrødefordeling - jordtype'!$O$3:$R$3,0),FALSE)*(Landbrug!$C$5)*Arealanvendelse!L$36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jordtype'!$O$3:$R$3,0),FALSE)+SUMIF(Landbrug!$B$32:$B$45,$B36,Landbrug!$G$32:$G$45))*(Landbrug!$D$5)*Arealanvendelse!M$36</f>
        <v>525.34596590048841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6" s="11">
        <f>(VLOOKUP($B36,'[1]Afgrødefordeling - jordtype'!$O$4:$R$17,MATCH(R$4,'[1]Afgrødefordeling - jordtype'!$O$3:$R$3,0),FALSE)+SUMIF(Landbrug!$B$32:$B$45,$B36,Landbrug!$H$32:$H$45))*(Landbrug!$E$5)*Arealanvendelse!P$36</f>
        <v>675.91523976068834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6" s="53"/>
    </row>
    <row r="37" spans="1:21" x14ac:dyDescent="0.25">
      <c r="A37" s="56"/>
      <c r="B37" s="41" t="str">
        <f>[1]Afgrødefordeling!C7</f>
        <v>Kartofler</v>
      </c>
      <c r="C37" s="35">
        <f>VLOOKUP($B37,'[1]Afgrødefordeling - jordtype'!$O$4:$R$17,MATCH(C$4,'[1]Afgrødefordeling - jordtype'!$O$3:$R$3,0),FALSE)*(1-Landbrug!$C$5)*Arealanvendelse!J$36</f>
        <v>2470.1663355738019</v>
      </c>
      <c r="D37" s="35">
        <f>VLOOKUP($B37,'[1]Afgrødefordeling - jordtype'!$O$4:$R$17,MATCH(D$4,'[1]Afgrødefordeling - jordtype'!$O$3:$R$3,0),FALSE)*(1-Landbrug!$C$5)*Arealanvendelse!K$36</f>
        <v>34.349115010819808</v>
      </c>
      <c r="E37" s="35">
        <f>VLOOKUP($B37,'[1]Afgrødefordeling - jordtype'!$O$4:$R$17,MATCH(E$4,'[1]Afgrødefordeling - jordtype'!$O$3:$R$3,0),FALSE)*(1-Landbrug!$C$5)*Arealanvendelse!L$36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jordtype'!$O$3:$R$3,0),FALSE)+SUMIF(Landbrug!$B$32:$B$45,$B37,Landbrug!$G$32:$G$45))*(1-Landbrug!$D$5)*Arealanvendelse!M$36</f>
        <v>-2120.3732467518535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7" s="11">
        <f>(VLOOKUP($B37,'[1]Afgrødefordeling - jordtype'!$O$4:$R$17,MATCH(I$4,'[1]Afgrødefordeling - jordtype'!$O$3:$R$3,0),FALSE)+SUMIF(Landbrug!$B$32:$B$45,$B37,Landbrug!$H$32:$H$45))*(1-Landbrug!$E$5)*Arealanvendelse!P$36</f>
        <v>-2007.2095458849287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7" s="35">
        <f>VLOOKUP($B37,'[1]Afgrødefordeling - jordtype'!$O$4:$R$17,MATCH(C$4,'[1]Afgrødefordeling - jordtype'!$O$3:$R$3,0),FALSE)*(Landbrug!$C$5)*Arealanvendelse!J$36</f>
        <v>315.83920819930114</v>
      </c>
      <c r="M37" s="35">
        <f>VLOOKUP($B37,'[1]Afgrødefordeling - jordtype'!$O$4:$R$17,MATCH(D$4,'[1]Afgrødefordeling - jordtype'!$O$3:$R$3,0),FALSE)*(Landbrug!$C$5)*Arealanvendelse!K$36</f>
        <v>4.3919298595914027</v>
      </c>
      <c r="N37" s="35">
        <f>VLOOKUP($B37,'[1]Afgrødefordeling - jordtype'!$O$4:$R$17,MATCH(E$4,'[1]Afgrødefordeling - jordtype'!$O$3:$R$3,0),FALSE)*(Landbrug!$C$5)*Arealanvendelse!L$36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jordtype'!$O$3:$R$3,0),FALSE)+SUMIF(Landbrug!$B$32:$B$45,$B37,Landbrug!$G$32:$G$45))*(Landbrug!$D$5)*Arealanvendelse!M$36</f>
        <v>-330.92530440635869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7" s="11">
        <f>(VLOOKUP($B37,'[1]Afgrødefordeling - jordtype'!$O$4:$R$17,MATCH(R$4,'[1]Afgrødefordeling - jordtype'!$O$3:$R$3,0),FALSE)+SUMIF(Landbrug!$B$32:$B$45,$B37,Landbrug!$H$32:$H$45))*(Landbrug!$E$5)*Arealanvendelse!P$36</f>
        <v>-425.77172185437882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7" s="53"/>
    </row>
    <row r="38" spans="1:21" x14ac:dyDescent="0.25">
      <c r="A38" s="56"/>
      <c r="B38" s="41" t="str">
        <f>[1]Afgrødefordeling!C8</f>
        <v>Roer</v>
      </c>
      <c r="C38" s="35">
        <f>VLOOKUP($B38,'[1]Afgrødefordeling - jordtype'!$O$4:$R$17,MATCH(C$4,'[1]Afgrødefordeling - jordtype'!$O$3:$R$3,0),FALSE)*(1-Landbrug!$C$5)*Arealanvendelse!J$36</f>
        <v>25678.880997566026</v>
      </c>
      <c r="D38" s="35">
        <f>VLOOKUP($B38,'[1]Afgrødefordeling - jordtype'!$O$4:$R$17,MATCH(D$4,'[1]Afgrødefordeling - jordtype'!$O$3:$R$3,0),FALSE)*(1-Landbrug!$C$5)*Arealanvendelse!K$36</f>
        <v>95.964200645574223</v>
      </c>
      <c r="E38" s="35">
        <f>VLOOKUP($B38,'[1]Afgrødefordeling - jordtype'!$O$4:$R$17,MATCH(E$4,'[1]Afgrødefordeling - jordtype'!$O$3:$R$3,0),FALSE)*(1-Landbrug!$C$5)*Arealanvendelse!L$36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jordtype'!$O$3:$R$3,0),FALSE)+SUMIF(Landbrug!$B$32:$B$45,$B38,Landbrug!$G$32:$G$45))*(1-Landbrug!$D$5)*Arealanvendelse!M$36</f>
        <v>22447.91242805776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8" s="11">
        <f>(VLOOKUP($B38,'[1]Afgrødefordeling - jordtype'!$O$4:$R$17,MATCH(I$4,'[1]Afgrødefordeling - jordtype'!$O$3:$R$3,0),FALSE)+SUMIF(Landbrug!$B$32:$B$45,$B38,Landbrug!$H$32:$H$45))*(1-Landbrug!$E$5)*Arealanvendelse!P$36</f>
        <v>21249.873898290862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8" s="35">
        <f>VLOOKUP($B38,'[1]Afgrødefordeling - jordtype'!$O$4:$R$17,MATCH(C$4,'[1]Afgrødefordeling - jordtype'!$O$3:$R$3,0),FALSE)*(Landbrug!$C$5)*Arealanvendelse!J$36</f>
        <v>3283.3406094619722</v>
      </c>
      <c r="M38" s="35">
        <f>VLOOKUP($B38,'[1]Afgrødefordeling - jordtype'!$O$4:$R$17,MATCH(D$4,'[1]Afgrødefordeling - jordtype'!$O$3:$R$3,0),FALSE)*(Landbrug!$C$5)*Arealanvendelse!K$36</f>
        <v>12.270128011576354</v>
      </c>
      <c r="N38" s="35">
        <f>VLOOKUP($B38,'[1]Afgrødefordeling - jordtype'!$O$4:$R$17,MATCH(E$4,'[1]Afgrødefordeling - jordtype'!$O$3:$R$3,0),FALSE)*(Landbrug!$C$5)*Arealanvendelse!L$36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jordtype'!$O$3:$R$3,0),FALSE)+SUMIF(Landbrug!$B$32:$B$45,$B38,Landbrug!$G$32:$G$45))*(Landbrug!$D$5)*Arealanvendelse!M$36</f>
        <v>3503.4314194078588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8" s="11">
        <f>(VLOOKUP($B38,'[1]Afgrødefordeling - jordtype'!$O$4:$R$17,MATCH(R$4,'[1]Afgrødefordeling - jordtype'!$O$3:$R$3,0),FALSE)+SUMIF(Landbrug!$B$32:$B$45,$B38,Landbrug!$H$32:$H$45))*(Landbrug!$E$5)*Arealanvendelse!P$36</f>
        <v>4507.5490087283642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8" s="53"/>
    </row>
    <row r="39" spans="1:21" x14ac:dyDescent="0.25">
      <c r="A39" s="56"/>
      <c r="B39" s="41" t="str">
        <f>[1]Afgrødefordeling!C9</f>
        <v>Majs</v>
      </c>
      <c r="C39" s="35">
        <f>VLOOKUP($B39,'[1]Afgrødefordeling - jordtype'!$O$4:$R$17,MATCH(C$4,'[1]Afgrødefordeling - jordtype'!$O$3:$R$3,0),FALSE)*(1-Landbrug!$C$5)*Arealanvendelse!J$36</f>
        <v>7262.9431424427694</v>
      </c>
      <c r="D39" s="35">
        <f>VLOOKUP($B39,'[1]Afgrødefordeling - jordtype'!$O$4:$R$17,MATCH(D$4,'[1]Afgrødefordeling - jordtype'!$O$3:$R$3,0),FALSE)*(1-Landbrug!$C$5)*Arealanvendelse!K$36</f>
        <v>102.31264680005847</v>
      </c>
      <c r="E39" s="35">
        <f>VLOOKUP($B39,'[1]Afgrødefordeling - jordtype'!$O$4:$R$17,MATCH(E$4,'[1]Afgrødefordeling - jordtype'!$O$3:$R$3,0),FALSE)*(1-Landbrug!$C$5)*Arealanvendelse!L$36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jordtype'!$O$3:$R$3,0),FALSE)+SUMIF(Landbrug!$B$32:$B$45,$B39,Landbrug!$G$32:$G$45))*(1-Landbrug!$D$5)*Arealanvendelse!M$36</f>
        <v>6349.1049959292022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39" s="11">
        <f>(VLOOKUP($B39,'[1]Afgrødefordeling - jordtype'!$O$4:$R$17,MATCH(I$4,'[1]Afgrødefordeling - jordtype'!$O$3:$R$3,0),FALSE)+SUMIF(Landbrug!$B$32:$B$45,$B39,Landbrug!$H$32:$H$45))*(1-Landbrug!$E$5)*Arealanvendelse!P$36</f>
        <v>6010.2551167238944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39" s="35">
        <f>VLOOKUP($B39,'[1]Afgrødefordeling - jordtype'!$O$4:$R$17,MATCH(C$4,'[1]Afgrødefordeling - jordtype'!$O$3:$R$3,0),FALSE)*(Landbrug!$C$5)*Arealanvendelse!J$36</f>
        <v>928.65090834978378</v>
      </c>
      <c r="M39" s="35">
        <f>VLOOKUP($B39,'[1]Afgrødefordeling - jordtype'!$O$4:$R$17,MATCH(D$4,'[1]Afgrødefordeling - jordtype'!$O$3:$R$3,0),FALSE)*(Landbrug!$C$5)*Arealanvendelse!K$36</f>
        <v>13.0818499502378</v>
      </c>
      <c r="N39" s="35">
        <f>VLOOKUP($B39,'[1]Afgrødefordeling - jordtype'!$O$4:$R$17,MATCH(E$4,'[1]Afgrødefordeling - jordtype'!$O$3:$R$3,0),FALSE)*(Landbrug!$C$5)*Arealanvendelse!L$36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jordtype'!$O$3:$R$3,0),FALSE)+SUMIF(Landbrug!$B$32:$B$45,$B39,Landbrug!$G$32:$G$45))*(Landbrug!$D$5)*Arealanvendelse!M$36</f>
        <v>990.90077971149412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39" s="11">
        <f>(VLOOKUP($B39,'[1]Afgrødefordeling - jordtype'!$O$4:$R$17,MATCH(R$4,'[1]Afgrødefordeling - jordtype'!$O$3:$R$3,0),FALSE)+SUMIF(Landbrug!$B$32:$B$45,$B39,Landbrug!$H$32:$H$45))*(Landbrug!$E$5)*Arealanvendelse!P$36</f>
        <v>1274.9026005171897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39" s="53"/>
    </row>
    <row r="40" spans="1:21" x14ac:dyDescent="0.25">
      <c r="A40" s="56"/>
      <c r="B40" s="41" t="str">
        <f>[1]Afgrødefordeling!C10</f>
        <v>Frugt</v>
      </c>
      <c r="C40" s="35">
        <f>VLOOKUP($B40,'[1]Afgrødefordeling - jordtype'!$O$4:$R$17,MATCH(C$4,'[1]Afgrødefordeling - jordtype'!$O$3:$R$3,0),FALSE)*(1-Landbrug!$C$5)*Arealanvendelse!J$36</f>
        <v>1689.9505584470551</v>
      </c>
      <c r="D40" s="35">
        <f>VLOOKUP($B40,'[1]Afgrødefordeling - jordtype'!$O$4:$R$17,MATCH(D$4,'[1]Afgrødefordeling - jordtype'!$O$3:$R$3,0),FALSE)*(1-Landbrug!$C$5)*Arealanvendelse!K$36</f>
        <v>22.070941108444988</v>
      </c>
      <c r="E40" s="35">
        <f>VLOOKUP($B40,'[1]Afgrødefordeling - jordtype'!$O$4:$R$17,MATCH(E$4,'[1]Afgrødefordeling - jordtype'!$O$3:$R$3,0),FALSE)*(1-Landbrug!$C$5)*Arealanvendelse!L$36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jordtype'!$O$3:$R$3,0),FALSE)+SUMIF(Landbrug!$B$32:$B$45,$B40,Landbrug!$G$32:$G$45))*(1-Landbrug!$D$5)*Arealanvendelse!M$36</f>
        <v>1477.3175726528953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0" s="11">
        <f>(VLOOKUP($B40,'[1]Afgrødefordeling - jordtype'!$O$4:$R$17,MATCH(I$4,'[1]Afgrødefordeling - jordtype'!$O$3:$R$3,0),FALSE)+SUMIF(Landbrug!$B$32:$B$45,$B40,Landbrug!$H$32:$H$45))*(1-Landbrug!$E$5)*Arealanvendelse!P$36</f>
        <v>1398.4735652908703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0" s="35">
        <f>VLOOKUP($B40,'[1]Afgrødefordeling - jordtype'!$O$4:$R$17,MATCH(C$4,'[1]Afgrødefordeling - jordtype'!$O$3:$R$3,0),FALSE)*(Landbrug!$C$5)*Arealanvendelse!J$36</f>
        <v>216.07963746777307</v>
      </c>
      <c r="M40" s="35">
        <f>VLOOKUP($B40,'[1]Afgrødefordeling - jordtype'!$O$4:$R$17,MATCH(D$4,'[1]Afgrødefordeling - jordtype'!$O$3:$R$3,0),FALSE)*(Landbrug!$C$5)*Arealanvendelse!K$36</f>
        <v>2.8220239517940748</v>
      </c>
      <c r="N40" s="35">
        <f>VLOOKUP($B40,'[1]Afgrødefordeling - jordtype'!$O$4:$R$17,MATCH(E$4,'[1]Afgrødefordeling - jordtype'!$O$3:$R$3,0),FALSE)*(Landbrug!$C$5)*Arealanvendelse!L$36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jordtype'!$O$3:$R$3,0),FALSE)+SUMIF(Landbrug!$B$32:$B$45,$B40,Landbrug!$G$32:$G$45))*(Landbrug!$D$5)*Arealanvendelse!M$36</f>
        <v>230.56401422906458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0" s="11">
        <f>(VLOOKUP($B40,'[1]Afgrødefordeling - jordtype'!$O$4:$R$17,MATCH(R$4,'[1]Afgrødefordeling - jordtype'!$O$3:$R$3,0),FALSE)+SUMIF(Landbrug!$B$32:$B$45,$B40,Landbrug!$H$32:$H$45))*(Landbrug!$E$5)*Arealanvendelse!P$36</f>
        <v>296.64590778897252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0" s="53"/>
    </row>
    <row r="41" spans="1:21" x14ac:dyDescent="0.25">
      <c r="A41" s="56"/>
      <c r="B41" s="41" t="str">
        <f>[1]Afgrødefordeling!C11</f>
        <v>Øvrige</v>
      </c>
      <c r="C41" s="35">
        <f>VLOOKUP($B41,'[1]Afgrødefordeling - jordtype'!$O$4:$R$17,MATCH(C$4,'[1]Afgrødefordeling - jordtype'!$O$3:$R$3,0),FALSE)*(1-Landbrug!$C$5)*Arealanvendelse!J$36</f>
        <v>12067.066633104925</v>
      </c>
      <c r="D41" s="35">
        <f>VLOOKUP($B41,'[1]Afgrødefordeling - jordtype'!$O$4:$R$17,MATCH(D$4,'[1]Afgrødefordeling - jordtype'!$O$3:$R$3,0),FALSE)*(1-Landbrug!$C$5)*Arealanvendelse!K$36</f>
        <v>157.59722417896069</v>
      </c>
      <c r="E41" s="35">
        <f>VLOOKUP($B41,'[1]Afgrødefordeling - jordtype'!$O$4:$R$17,MATCH(E$4,'[1]Afgrødefordeling - jordtype'!$O$3:$R$3,0),FALSE)*(1-Landbrug!$C$5)*Arealanvendelse!L$36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jordtype'!$O$3:$R$3,0),FALSE)+SUMIF(Landbrug!$B$32:$B$45,$B41,Landbrug!$G$32:$G$45))*(1-Landbrug!$D$5)*Arealanvendelse!M$36</f>
        <v>6269.0257103210697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1" s="11">
        <f>(VLOOKUP($B41,'[1]Afgrødefordeling - jordtype'!$O$4:$R$17,MATCH(I$4,'[1]Afgrødefordeling - jordtype'!$O$3:$R$3,0),FALSE)+SUMIF(Landbrug!$B$32:$B$45,$B41,Landbrug!$H$32:$H$45))*(1-Landbrug!$E$5)*Arealanvendelse!P$36</f>
        <v>5934.4496391993525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1" s="35">
        <f>VLOOKUP($B41,'[1]Afgrødefordeling - jordtype'!$O$4:$R$17,MATCH(C$4,'[1]Afgrødefordeling - jordtype'!$O$3:$R$3,0),FALSE)*(Landbrug!$C$5)*Arealanvendelse!J$36</f>
        <v>1542.9134126721628</v>
      </c>
      <c r="M41" s="35">
        <f>VLOOKUP($B41,'[1]Afgrødefordeling - jordtype'!$O$4:$R$17,MATCH(D$4,'[1]Afgrødefordeling - jordtype'!$O$3:$R$3,0),FALSE)*(Landbrug!$C$5)*Arealanvendelse!K$36</f>
        <v>20.15061973044347</v>
      </c>
      <c r="N41" s="35">
        <f>VLOOKUP($B41,'[1]Afgrødefordeling - jordtype'!$O$4:$R$17,MATCH(E$4,'[1]Afgrødefordeling - jordtype'!$O$3:$R$3,0),FALSE)*(Landbrug!$C$5)*Arealanvendelse!L$36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jordtype'!$O$3:$R$3,0),FALSE)+SUMIF(Landbrug!$B$32:$B$45,$B41,Landbrug!$G$32:$G$45))*(Landbrug!$D$5)*Arealanvendelse!M$36</f>
        <v>978.40285652409761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1" s="11">
        <f>(VLOOKUP($B41,'[1]Afgrødefordeling - jordtype'!$O$4:$R$17,MATCH(R$4,'[1]Afgrødefordeling - jordtype'!$O$3:$R$3,0),FALSE)+SUMIF(Landbrug!$B$32:$B$45,$B41,Landbrug!$H$32:$H$45))*(Landbrug!$E$5)*Arealanvendelse!P$36</f>
        <v>1258.8226507392565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1" s="53"/>
    </row>
    <row r="42" spans="1:21" x14ac:dyDescent="0.25">
      <c r="A42" s="56"/>
      <c r="B42" s="41" t="str">
        <f>[1]Afgrødefordeling!C12</f>
        <v>Frø</v>
      </c>
      <c r="C42" s="35">
        <f>VLOOKUP($B42,'[1]Afgrødefordeling - jordtype'!$O$4:$R$17,MATCH(C$4,'[1]Afgrødefordeling - jordtype'!$O$3:$R$3,0),FALSE)*(1-Landbrug!$C$5)*Arealanvendelse!J$36</f>
        <v>37335.148248827281</v>
      </c>
      <c r="D42" s="35">
        <f>VLOOKUP($B42,'[1]Afgrødefordeling - jordtype'!$O$4:$R$17,MATCH(D$4,'[1]Afgrødefordeling - jordtype'!$O$3:$R$3,0),FALSE)*(1-Landbrug!$C$5)*Arealanvendelse!K$36</f>
        <v>1144.1483740031422</v>
      </c>
      <c r="E42" s="35">
        <f>VLOOKUP($B42,'[1]Afgrødefordeling - jordtype'!$O$4:$R$17,MATCH(E$4,'[1]Afgrødefordeling - jordtype'!$O$3:$R$3,0),FALSE)*(1-Landbrug!$C$5)*Arealanvendelse!L$36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jordtype'!$O$3:$R$3,0),FALSE)+SUMIF(Landbrug!$B$32:$B$45,$B42,Landbrug!$G$32:$G$45))*(1-Landbrug!$D$5)*Arealanvendelse!M$36</f>
        <v>32637.564637558302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2" s="11">
        <f>(VLOOKUP($B42,'[1]Afgrødefordeling - jordtype'!$O$4:$R$17,MATCH(I$4,'[1]Afgrødefordeling - jordtype'!$O$3:$R$3,0),FALSE)+SUMIF(Landbrug!$B$32:$B$45,$B42,Landbrug!$H$32:$H$45))*(1-Landbrug!$E$5)*Arealanvendelse!P$36</f>
        <v>30895.707345533239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2" s="35">
        <f>VLOOKUP($B42,'[1]Afgrødefordeling - jordtype'!$O$4:$R$17,MATCH(C$4,'[1]Afgrødefordeling - jordtype'!$O$3:$R$3,0),FALSE)*(Landbrug!$C$5)*Arealanvendelse!J$36</f>
        <v>4773.7285911047593</v>
      </c>
      <c r="M42" s="35">
        <f>VLOOKUP($B42,'[1]Afgrødefordeling - jordtype'!$O$4:$R$17,MATCH(D$4,'[1]Afgrødefordeling - jordtype'!$O$3:$R$3,0),FALSE)*(Landbrug!$C$5)*Arealanvendelse!K$36</f>
        <v>146.29254366537521</v>
      </c>
      <c r="N42" s="35">
        <f>VLOOKUP($B42,'[1]Afgrødefordeling - jordtype'!$O$4:$R$17,MATCH(E$4,'[1]Afgrødefordeling - jordtype'!$O$3:$R$3,0),FALSE)*(Landbrug!$C$5)*Arealanvendelse!L$36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jordtype'!$O$3:$R$3,0),FALSE)+SUMIF(Landbrug!$B$32:$B$45,$B42,Landbrug!$G$32:$G$45))*(Landbrug!$D$5)*Arealanvendelse!M$36</f>
        <v>5093.7239607749952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2" s="11">
        <f>(VLOOKUP($B42,'[1]Afgrødefordeling - jordtype'!$O$4:$R$17,MATCH(R$4,'[1]Afgrødefordeling - jordtype'!$O$3:$R$3,0),FALSE)+SUMIF(Landbrug!$B$32:$B$45,$B42,Landbrug!$H$32:$H$45))*(Landbrug!$E$5)*Arealanvendelse!P$36</f>
        <v>6553.6348914767477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2" s="53"/>
    </row>
    <row r="43" spans="1:21" x14ac:dyDescent="0.25">
      <c r="A43" s="56"/>
      <c r="B43" s="42" t="str">
        <f>[1]Afgrødefordeling!C13</f>
        <v>Juletræer</v>
      </c>
      <c r="C43" s="35">
        <f>VLOOKUP($B43,'[1]Afgrødefordeling - jordtype'!$O$4:$R$17,MATCH(C$4,'[1]Afgrødefordeling - jordtype'!$O$3:$R$3,0),FALSE)*(1-Landbrug!$C$5)*Arealanvendelse!J$36</f>
        <v>2648.1429081925139</v>
      </c>
      <c r="D43" s="35">
        <f>VLOOKUP($B43,'[1]Afgrødefordeling - jordtype'!$O$4:$R$17,MATCH(D$4,'[1]Afgrødefordeling - jordtype'!$O$3:$R$3,0),FALSE)*(1-Landbrug!$C$5)*Arealanvendelse!K$36</f>
        <v>34.585039119234281</v>
      </c>
      <c r="E43" s="35">
        <f>VLOOKUP($B43,'[1]Afgrødefordeling - jordtype'!$O$4:$R$17,MATCH(E$4,'[1]Afgrødefordeling - jordtype'!$O$3:$R$3,0),FALSE)*(1-Landbrug!$C$5)*Arealanvendelse!L$36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jordtype'!$O$3:$R$3,0),FALSE)+SUMIF(Landbrug!$B$32:$B$45,$B43,Landbrug!$G$32:$G$45))*(1-Landbrug!$D$5)*Arealanvendelse!M$36</f>
        <v>2314.9482294700565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3" s="11">
        <f>(VLOOKUP($B43,'[1]Afgrødefordeling - jordtype'!$O$4:$R$17,MATCH(I$4,'[1]Afgrødefordeling - jordtype'!$O$3:$R$3,0),FALSE)+SUMIF(Landbrug!$B$32:$B$45,$B43,Landbrug!$H$32:$H$45))*(1-Landbrug!$E$5)*Arealanvendelse!P$36</f>
        <v>2191.4001186063351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3" s="35">
        <f>VLOOKUP($B43,'[1]Afgrødefordeling - jordtype'!$O$4:$R$17,MATCH(C$4,'[1]Afgrødefordeling - jordtype'!$O$3:$R$3,0),FALSE)*(Landbrug!$C$5)*Arealanvendelse!J$36</f>
        <v>338.59556228136813</v>
      </c>
      <c r="M43" s="35">
        <f>VLOOKUP($B43,'[1]Afgrødefordeling - jordtype'!$O$4:$R$17,MATCH(D$4,'[1]Afgrødefordeling - jordtype'!$O$3:$R$3,0),FALSE)*(Landbrug!$C$5)*Arealanvendelse!K$36</f>
        <v>4.4220954733493292</v>
      </c>
      <c r="N43" s="35">
        <f>VLOOKUP($B43,'[1]Afgrødefordeling - jordtype'!$O$4:$R$17,MATCH(E$4,'[1]Afgrødefordeling - jordtype'!$O$3:$R$3,0),FALSE)*(Landbrug!$C$5)*Arealanvendelse!L$36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jordtype'!$O$3:$R$3,0),FALSE)+SUMIF(Landbrug!$B$32:$B$45,$B43,Landbrug!$G$32:$G$45))*(Landbrug!$D$5)*Arealanvendelse!M$36</f>
        <v>361.29249824099151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3" s="11">
        <f>(VLOOKUP($B43,'[1]Afgrødefordeling - jordtype'!$O$4:$R$17,MATCH(R$4,'[1]Afgrødefordeling - jordtype'!$O$3:$R$3,0),FALSE)+SUMIF(Landbrug!$B$32:$B$45,$B43,Landbrug!$H$32:$H$45))*(Landbrug!$E$5)*Arealanvendelse!P$36</f>
        <v>464.84244940134386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3" s="53"/>
    </row>
    <row r="44" spans="1:21" x14ac:dyDescent="0.25">
      <c r="A44" s="56"/>
      <c r="B44" s="42" t="str">
        <f>[1]Afgrødefordeling!C14</f>
        <v>Pil &amp; poppel</v>
      </c>
      <c r="C44" s="35">
        <f>VLOOKUP($B44,'[1]Afgrødefordeling - jordtype'!$O$4:$R$17,MATCH(C$4,'[1]Afgrødefordeling - jordtype'!$O$3:$R$3,0),FALSE)*(1-Landbrug!$C$5)*Arealanvendelse!J$36</f>
        <v>1258.7577822820135</v>
      </c>
      <c r="D44" s="35">
        <f>VLOOKUP($B44,'[1]Afgrødefordeling - jordtype'!$O$4:$R$17,MATCH(D$4,'[1]Afgrødefordeling - jordtype'!$O$3:$R$3,0),FALSE)*(1-Landbrug!$C$5)*Arealanvendelse!K$36</f>
        <v>73.402370173862749</v>
      </c>
      <c r="E44" s="35">
        <f>VLOOKUP($B44,'[1]Afgrødefordeling - jordtype'!$O$4:$R$17,MATCH(E$4,'[1]Afgrødefordeling - jordtype'!$O$3:$R$3,0),FALSE)*(1-Landbrug!$C$5)*Arealanvendelse!L$36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jordtype'!$O$3:$R$3,0),FALSE)+SUMIF(Landbrug!$B$32:$B$45,$B44,Landbrug!$G$32:$G$45))*(1-Landbrug!$D$5)*Arealanvendelse!M$36</f>
        <v>1100.3783407649707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4" s="11">
        <f>(VLOOKUP($B44,'[1]Afgrødefordeling - jordtype'!$O$4:$R$17,MATCH(I$4,'[1]Afgrødefordeling - jordtype'!$O$3:$R$3,0),FALSE)+SUMIF(Landbrug!$B$32:$B$45,$B44,Landbrug!$H$32:$H$45))*(1-Landbrug!$E$5)*Arealanvendelse!P$36</f>
        <v>1041.6514701135304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4" s="35">
        <f>VLOOKUP($B44,'[1]Afgrødefordeling - jordtype'!$O$4:$R$17,MATCH(C$4,'[1]Afgrødefordeling - jordtype'!$O$3:$R$3,0),FALSE)*(Landbrug!$C$5)*Arealanvendelse!J$36</f>
        <v>160.94667615908057</v>
      </c>
      <c r="M44" s="35">
        <f>VLOOKUP($B44,'[1]Afgrødefordeling - jordtype'!$O$4:$R$17,MATCH(D$4,'[1]Afgrødefordeling - jordtype'!$O$3:$R$3,0),FALSE)*(Landbrug!$C$5)*Arealanvendelse!K$36</f>
        <v>9.3853382024492209</v>
      </c>
      <c r="N44" s="35">
        <f>VLOOKUP($B44,'[1]Afgrødefordeling - jordtype'!$O$4:$R$17,MATCH(E$4,'[1]Afgrødefordeling - jordtype'!$O$3:$R$3,0),FALSE)*(Landbrug!$C$5)*Arealanvendelse!L$36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jordtype'!$O$3:$R$3,0),FALSE)+SUMIF(Landbrug!$B$32:$B$45,$B44,Landbrug!$G$32:$G$45))*(Landbrug!$D$5)*Arealanvendelse!M$36</f>
        <v>171.73534798066015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4" s="11">
        <f>(VLOOKUP($B44,'[1]Afgrødefordeling - jordtype'!$O$4:$R$17,MATCH(R$4,'[1]Afgrødefordeling - jordtype'!$O$3:$R$3,0),FALSE)+SUMIF(Landbrug!$B$32:$B$45,$B44,Landbrug!$H$32:$H$45))*(Landbrug!$E$5)*Arealanvendelse!P$36</f>
        <v>220.95637244832463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4" s="53"/>
    </row>
    <row r="45" spans="1:21" x14ac:dyDescent="0.25">
      <c r="A45" s="56"/>
      <c r="B45" s="42" t="str">
        <f>[1]Afgrødefordeling!C15</f>
        <v>Permanent græs</v>
      </c>
      <c r="C45" s="35">
        <f>VLOOKUP($B45,'[1]Afgrødefordeling - jordtype'!$O$4:$R$17,MATCH(C$4,'[1]Afgrødefordeling - jordtype'!$O$3:$R$3,0),FALSE)*(1-Landbrug!$C$5)*Arealanvendelse!J$36</f>
        <v>31352.142273239417</v>
      </c>
      <c r="D45" s="35">
        <f>VLOOKUP($B45,'[1]Afgrødefordeling - jordtype'!$O$4:$R$17,MATCH(D$4,'[1]Afgrødefordeling - jordtype'!$O$3:$R$3,0),FALSE)*(1-Landbrug!$C$5)*Arealanvendelse!K$36</f>
        <v>2143.8995874286088</v>
      </c>
      <c r="E45" s="35">
        <f>VLOOKUP($B45,'[1]Afgrødefordeling - jordtype'!$O$4:$R$17,MATCH(E$4,'[1]Afgrødefordeling - jordtype'!$O$3:$R$3,0),FALSE)*(1-Landbrug!$C$5)*Arealanvendelse!L$36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jordtype'!$O$3:$R$3,0),FALSE)+SUMIF(Landbrug!$B$32:$B$45,$B45,Landbrug!$G$32:$G$45))*(1-Landbrug!$D$5)*Arealanvendelse!M$36</f>
        <v>35966.829083562858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0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0</v>
      </c>
      <c r="I45" s="11">
        <f>(VLOOKUP($B45,'[1]Afgrødefordeling - jordtype'!$O$4:$R$17,MATCH(I$4,'[1]Afgrødefordeling - jordtype'!$O$3:$R$3,0),FALSE)+SUMIF(Landbrug!$B$32:$B$45,$B45,Landbrug!$H$32:$H$45))*(1-Landbrug!$E$5)*Arealanvendelse!P$36</f>
        <v>25944.630134419032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0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0</v>
      </c>
      <c r="L45" s="35">
        <f>VLOOKUP($B45,'[1]Afgrødefordeling - jordtype'!$O$4:$R$17,MATCH(C$4,'[1]Afgrødefordeling - jordtype'!$O$3:$R$3,0),FALSE)*(Landbrug!$C$5)*Arealanvendelse!J$36</f>
        <v>4008.7323870971445</v>
      </c>
      <c r="M45" s="35">
        <f>VLOOKUP($B45,'[1]Afgrødefordeling - jordtype'!$O$4:$R$17,MATCH(D$4,'[1]Afgrødefordeling - jordtype'!$O$3:$R$3,0),FALSE)*(Landbrug!$C$5)*Arealanvendelse!K$36</f>
        <v>274.12224772100956</v>
      </c>
      <c r="N45" s="35">
        <f>VLOOKUP($B45,'[1]Afgrødefordeling - jordtype'!$O$4:$R$17,MATCH(E$4,'[1]Afgrødefordeling - jordtype'!$O$3:$R$3,0),FALSE)*(Landbrug!$C$5)*Arealanvendelse!L$36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jordtype'!$O$3:$R$3,0),FALSE)+SUMIF(Landbrug!$B$32:$B$45,$B45,Landbrug!$G$32:$G$45))*(Landbrug!$D$5)*Arealanvendelse!M$36</f>
        <v>5613.320145989579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0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</v>
      </c>
      <c r="R45" s="11">
        <f>(VLOOKUP($B45,'[1]Afgrødefordeling - jordtype'!$O$4:$R$17,MATCH(R$4,'[1]Afgrødefordeling - jordtype'!$O$3:$R$3,0),FALSE)+SUMIF(Landbrug!$B$32:$B$45,$B45,Landbrug!$H$32:$H$45))*(Landbrug!$E$5)*Arealanvendelse!P$36</f>
        <v>5503.4063921494917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0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0</v>
      </c>
      <c r="U45" s="53"/>
    </row>
    <row r="46" spans="1:21" ht="15.75" thickBot="1" x14ac:dyDescent="0.3">
      <c r="A46" s="56"/>
      <c r="B46" s="44" t="s">
        <v>31</v>
      </c>
      <c r="C46" s="36">
        <f t="shared" ref="C46:T46" si="3">SUM(C32:C45)</f>
        <v>489572.87324454018</v>
      </c>
      <c r="D46" s="37">
        <f t="shared" si="3"/>
        <v>8669.6445113803693</v>
      </c>
      <c r="E46" s="37">
        <f t="shared" si="3"/>
        <v>6748.5585303208809</v>
      </c>
      <c r="F46" s="38">
        <f t="shared" si="3"/>
        <v>427973.82747276779</v>
      </c>
      <c r="G46" s="38">
        <f t="shared" si="3"/>
        <v>0</v>
      </c>
      <c r="H46" s="38">
        <f t="shared" si="3"/>
        <v>0</v>
      </c>
      <c r="I46" s="38">
        <f t="shared" si="3"/>
        <v>405132.98930185067</v>
      </c>
      <c r="J46" s="38">
        <f t="shared" si="3"/>
        <v>0</v>
      </c>
      <c r="K46" s="39">
        <f t="shared" si="3"/>
        <v>0</v>
      </c>
      <c r="L46" s="36">
        <f t="shared" si="3"/>
        <v>62597.528925311737</v>
      </c>
      <c r="M46" s="37">
        <f t="shared" si="3"/>
        <v>1108.5138755272228</v>
      </c>
      <c r="N46" s="37">
        <f t="shared" si="3"/>
        <v>862.88091291960029</v>
      </c>
      <c r="O46" s="38">
        <f t="shared" si="3"/>
        <v>66793.603131588054</v>
      </c>
      <c r="P46" s="38">
        <f t="shared" si="3"/>
        <v>0</v>
      </c>
      <c r="Q46" s="38">
        <f t="shared" si="3"/>
        <v>0</v>
      </c>
      <c r="R46" s="38">
        <f t="shared" si="3"/>
        <v>85937.300760998638</v>
      </c>
      <c r="S46" s="38">
        <f t="shared" si="3"/>
        <v>0</v>
      </c>
      <c r="T46" s="39">
        <f t="shared" si="3"/>
        <v>0</v>
      </c>
      <c r="U46" s="53"/>
    </row>
    <row r="47" spans="1:21" ht="15.75" thickBot="1" x14ac:dyDescent="0.3">
      <c r="A47" s="56"/>
      <c r="B47" s="59"/>
      <c r="C47" s="52"/>
      <c r="D47" s="52"/>
      <c r="E47" s="52"/>
      <c r="F47" s="52"/>
      <c r="G47" s="52"/>
      <c r="H47" s="52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3"/>
    </row>
    <row r="48" spans="1:21" x14ac:dyDescent="0.25">
      <c r="A48" s="56"/>
      <c r="B48" s="49"/>
      <c r="C48" s="364" t="s">
        <v>7</v>
      </c>
      <c r="D48" s="365"/>
      <c r="E48" s="366"/>
      <c r="F48" s="370" t="s">
        <v>8</v>
      </c>
      <c r="G48" s="365"/>
      <c r="H48" s="366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3"/>
    </row>
    <row r="49" spans="1:21" x14ac:dyDescent="0.25">
      <c r="A49" s="56"/>
      <c r="B49" s="32" t="s">
        <v>27</v>
      </c>
      <c r="C49" s="29">
        <f>År1</f>
        <v>2019</v>
      </c>
      <c r="D49" s="25">
        <f>År2</f>
        <v>2030</v>
      </c>
      <c r="E49" s="30">
        <f>År3</f>
        <v>2050</v>
      </c>
      <c r="F49" s="33">
        <f>År1</f>
        <v>2019</v>
      </c>
      <c r="G49" s="25">
        <f>År2</f>
        <v>2030</v>
      </c>
      <c r="H49" s="30">
        <f>År3</f>
        <v>2050</v>
      </c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25">
      <c r="A50" s="56"/>
      <c r="B50" s="31" t="s">
        <v>23</v>
      </c>
      <c r="C50" s="35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0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25">
      <c r="A51" s="56"/>
      <c r="B51" s="31" t="s">
        <v>3</v>
      </c>
      <c r="C51" s="35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0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ht="15.75" thickBot="1" x14ac:dyDescent="0.3">
      <c r="A52" s="56"/>
      <c r="B52" s="46" t="s">
        <v>4</v>
      </c>
      <c r="C52" s="48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1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5.75" thickBot="1" x14ac:dyDescent="0.3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5"/>
    </row>
  </sheetData>
  <mergeCells count="10">
    <mergeCell ref="C48:E48"/>
    <mergeCell ref="F48:H48"/>
    <mergeCell ref="C2:K2"/>
    <mergeCell ref="C21:E21"/>
    <mergeCell ref="F21:H21"/>
    <mergeCell ref="A1:U1"/>
    <mergeCell ref="A28:U28"/>
    <mergeCell ref="L2:T2"/>
    <mergeCell ref="C29:K29"/>
    <mergeCell ref="L29:T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H180" sqref="H180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7" t="s">
        <v>63</v>
      </c>
    </row>
    <row r="4" spans="1:11" x14ac:dyDescent="0.25">
      <c r="A4" s="77" t="s">
        <v>61</v>
      </c>
      <c r="B4" s="173" t="s">
        <v>242</v>
      </c>
      <c r="C4" s="173" t="s">
        <v>165</v>
      </c>
      <c r="D4" s="173" t="s">
        <v>236</v>
      </c>
      <c r="E4" s="173" t="s">
        <v>239</v>
      </c>
      <c r="F4" s="173" t="s">
        <v>238</v>
      </c>
      <c r="G4" s="173" t="s">
        <v>234</v>
      </c>
      <c r="H4" s="173" t="s">
        <v>243</v>
      </c>
      <c r="I4" s="173" t="s">
        <v>237</v>
      </c>
      <c r="J4" s="173" t="s">
        <v>342</v>
      </c>
      <c r="K4" s="173" t="s">
        <v>62</v>
      </c>
    </row>
    <row r="5" spans="1:11" x14ac:dyDescent="0.25">
      <c r="A5" s="78" t="s">
        <v>311</v>
      </c>
      <c r="B5" s="249"/>
      <c r="C5" s="249"/>
      <c r="D5" s="249"/>
      <c r="E5" s="249"/>
      <c r="F5" s="249"/>
      <c r="G5" s="249"/>
      <c r="H5" s="249"/>
      <c r="I5" s="249"/>
      <c r="J5" s="249"/>
      <c r="K5" s="249"/>
    </row>
    <row r="6" spans="1:11" x14ac:dyDescent="0.25">
      <c r="A6" s="79">
        <v>2019</v>
      </c>
      <c r="B6" s="249">
        <v>17.543930524502301</v>
      </c>
      <c r="C6" s="249">
        <v>0</v>
      </c>
      <c r="D6" s="249">
        <v>0</v>
      </c>
      <c r="E6" s="249">
        <v>19.573590488557194</v>
      </c>
      <c r="F6" s="249">
        <v>0</v>
      </c>
      <c r="G6" s="249">
        <v>0</v>
      </c>
      <c r="H6" s="249">
        <v>7.5981675535184188</v>
      </c>
      <c r="I6" s="249">
        <v>47.489094924341849</v>
      </c>
      <c r="J6" s="249">
        <v>0</v>
      </c>
      <c r="K6" s="249">
        <v>92.204783490919766</v>
      </c>
    </row>
    <row r="7" spans="1:11" x14ac:dyDescent="0.25">
      <c r="A7" s="79">
        <v>2030</v>
      </c>
      <c r="B7" s="249">
        <v>10.447437411334308</v>
      </c>
      <c r="C7" s="249">
        <v>0</v>
      </c>
      <c r="D7" s="249">
        <v>3.9740389562932799</v>
      </c>
      <c r="E7" s="249">
        <v>7.0854773665545726E-2</v>
      </c>
      <c r="F7" s="249">
        <v>9.1981320306422837E-2</v>
      </c>
      <c r="G7" s="249">
        <v>1.5781310459279956</v>
      </c>
      <c r="H7" s="249">
        <v>5.2395065029915484</v>
      </c>
      <c r="I7" s="249">
        <v>43.6610311355047</v>
      </c>
      <c r="J7" s="249">
        <v>11.562819999999999</v>
      </c>
      <c r="K7" s="249">
        <v>76.625801146023804</v>
      </c>
    </row>
    <row r="8" spans="1:11" x14ac:dyDescent="0.25">
      <c r="A8" s="79">
        <v>2050</v>
      </c>
      <c r="B8" s="249">
        <v>9.3808565872840166</v>
      </c>
      <c r="C8" s="249">
        <v>0</v>
      </c>
      <c r="D8" s="249">
        <v>4.3180481332182152</v>
      </c>
      <c r="E8" s="249">
        <v>0.11378607880318431</v>
      </c>
      <c r="F8" s="249">
        <v>0.20182060488909467</v>
      </c>
      <c r="G8" s="249">
        <v>1.3109208360146711</v>
      </c>
      <c r="H8" s="249">
        <v>5.1599554735565736</v>
      </c>
      <c r="I8" s="249">
        <v>41.314614118639199</v>
      </c>
      <c r="J8" s="249">
        <v>11.485411999999991</v>
      </c>
      <c r="K8" s="249">
        <v>73.285413832404942</v>
      </c>
    </row>
    <row r="9" spans="1:11" x14ac:dyDescent="0.25">
      <c r="A9" s="78" t="s">
        <v>257</v>
      </c>
      <c r="B9" s="249"/>
      <c r="C9" s="249"/>
      <c r="D9" s="249"/>
      <c r="E9" s="249"/>
      <c r="F9" s="249"/>
      <c r="G9" s="249"/>
      <c r="H9" s="249"/>
      <c r="I9" s="249"/>
      <c r="J9" s="249"/>
      <c r="K9" s="249"/>
    </row>
    <row r="10" spans="1:11" x14ac:dyDescent="0.25">
      <c r="A10" s="79">
        <v>2019</v>
      </c>
      <c r="B10" s="249">
        <v>7.4504602234640007</v>
      </c>
      <c r="C10" s="249">
        <v>2.1694819870080004</v>
      </c>
      <c r="D10" s="249">
        <v>1.4201719861750002</v>
      </c>
      <c r="E10" s="249">
        <v>0.45076703431999998</v>
      </c>
      <c r="F10" s="249">
        <v>0</v>
      </c>
      <c r="G10" s="249">
        <v>5.0922829580050024</v>
      </c>
      <c r="H10" s="249">
        <v>0</v>
      </c>
      <c r="I10" s="249">
        <v>0</v>
      </c>
      <c r="J10" s="249">
        <v>0</v>
      </c>
      <c r="K10" s="249">
        <v>16.583164188972003</v>
      </c>
    </row>
    <row r="11" spans="1:11" x14ac:dyDescent="0.25">
      <c r="A11" s="79">
        <v>2030</v>
      </c>
      <c r="B11" s="249">
        <v>6.6244886609735154</v>
      </c>
      <c r="C11" s="249">
        <v>2.1694819870080004</v>
      </c>
      <c r="D11" s="249">
        <v>0</v>
      </c>
      <c r="E11" s="249">
        <v>0</v>
      </c>
      <c r="F11" s="249">
        <v>0</v>
      </c>
      <c r="G11" s="249">
        <v>15.049715802173349</v>
      </c>
      <c r="H11" s="249">
        <v>0</v>
      </c>
      <c r="I11" s="249">
        <v>0</v>
      </c>
      <c r="J11" s="249">
        <v>0</v>
      </c>
      <c r="K11" s="249">
        <v>23.843686450154863</v>
      </c>
    </row>
    <row r="12" spans="1:11" x14ac:dyDescent="0.25">
      <c r="A12" s="79">
        <v>2050</v>
      </c>
      <c r="B12" s="249">
        <v>7.8491201479790584</v>
      </c>
      <c r="C12" s="249">
        <v>2.1694819870080004</v>
      </c>
      <c r="D12" s="249">
        <v>0</v>
      </c>
      <c r="E12" s="249">
        <v>0</v>
      </c>
      <c r="F12" s="249">
        <v>0</v>
      </c>
      <c r="G12" s="249">
        <v>16.658699794154359</v>
      </c>
      <c r="H12" s="249">
        <v>0</v>
      </c>
      <c r="I12" s="249">
        <v>0</v>
      </c>
      <c r="J12" s="249">
        <v>0</v>
      </c>
      <c r="K12" s="249">
        <v>26.677301929141418</v>
      </c>
    </row>
    <row r="13" spans="1:11" x14ac:dyDescent="0.25">
      <c r="A13" s="78" t="s">
        <v>312</v>
      </c>
      <c r="B13" s="249">
        <v>37.372224523120622</v>
      </c>
      <c r="C13" s="249">
        <v>0</v>
      </c>
      <c r="D13" s="249">
        <v>8.2920870895114955</v>
      </c>
      <c r="E13" s="249">
        <v>19.758231341025922</v>
      </c>
      <c r="F13" s="249">
        <v>0.29380192519551751</v>
      </c>
      <c r="G13" s="249">
        <v>2.8890518819426667</v>
      </c>
      <c r="H13" s="249">
        <v>17.99762953006654</v>
      </c>
      <c r="I13" s="249">
        <v>132.46474017848573</v>
      </c>
      <c r="J13" s="249">
        <v>23.048231999999992</v>
      </c>
      <c r="K13" s="249">
        <v>242.11599846934851</v>
      </c>
    </row>
    <row r="14" spans="1:11" x14ac:dyDescent="0.25">
      <c r="A14" s="78" t="s">
        <v>258</v>
      </c>
      <c r="B14" s="249">
        <v>21.924069032416575</v>
      </c>
      <c r="C14" s="249">
        <v>6.5084459610240017</v>
      </c>
      <c r="D14" s="249">
        <v>1.4201719861750002</v>
      </c>
      <c r="E14" s="249">
        <v>0.45076703431999998</v>
      </c>
      <c r="F14" s="249">
        <v>0</v>
      </c>
      <c r="G14" s="249">
        <v>36.800698554332712</v>
      </c>
      <c r="H14" s="249">
        <v>0</v>
      </c>
      <c r="I14" s="249">
        <v>0</v>
      </c>
      <c r="J14" s="249">
        <v>0</v>
      </c>
      <c r="K14" s="249">
        <v>67.10415256826829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7" t="s">
        <v>251</v>
      </c>
      <c r="B1" s="77" t="s">
        <v>63</v>
      </c>
    </row>
    <row r="2" spans="1:10" x14ac:dyDescent="0.25">
      <c r="A2" s="77" t="s">
        <v>61</v>
      </c>
      <c r="B2" s="173" t="s">
        <v>242</v>
      </c>
      <c r="C2" s="173" t="s">
        <v>165</v>
      </c>
      <c r="D2" s="173" t="s">
        <v>236</v>
      </c>
      <c r="E2" s="173" t="s">
        <v>239</v>
      </c>
      <c r="F2" s="173" t="s">
        <v>238</v>
      </c>
      <c r="G2" s="173" t="s">
        <v>234</v>
      </c>
      <c r="H2" s="173" t="s">
        <v>243</v>
      </c>
      <c r="I2" s="173" t="s">
        <v>237</v>
      </c>
      <c r="J2" s="173" t="s">
        <v>62</v>
      </c>
    </row>
    <row r="3" spans="1:10" x14ac:dyDescent="0.25">
      <c r="A3" s="78">
        <v>2019</v>
      </c>
      <c r="B3" s="250">
        <v>1077304.94</v>
      </c>
      <c r="C3" s="250">
        <v>128467.8</v>
      </c>
      <c r="D3" s="250">
        <v>128726.35999999999</v>
      </c>
      <c r="E3" s="250">
        <v>1675417.9906552273</v>
      </c>
      <c r="F3" s="250">
        <v>0</v>
      </c>
      <c r="G3" s="250">
        <v>704016.11583333346</v>
      </c>
      <c r="H3" s="250">
        <v>197552.35639147891</v>
      </c>
      <c r="I3" s="250">
        <v>1575873.4784311759</v>
      </c>
      <c r="J3" s="250">
        <v>5487359.0413112156</v>
      </c>
    </row>
    <row r="4" spans="1:10" x14ac:dyDescent="0.25">
      <c r="A4" s="78">
        <v>2030</v>
      </c>
      <c r="B4" s="250">
        <v>1141100.3798689314</v>
      </c>
      <c r="C4" s="250">
        <v>128467.8</v>
      </c>
      <c r="D4" s="250">
        <v>299276.196325247</v>
      </c>
      <c r="E4" s="250">
        <v>6413.3949522956182</v>
      </c>
      <c r="F4" s="250">
        <v>15372.922613886823</v>
      </c>
      <c r="G4" s="250">
        <v>2267978.6513635372</v>
      </c>
      <c r="H4" s="250">
        <v>136227.16907778027</v>
      </c>
      <c r="I4" s="250">
        <v>1462454.4365091918</v>
      </c>
      <c r="J4" s="250">
        <v>5457290.9507108703</v>
      </c>
    </row>
    <row r="5" spans="1:10" x14ac:dyDescent="0.25">
      <c r="A5" s="78">
        <v>2050</v>
      </c>
      <c r="B5" s="250">
        <v>1159734.9907381348</v>
      </c>
      <c r="C5" s="250">
        <v>128467.8</v>
      </c>
      <c r="D5" s="250">
        <v>352822.51653438847</v>
      </c>
      <c r="E5" s="250">
        <v>9366.5626482969237</v>
      </c>
      <c r="F5" s="250">
        <v>33730.463212662056</v>
      </c>
      <c r="G5" s="250">
        <v>2435607.4891669466</v>
      </c>
      <c r="H5" s="250">
        <v>134158.84231247092</v>
      </c>
      <c r="I5" s="250">
        <v>1382778.1918552625</v>
      </c>
      <c r="J5" s="250">
        <v>5636666.8564681616</v>
      </c>
    </row>
    <row r="6" spans="1:10" x14ac:dyDescent="0.25">
      <c r="A6" s="78" t="s">
        <v>62</v>
      </c>
      <c r="B6" s="250">
        <v>3378140.3106070664</v>
      </c>
      <c r="C6" s="250">
        <v>385403.4</v>
      </c>
      <c r="D6" s="250">
        <v>780825.07285963546</v>
      </c>
      <c r="E6" s="250">
        <v>1691197.9482558197</v>
      </c>
      <c r="F6" s="250">
        <v>49103.385826548882</v>
      </c>
      <c r="G6" s="250">
        <v>5407602.2563638166</v>
      </c>
      <c r="H6" s="250">
        <v>467938.36778173014</v>
      </c>
      <c r="I6" s="250">
        <v>4421106.1067956295</v>
      </c>
      <c r="J6" s="250">
        <v>16581316.848490248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10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7" t="s">
        <v>206</v>
      </c>
      <c r="B1" s="77" t="s">
        <v>63</v>
      </c>
    </row>
    <row r="2" spans="1:9" x14ac:dyDescent="0.25">
      <c r="A2" s="77" t="s">
        <v>61</v>
      </c>
      <c r="B2" s="173" t="s">
        <v>114</v>
      </c>
      <c r="C2" s="173" t="s">
        <v>208</v>
      </c>
      <c r="D2" s="173" t="s">
        <v>201</v>
      </c>
      <c r="E2" s="173" t="s">
        <v>202</v>
      </c>
      <c r="F2" s="173" t="s">
        <v>10</v>
      </c>
      <c r="G2" s="173" t="s">
        <v>279</v>
      </c>
      <c r="H2" s="173" t="s">
        <v>340</v>
      </c>
      <c r="I2" s="173" t="s">
        <v>62</v>
      </c>
    </row>
    <row r="3" spans="1:9" x14ac:dyDescent="0.25">
      <c r="A3" s="78">
        <v>2019</v>
      </c>
      <c r="B3" s="99">
        <v>14517462.442375844</v>
      </c>
      <c r="C3" s="99">
        <v>-158.43719999999999</v>
      </c>
      <c r="D3" s="99">
        <v>5519261.9007367166</v>
      </c>
      <c r="E3" s="99">
        <v>9725466.1897341814</v>
      </c>
      <c r="F3" s="99">
        <v>-561900</v>
      </c>
      <c r="G3" s="99">
        <v>-165207.21089505972</v>
      </c>
      <c r="H3" s="99">
        <v>0</v>
      </c>
      <c r="I3" s="99">
        <v>29034924.884751678</v>
      </c>
    </row>
    <row r="4" spans="1:9" x14ac:dyDescent="0.25">
      <c r="A4" s="78">
        <v>2030</v>
      </c>
      <c r="B4" s="99">
        <v>6061368.5273917494</v>
      </c>
      <c r="C4" s="99">
        <v>-24734.384840099803</v>
      </c>
      <c r="D4" s="99">
        <v>5507316.8818720337</v>
      </c>
      <c r="E4" s="99">
        <v>4063752.1087439051</v>
      </c>
      <c r="F4" s="99">
        <v>-2251245.0501141008</v>
      </c>
      <c r="G4" s="99">
        <v>-453784.36160331988</v>
      </c>
      <c r="H4" s="99">
        <v>-779936.66666666651</v>
      </c>
      <c r="I4" s="99">
        <v>12122737.054783501</v>
      </c>
    </row>
    <row r="5" spans="1:9" x14ac:dyDescent="0.25">
      <c r="A5" s="78">
        <v>2050</v>
      </c>
      <c r="B5" s="99">
        <v>-1382145.6337438086</v>
      </c>
      <c r="C5" s="99">
        <v>-44560.528686777063</v>
      </c>
      <c r="D5" s="99">
        <v>5485230.909845111</v>
      </c>
      <c r="E5" s="99">
        <v>3987380.5090033729</v>
      </c>
      <c r="F5" s="99">
        <v>-9546124.0664975215</v>
      </c>
      <c r="G5" s="99">
        <v>-489357.12407466117</v>
      </c>
      <c r="H5" s="99">
        <v>-774715.33333333302</v>
      </c>
      <c r="I5" s="99">
        <v>-2764291.2674876172</v>
      </c>
    </row>
    <row r="6" spans="1:9" x14ac:dyDescent="0.25">
      <c r="A6" s="78" t="s">
        <v>62</v>
      </c>
      <c r="B6" s="99">
        <v>19196685.336023785</v>
      </c>
      <c r="C6" s="99">
        <v>-69453.350726876874</v>
      </c>
      <c r="D6" s="99">
        <v>16511809.692453861</v>
      </c>
      <c r="E6" s="99">
        <v>17776598.80748146</v>
      </c>
      <c r="F6" s="99">
        <v>-12359269.116611622</v>
      </c>
      <c r="G6" s="99">
        <v>-1108348.6965730409</v>
      </c>
      <c r="H6" s="99">
        <v>-1554651.9999999995</v>
      </c>
      <c r="I6" s="99">
        <v>38393370.672047563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65</v>
      </c>
      <c r="B1" t="s">
        <v>59</v>
      </c>
      <c r="C1" t="s">
        <v>31</v>
      </c>
      <c r="D1" t="s">
        <v>207</v>
      </c>
      <c r="E1" t="s">
        <v>209</v>
      </c>
    </row>
    <row r="2" spans="1:9" x14ac:dyDescent="0.25">
      <c r="A2" t="s">
        <v>24</v>
      </c>
      <c r="B2">
        <f t="shared" ref="B2:B10" si="0">År1</f>
        <v>2019</v>
      </c>
      <c r="C2" s="99">
        <f>SUMIF('Resultater - Vestdanmark'!$F$3:$F$487,'CO2-udledning'!$D$2,'Resultater - Vestdanmark'!H$3:H$487)</f>
        <v>12546079.333675962</v>
      </c>
      <c r="D2" s="99" t="s">
        <v>114</v>
      </c>
      <c r="E2" s="99" t="s">
        <v>114</v>
      </c>
    </row>
    <row r="3" spans="1:9" x14ac:dyDescent="0.25">
      <c r="A3" t="s">
        <v>24</v>
      </c>
      <c r="B3" s="173">
        <f t="shared" si="0"/>
        <v>2019</v>
      </c>
      <c r="C3" s="99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71</v>
      </c>
      <c r="E3" t="s">
        <v>201</v>
      </c>
      <c r="G3" s="99" t="s">
        <v>174</v>
      </c>
      <c r="H3" s="99" t="s">
        <v>175</v>
      </c>
      <c r="I3" s="99" t="s">
        <v>176</v>
      </c>
    </row>
    <row r="4" spans="1:9" x14ac:dyDescent="0.25">
      <c r="A4" t="s">
        <v>24</v>
      </c>
      <c r="B4" s="173">
        <f t="shared" si="0"/>
        <v>2019</v>
      </c>
      <c r="C4" s="99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71</v>
      </c>
      <c r="E4" t="s">
        <v>202</v>
      </c>
      <c r="F4" t="str">
        <f>Jordbund1</f>
        <v>JB1-10</v>
      </c>
    </row>
    <row r="5" spans="1:9" x14ac:dyDescent="0.25">
      <c r="A5" t="s">
        <v>24</v>
      </c>
      <c r="B5" s="173">
        <f t="shared" si="0"/>
        <v>2019</v>
      </c>
      <c r="C5" s="99">
        <f>SUMIFS('Resultater - Vestdanmark'!H$3:H$474,'Resultater - Vestdanmark'!$F$3:$F$474,'CO2-udledning'!$D$2,'Resultater - Vestdanmark'!$C$3:$C$474,'CO2-udledning'!$F5)</f>
        <v>1324670.350202495</v>
      </c>
      <c r="D5" t="s">
        <v>71</v>
      </c>
      <c r="E5" t="s">
        <v>202</v>
      </c>
      <c r="F5" t="str">
        <f>Organ6</f>
        <v>OC6</v>
      </c>
    </row>
    <row r="6" spans="1:9" x14ac:dyDescent="0.25">
      <c r="A6" t="s">
        <v>24</v>
      </c>
      <c r="B6" s="173">
        <f t="shared" si="0"/>
        <v>2019</v>
      </c>
      <c r="C6" s="99">
        <f>SUMIFS('Resultater - Vestdanmark'!H$3:H$474,'Resultater - Vestdanmark'!$F$3:$F$474,'CO2-udledning'!$D$2,'Resultater - Vestdanmark'!$C$3:$C$474,'CO2-udledning'!$F6)</f>
        <v>2581596.1188411801</v>
      </c>
      <c r="D6" t="s">
        <v>71</v>
      </c>
      <c r="E6" t="s">
        <v>202</v>
      </c>
      <c r="F6" t="str">
        <f>Organ12</f>
        <v>OC12</v>
      </c>
    </row>
    <row r="7" spans="1:9" x14ac:dyDescent="0.25">
      <c r="A7" t="s">
        <v>24</v>
      </c>
      <c r="B7" s="173">
        <f t="shared" si="0"/>
        <v>2019</v>
      </c>
      <c r="C7" s="99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208</v>
      </c>
      <c r="E7" t="s">
        <v>208</v>
      </c>
      <c r="G7" t="s">
        <v>203</v>
      </c>
      <c r="H7" t="s">
        <v>204</v>
      </c>
    </row>
    <row r="8" spans="1:9" x14ac:dyDescent="0.25">
      <c r="A8" t="s">
        <v>24</v>
      </c>
      <c r="B8" s="173">
        <f t="shared" si="0"/>
        <v>2019</v>
      </c>
      <c r="C8" s="99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205</v>
      </c>
    </row>
    <row r="9" spans="1:9" s="173" customFormat="1" x14ac:dyDescent="0.25">
      <c r="A9" s="173" t="s">
        <v>24</v>
      </c>
      <c r="B9" s="173">
        <f t="shared" si="0"/>
        <v>2019</v>
      </c>
      <c r="C9" s="99">
        <f>SUMIFS('Resultater - Vestdanmark'!H$3:H$474,'Resultater - Vestdanmark'!$F$3:$F$474,'CO2-udledning'!$D$2,'Resultater - Vestdanmark'!$A$3:$A$474,'CO2-udledning'!$G9)</f>
        <v>-151930.36566196129</v>
      </c>
      <c r="D9" s="173" t="s">
        <v>279</v>
      </c>
      <c r="E9" s="173" t="s">
        <v>279</v>
      </c>
      <c r="G9" s="173" t="s">
        <v>279</v>
      </c>
    </row>
    <row r="10" spans="1:9" s="173" customFormat="1" x14ac:dyDescent="0.25">
      <c r="A10" s="173" t="s">
        <v>24</v>
      </c>
      <c r="B10" s="173">
        <f t="shared" si="0"/>
        <v>2019</v>
      </c>
      <c r="C10" s="99">
        <f>SUMIFS('Resultater - Vestdanmark'!H$3:H$474,'Resultater - Vestdanmark'!$F$3:$F$474,'CO2-udledning'!$D$2,'Resultater - Vestdanmark'!$A$3:$A$474,'CO2-udledning'!$G10)</f>
        <v>0</v>
      </c>
      <c r="D10" s="173" t="s">
        <v>340</v>
      </c>
      <c r="E10" s="173" t="s">
        <v>340</v>
      </c>
      <c r="G10" s="173" t="s">
        <v>340</v>
      </c>
    </row>
    <row r="11" spans="1:9" x14ac:dyDescent="0.25">
      <c r="A11" t="s">
        <v>24</v>
      </c>
      <c r="B11">
        <f t="shared" ref="B11:B19" si="1">År2</f>
        <v>2030</v>
      </c>
      <c r="C11" s="99">
        <f>SUMIF('Resultater - Vestdanmark'!$F$3:$F$487,'CO2-udledning'!$D$2,'Resultater - Vestdanmark'!I$3:I$487)</f>
        <v>5131762.7611997221</v>
      </c>
      <c r="D11" s="99" t="str">
        <f>IF(D2&lt;&gt;"",D2,"")</f>
        <v>CO2 - atmosfære</v>
      </c>
      <c r="E11" s="99" t="str">
        <f t="shared" ref="E11:I11" si="2">IF(E2&lt;&gt;"",E2,"")</f>
        <v>CO2 - atmosfære</v>
      </c>
      <c r="F11" s="99" t="str">
        <f t="shared" si="2"/>
        <v/>
      </c>
      <c r="G11" s="99" t="str">
        <f t="shared" si="2"/>
        <v/>
      </c>
      <c r="H11" s="99" t="str">
        <f t="shared" si="2"/>
        <v/>
      </c>
      <c r="I11" s="99" t="str">
        <f t="shared" si="2"/>
        <v/>
      </c>
    </row>
    <row r="12" spans="1:9" x14ac:dyDescent="0.25">
      <c r="A12" t="s">
        <v>24</v>
      </c>
      <c r="B12" s="173">
        <f t="shared" si="1"/>
        <v>2030</v>
      </c>
      <c r="C12" s="99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9" t="str">
        <f t="shared" ref="D12:I12" si="3">IF(D3&lt;&gt;"",D3,"")</f>
        <v>Landbrug</v>
      </c>
      <c r="E12" s="99" t="str">
        <f t="shared" si="3"/>
        <v>Husdyr</v>
      </c>
      <c r="F12" s="99" t="str">
        <f t="shared" si="3"/>
        <v/>
      </c>
      <c r="G12" s="99" t="str">
        <f t="shared" si="3"/>
        <v>Grisestald</v>
      </c>
      <c r="H12" s="99" t="str">
        <f t="shared" si="3"/>
        <v>Kostald</v>
      </c>
      <c r="I12" s="99" t="str">
        <f t="shared" si="3"/>
        <v>Fjerkræbrug</v>
      </c>
    </row>
    <row r="13" spans="1:9" x14ac:dyDescent="0.25">
      <c r="A13" t="s">
        <v>24</v>
      </c>
      <c r="B13" s="173">
        <f t="shared" si="1"/>
        <v>2030</v>
      </c>
      <c r="C13" s="99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2951581.4008987406</v>
      </c>
      <c r="D13" s="99" t="str">
        <f t="shared" ref="D13:I13" si="4">IF(D4&lt;&gt;"",D4,"")</f>
        <v>Landbrug</v>
      </c>
      <c r="E13" s="99" t="str">
        <f t="shared" si="4"/>
        <v>Marker</v>
      </c>
      <c r="F13" s="99" t="str">
        <f t="shared" si="4"/>
        <v>JB1-10</v>
      </c>
      <c r="G13" s="99" t="str">
        <f t="shared" si="4"/>
        <v/>
      </c>
      <c r="H13" s="99" t="str">
        <f t="shared" si="4"/>
        <v/>
      </c>
      <c r="I13" s="99" t="str">
        <f t="shared" si="4"/>
        <v/>
      </c>
    </row>
    <row r="14" spans="1:9" x14ac:dyDescent="0.25">
      <c r="A14" t="s">
        <v>24</v>
      </c>
      <c r="B14" s="173">
        <f t="shared" si="1"/>
        <v>2030</v>
      </c>
      <c r="C14" s="99">
        <f>SUMIFS('Resultater - Vestdanmark'!I$3:I$474,'Resultater - Vestdanmark'!$F$3:$F$474,'CO2-udledning'!$D$2,'Resultater - Vestdanmark'!$C$3:$C$474,'CO2-udledning'!$F5)</f>
        <v>0</v>
      </c>
      <c r="D14" s="99" t="str">
        <f t="shared" ref="D14:I14" si="5">IF(D5&lt;&gt;"",D5,"")</f>
        <v>Landbrug</v>
      </c>
      <c r="E14" s="99" t="str">
        <f t="shared" si="5"/>
        <v>Marker</v>
      </c>
      <c r="F14" s="99" t="str">
        <f t="shared" si="5"/>
        <v>OC6</v>
      </c>
      <c r="G14" s="99" t="str">
        <f t="shared" si="5"/>
        <v/>
      </c>
      <c r="H14" s="99" t="str">
        <f t="shared" si="5"/>
        <v/>
      </c>
      <c r="I14" s="99" t="str">
        <f t="shared" si="5"/>
        <v/>
      </c>
    </row>
    <row r="15" spans="1:9" x14ac:dyDescent="0.25">
      <c r="A15" t="s">
        <v>24</v>
      </c>
      <c r="B15" s="173">
        <f t="shared" si="1"/>
        <v>2030</v>
      </c>
      <c r="C15" s="99">
        <f>SUMIFS('Resultater - Vestdanmark'!I$3:I$474,'Resultater - Vestdanmark'!$F$3:$F$474,'CO2-udledning'!$D$2,'Resultater - Vestdanmark'!$C$3:$C$474,'CO2-udledning'!$F6)</f>
        <v>0</v>
      </c>
      <c r="D15" s="99" t="str">
        <f t="shared" ref="D15:I15" si="6">IF(D6&lt;&gt;"",D6,"")</f>
        <v>Landbrug</v>
      </c>
      <c r="E15" s="99" t="str">
        <f t="shared" si="6"/>
        <v>Marker</v>
      </c>
      <c r="F15" s="99" t="str">
        <f t="shared" si="6"/>
        <v>OC12</v>
      </c>
      <c r="G15" s="99" t="str">
        <f t="shared" si="6"/>
        <v/>
      </c>
      <c r="H15" s="99" t="str">
        <f t="shared" si="6"/>
        <v/>
      </c>
      <c r="I15" s="99" t="str">
        <f t="shared" si="6"/>
        <v/>
      </c>
    </row>
    <row r="16" spans="1:9" x14ac:dyDescent="0.25">
      <c r="A16" t="s">
        <v>24</v>
      </c>
      <c r="B16" s="173">
        <f t="shared" si="1"/>
        <v>2030</v>
      </c>
      <c r="C16" s="99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99" t="str">
        <f t="shared" ref="D16:I16" si="7">IF(D7&lt;&gt;"",D7,"")</f>
        <v>Hav</v>
      </c>
      <c r="E16" s="99" t="str">
        <f t="shared" si="7"/>
        <v>Hav</v>
      </c>
      <c r="F16" s="99" t="str">
        <f t="shared" si="7"/>
        <v/>
      </c>
      <c r="G16" s="99" t="str">
        <f t="shared" si="7"/>
        <v>Muslingefarm</v>
      </c>
      <c r="H16" s="99" t="str">
        <f t="shared" si="7"/>
        <v>Tangfarm</v>
      </c>
      <c r="I16" s="99" t="str">
        <f t="shared" si="7"/>
        <v/>
      </c>
    </row>
    <row r="17" spans="1:9" x14ac:dyDescent="0.25">
      <c r="A17" t="s">
        <v>24</v>
      </c>
      <c r="B17" s="173">
        <f t="shared" si="1"/>
        <v>2030</v>
      </c>
      <c r="C17" s="99">
        <f>SUMIFS('Resultater - Vestdanmark'!I$3:I$474,'Resultater - Vestdanmark'!$F$3:$F$474,'CO2-udledning'!$D$2,'Resultater - Vestdanmark'!$A$3:$A$474,'CO2-udledning'!$G8)</f>
        <v>-1952752.8577914489</v>
      </c>
      <c r="D17" s="99" t="str">
        <f t="shared" ref="D17:I17" si="8">IF(D8&lt;&gt;"",D8,"")</f>
        <v>Skov</v>
      </c>
      <c r="E17" s="99" t="str">
        <f t="shared" si="8"/>
        <v>Skov</v>
      </c>
      <c r="F17" s="99" t="str">
        <f t="shared" si="8"/>
        <v/>
      </c>
      <c r="G17" s="99" t="str">
        <f t="shared" si="8"/>
        <v>Skovproduktion</v>
      </c>
      <c r="H17" s="99" t="str">
        <f t="shared" si="8"/>
        <v/>
      </c>
      <c r="I17" s="99" t="str">
        <f t="shared" si="8"/>
        <v/>
      </c>
    </row>
    <row r="18" spans="1:9" s="173" customFormat="1" x14ac:dyDescent="0.25">
      <c r="A18" s="173" t="s">
        <v>24</v>
      </c>
      <c r="B18" s="173">
        <f t="shared" si="1"/>
        <v>2030</v>
      </c>
      <c r="C18" s="99">
        <f>SUMIFS('Resultater - Vestdanmark'!I$3:I$474,'Resultater - Vestdanmark'!$F$3:$F$474,'CO2-udledning'!$D$2,'Resultater - Vestdanmark'!$A$3:$A$474,'CO2-udledning'!$G9)</f>
        <v>-415076.49565939803</v>
      </c>
      <c r="D18" s="99" t="str">
        <f t="shared" ref="D18:I18" si="9">IF(D9&lt;&gt;"",D9,"")</f>
        <v>Biogasanlæg</v>
      </c>
      <c r="E18" s="99" t="str">
        <f t="shared" si="9"/>
        <v>Biogasanlæg</v>
      </c>
      <c r="F18" s="99" t="str">
        <f t="shared" si="9"/>
        <v/>
      </c>
      <c r="G18" s="99" t="str">
        <f t="shared" si="9"/>
        <v>Biogasanlæg</v>
      </c>
      <c r="H18" s="99" t="str">
        <f t="shared" si="9"/>
        <v/>
      </c>
      <c r="I18" s="99" t="str">
        <f t="shared" si="9"/>
        <v/>
      </c>
    </row>
    <row r="19" spans="1:9" s="173" customFormat="1" x14ac:dyDescent="0.25">
      <c r="A19" s="173" t="s">
        <v>24</v>
      </c>
      <c r="B19" s="173">
        <f t="shared" si="1"/>
        <v>2030</v>
      </c>
      <c r="C19" s="99">
        <f>SUMIFS('Resultater - Vestdanmark'!I$3:I$474,'Resultater - Vestdanmark'!$F$3:$F$474,'CO2-udledning'!$D$2,'Resultater - Vestdanmark'!$A$3:$A$474,'CO2-udledning'!$G10)</f>
        <v>-486185.66831768729</v>
      </c>
      <c r="D19" s="99" t="str">
        <f t="shared" ref="D19:I19" si="10">IF(D10&lt;&gt;"",D10,"")</f>
        <v>Pyrolyseproces</v>
      </c>
      <c r="E19" s="99" t="str">
        <f t="shared" si="10"/>
        <v>Pyrolyseproces</v>
      </c>
      <c r="F19" s="99" t="str">
        <f t="shared" si="10"/>
        <v/>
      </c>
      <c r="G19" s="99" t="str">
        <f t="shared" si="10"/>
        <v>Pyrolyseproces</v>
      </c>
      <c r="H19" s="99" t="str">
        <f t="shared" si="10"/>
        <v/>
      </c>
      <c r="I19" s="99" t="str">
        <f t="shared" si="10"/>
        <v/>
      </c>
    </row>
    <row r="20" spans="1:9" x14ac:dyDescent="0.25">
      <c r="A20" t="s">
        <v>24</v>
      </c>
      <c r="B20">
        <f t="shared" ref="B20:B28" si="11">År3</f>
        <v>2050</v>
      </c>
      <c r="C20" s="99">
        <f>SUMIF('Resultater - Vestdanmark'!$F$3:$F$487,'CO2-udledning'!$D$2,'Resultater - Vestdanmark'!J$3:J$487)</f>
        <v>-1516065.7797619055</v>
      </c>
      <c r="D20" s="99" t="str">
        <f t="shared" ref="D20:I20" si="12">IF(D11&lt;&gt;"",D11,"")</f>
        <v>CO2 - atmosfære</v>
      </c>
      <c r="E20" s="99" t="str">
        <f t="shared" si="12"/>
        <v>CO2 - atmosfære</v>
      </c>
      <c r="F20" s="99" t="str">
        <f t="shared" si="12"/>
        <v/>
      </c>
      <c r="G20" s="99" t="str">
        <f t="shared" si="12"/>
        <v/>
      </c>
      <c r="H20" s="99" t="str">
        <f t="shared" si="12"/>
        <v/>
      </c>
      <c r="I20" s="99" t="str">
        <f t="shared" si="12"/>
        <v/>
      </c>
    </row>
    <row r="21" spans="1:9" x14ac:dyDescent="0.25">
      <c r="A21" t="s">
        <v>24</v>
      </c>
      <c r="B21">
        <f t="shared" si="11"/>
        <v>2050</v>
      </c>
      <c r="C21" s="99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9" t="str">
        <f t="shared" ref="D21:I21" si="13">IF(D12&lt;&gt;"",D12,"")</f>
        <v>Landbrug</v>
      </c>
      <c r="E21" s="99" t="str">
        <f t="shared" si="13"/>
        <v>Husdyr</v>
      </c>
      <c r="F21" s="99" t="str">
        <f t="shared" si="13"/>
        <v/>
      </c>
      <c r="G21" s="99" t="str">
        <f t="shared" si="13"/>
        <v>Grisestald</v>
      </c>
      <c r="H21" s="99" t="str">
        <f t="shared" si="13"/>
        <v>Kostald</v>
      </c>
      <c r="I21" s="99" t="str">
        <f t="shared" si="13"/>
        <v>Fjerkræbrug</v>
      </c>
    </row>
    <row r="22" spans="1:9" x14ac:dyDescent="0.25">
      <c r="A22" t="s">
        <v>24</v>
      </c>
      <c r="B22">
        <f t="shared" si="11"/>
        <v>2050</v>
      </c>
      <c r="C22" s="99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2880495.4833668922</v>
      </c>
      <c r="D22" s="99" t="str">
        <f t="shared" ref="D22:I22" si="14">IF(D13&lt;&gt;"",D13,"")</f>
        <v>Landbrug</v>
      </c>
      <c r="E22" s="99" t="str">
        <f t="shared" si="14"/>
        <v>Marker</v>
      </c>
      <c r="F22" s="99" t="str">
        <f t="shared" si="14"/>
        <v>JB1-10</v>
      </c>
      <c r="G22" s="99" t="str">
        <f t="shared" si="14"/>
        <v/>
      </c>
      <c r="H22" s="99" t="str">
        <f t="shared" si="14"/>
        <v/>
      </c>
      <c r="I22" s="99" t="str">
        <f t="shared" si="14"/>
        <v/>
      </c>
    </row>
    <row r="23" spans="1:9" x14ac:dyDescent="0.25">
      <c r="A23" t="s">
        <v>24</v>
      </c>
      <c r="B23">
        <f t="shared" si="11"/>
        <v>2050</v>
      </c>
      <c r="C23" s="99">
        <f>SUMIFS('Resultater - Vestdanmark'!J$3:J$474,'Resultater - Vestdanmark'!$F$3:$F$474,'CO2-udledning'!$D$2,'Resultater - Vestdanmark'!$C$3:$C$474,'CO2-udledning'!$F5)</f>
        <v>0</v>
      </c>
      <c r="D23" s="99" t="str">
        <f t="shared" ref="D23:I23" si="15">IF(D14&lt;&gt;"",D14,"")</f>
        <v>Landbrug</v>
      </c>
      <c r="E23" s="99" t="str">
        <f t="shared" si="15"/>
        <v>Marker</v>
      </c>
      <c r="F23" s="99" t="str">
        <f t="shared" si="15"/>
        <v>OC6</v>
      </c>
      <c r="G23" s="99" t="str">
        <f t="shared" si="15"/>
        <v/>
      </c>
      <c r="H23" s="99" t="str">
        <f t="shared" si="15"/>
        <v/>
      </c>
      <c r="I23" s="99" t="str">
        <f t="shared" si="15"/>
        <v/>
      </c>
    </row>
    <row r="24" spans="1:9" x14ac:dyDescent="0.25">
      <c r="A24" t="s">
        <v>24</v>
      </c>
      <c r="B24">
        <f t="shared" si="11"/>
        <v>2050</v>
      </c>
      <c r="C24" s="99">
        <f>SUMIFS('Resultater - Vestdanmark'!J$3:J$474,'Resultater - Vestdanmark'!$F$3:$F$474,'CO2-udledning'!$D$2,'Resultater - Vestdanmark'!$C$3:$C$474,'CO2-udledning'!$F6)</f>
        <v>0</v>
      </c>
      <c r="D24" s="99" t="str">
        <f t="shared" ref="D24:I24" si="16">IF(D15&lt;&gt;"",D15,"")</f>
        <v>Landbrug</v>
      </c>
      <c r="E24" s="99" t="str">
        <f t="shared" si="16"/>
        <v>Marker</v>
      </c>
      <c r="F24" s="99" t="str">
        <f t="shared" si="16"/>
        <v>OC12</v>
      </c>
      <c r="G24" s="99" t="str">
        <f t="shared" si="16"/>
        <v/>
      </c>
      <c r="H24" s="99" t="str">
        <f t="shared" si="16"/>
        <v/>
      </c>
      <c r="I24" s="99" t="str">
        <f t="shared" si="16"/>
        <v/>
      </c>
    </row>
    <row r="25" spans="1:9" x14ac:dyDescent="0.25">
      <c r="A25" t="s">
        <v>24</v>
      </c>
      <c r="B25">
        <f t="shared" si="11"/>
        <v>2050</v>
      </c>
      <c r="C25" s="99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99" t="str">
        <f t="shared" ref="D25:I25" si="17">IF(D16&lt;&gt;"",D16,"")</f>
        <v>Hav</v>
      </c>
      <c r="E25" s="99" t="str">
        <f t="shared" si="17"/>
        <v>Hav</v>
      </c>
      <c r="F25" s="99" t="str">
        <f t="shared" si="17"/>
        <v/>
      </c>
      <c r="G25" s="99" t="str">
        <f t="shared" si="17"/>
        <v>Muslingefarm</v>
      </c>
      <c r="H25" s="99" t="str">
        <f t="shared" si="17"/>
        <v>Tangfarm</v>
      </c>
      <c r="I25" s="99" t="str">
        <f t="shared" si="17"/>
        <v/>
      </c>
    </row>
    <row r="26" spans="1:9" x14ac:dyDescent="0.25">
      <c r="A26" t="s">
        <v>24</v>
      </c>
      <c r="B26">
        <f t="shared" si="11"/>
        <v>2050</v>
      </c>
      <c r="C26" s="99">
        <f>SUMIFS('Resultater - Vestdanmark'!J$3:J$474,'Resultater - Vestdanmark'!$F$3:$F$474,'CO2-udledning'!$D$2,'Resultater - Vestdanmark'!$A$3:$A$474,'CO2-udledning'!$G8)</f>
        <v>-8474359.4091131538</v>
      </c>
      <c r="D26" s="99" t="str">
        <f t="shared" ref="D26:I26" si="18">IF(D17&lt;&gt;"",D17,"")</f>
        <v>Skov</v>
      </c>
      <c r="E26" s="99" t="str">
        <f t="shared" si="18"/>
        <v>Skov</v>
      </c>
      <c r="F26" s="99" t="str">
        <f t="shared" si="18"/>
        <v/>
      </c>
      <c r="G26" s="99" t="str">
        <f t="shared" si="18"/>
        <v>Skovproduktion</v>
      </c>
      <c r="H26" s="99" t="str">
        <f t="shared" si="18"/>
        <v/>
      </c>
      <c r="I26" s="99" t="str">
        <f t="shared" si="18"/>
        <v/>
      </c>
    </row>
    <row r="27" spans="1:9" s="173" customFormat="1" x14ac:dyDescent="0.25">
      <c r="A27" s="173" t="s">
        <v>24</v>
      </c>
      <c r="B27" s="173">
        <f t="shared" si="11"/>
        <v>2050</v>
      </c>
      <c r="C27" s="99">
        <f>SUMIFS('Resultater - Vestdanmark'!J$3:J$474,'Resultater - Vestdanmark'!$F$3:$F$474,'CO2-udledning'!$D$2,'Resultater - Vestdanmark'!$A$3:$A$474,'CO2-udledning'!$G9)</f>
        <v>-446756.0215333192</v>
      </c>
      <c r="D27" s="99" t="str">
        <f t="shared" ref="D27:I27" si="19">IF(D18&lt;&gt;"",D18,"")</f>
        <v>Biogasanlæg</v>
      </c>
      <c r="E27" s="99" t="str">
        <f t="shared" si="19"/>
        <v>Biogasanlæg</v>
      </c>
      <c r="F27" s="99" t="str">
        <f t="shared" si="19"/>
        <v/>
      </c>
      <c r="G27" s="99" t="str">
        <f t="shared" si="19"/>
        <v>Biogasanlæg</v>
      </c>
      <c r="H27" s="99" t="str">
        <f t="shared" si="19"/>
        <v/>
      </c>
      <c r="I27" s="99" t="str">
        <f t="shared" si="19"/>
        <v/>
      </c>
    </row>
    <row r="28" spans="1:9" s="173" customFormat="1" x14ac:dyDescent="0.25">
      <c r="A28" s="173" t="s">
        <v>24</v>
      </c>
      <c r="B28" s="173">
        <f t="shared" si="11"/>
        <v>2050</v>
      </c>
      <c r="C28" s="99">
        <f>SUMIFS('Resultater - Vestdanmark'!J$3:J$474,'Resultater - Vestdanmark'!$F$3:$F$474,'CO2-udledning'!$D$2,'Resultater - Vestdanmark'!$A$3:$A$474,'CO2-udledning'!$G10)</f>
        <v>-477099.53584915504</v>
      </c>
      <c r="D28" s="99" t="str">
        <f t="shared" ref="D28:I28" si="20">IF(D19&lt;&gt;"",D19,"")</f>
        <v>Pyrolyseproces</v>
      </c>
      <c r="E28" s="99" t="str">
        <f t="shared" si="20"/>
        <v>Pyrolyseproces</v>
      </c>
      <c r="F28" s="99" t="str">
        <f t="shared" si="20"/>
        <v/>
      </c>
      <c r="G28" s="99" t="str">
        <f t="shared" si="20"/>
        <v>Pyrolyseproces</v>
      </c>
      <c r="H28" s="99" t="str">
        <f t="shared" si="20"/>
        <v/>
      </c>
      <c r="I28" s="99" t="str">
        <f t="shared" si="20"/>
        <v/>
      </c>
    </row>
    <row r="29" spans="1:9" x14ac:dyDescent="0.25">
      <c r="A29" t="s">
        <v>25</v>
      </c>
      <c r="B29" s="173">
        <f t="shared" ref="B29:B37" si="21">År1</f>
        <v>2019</v>
      </c>
      <c r="C29" s="99">
        <f>SUMIF('Resultater - Østdanmark'!$F$3:$F$487,'CO2-udledning'!$D$2,'Resultater - Østdanmark'!H$3:H$487)</f>
        <v>1971383.1086998824</v>
      </c>
      <c r="D29" s="99" t="str">
        <f t="shared" ref="D29:I29" si="22">IF(D20&lt;&gt;"",D20,"")</f>
        <v>CO2 - atmosfære</v>
      </c>
      <c r="E29" s="99" t="str">
        <f t="shared" si="22"/>
        <v>CO2 - atmosfære</v>
      </c>
      <c r="F29" s="99" t="str">
        <f t="shared" si="22"/>
        <v/>
      </c>
      <c r="G29" s="99" t="str">
        <f t="shared" si="22"/>
        <v/>
      </c>
      <c r="H29" s="99" t="str">
        <f t="shared" si="22"/>
        <v/>
      </c>
      <c r="I29" s="99" t="str">
        <f t="shared" si="22"/>
        <v/>
      </c>
    </row>
    <row r="30" spans="1:9" x14ac:dyDescent="0.25">
      <c r="A30" t="s">
        <v>25</v>
      </c>
      <c r="B30" s="173">
        <f t="shared" si="21"/>
        <v>2019</v>
      </c>
      <c r="C30" s="99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9" t="str">
        <f t="shared" ref="D30:I30" si="23">IF(D21&lt;&gt;"",D21,"")</f>
        <v>Landbrug</v>
      </c>
      <c r="E30" s="99" t="str">
        <f t="shared" si="23"/>
        <v>Husdyr</v>
      </c>
      <c r="F30" s="99" t="str">
        <f t="shared" si="23"/>
        <v/>
      </c>
      <c r="G30" s="99" t="str">
        <f t="shared" si="23"/>
        <v>Grisestald</v>
      </c>
      <c r="H30" s="99" t="str">
        <f t="shared" si="23"/>
        <v>Kostald</v>
      </c>
      <c r="I30" s="99" t="str">
        <f t="shared" si="23"/>
        <v>Fjerkræbrug</v>
      </c>
    </row>
    <row r="31" spans="1:9" x14ac:dyDescent="0.25">
      <c r="A31" t="s">
        <v>25</v>
      </c>
      <c r="B31" s="173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9" t="str">
        <f t="shared" ref="D31:I31" si="24">IF(D22&lt;&gt;"",D22,"")</f>
        <v>Landbrug</v>
      </c>
      <c r="E31" s="99" t="str">
        <f t="shared" si="24"/>
        <v>Marker</v>
      </c>
      <c r="F31" s="99" t="str">
        <f t="shared" si="24"/>
        <v>JB1-10</v>
      </c>
      <c r="G31" s="99" t="str">
        <f t="shared" si="24"/>
        <v/>
      </c>
      <c r="H31" s="99" t="str">
        <f t="shared" si="24"/>
        <v/>
      </c>
      <c r="I31" s="99" t="str">
        <f t="shared" si="24"/>
        <v/>
      </c>
    </row>
    <row r="32" spans="1:9" x14ac:dyDescent="0.25">
      <c r="A32" t="s">
        <v>25</v>
      </c>
      <c r="B32" s="173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9" t="str">
        <f t="shared" ref="D32:I32" si="25">IF(D23&lt;&gt;"",D23,"")</f>
        <v>Landbrug</v>
      </c>
      <c r="E32" s="99" t="str">
        <f t="shared" si="25"/>
        <v>Marker</v>
      </c>
      <c r="F32" s="99" t="str">
        <f t="shared" si="25"/>
        <v>OC6</v>
      </c>
      <c r="G32" s="99" t="str">
        <f t="shared" si="25"/>
        <v/>
      </c>
      <c r="H32" s="99" t="str">
        <f t="shared" si="25"/>
        <v/>
      </c>
      <c r="I32" s="99" t="str">
        <f t="shared" si="25"/>
        <v/>
      </c>
    </row>
    <row r="33" spans="1:9" x14ac:dyDescent="0.25">
      <c r="A33" t="s">
        <v>25</v>
      </c>
      <c r="B33" s="173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9" t="str">
        <f t="shared" ref="D33:I33" si="26">IF(D24&lt;&gt;"",D24,"")</f>
        <v>Landbrug</v>
      </c>
      <c r="E33" s="99" t="str">
        <f t="shared" si="26"/>
        <v>Marker</v>
      </c>
      <c r="F33" s="99" t="str">
        <f t="shared" si="26"/>
        <v>OC12</v>
      </c>
      <c r="G33" s="99" t="str">
        <f t="shared" si="26"/>
        <v/>
      </c>
      <c r="H33" s="99" t="str">
        <f t="shared" si="26"/>
        <v/>
      </c>
      <c r="I33" s="99" t="str">
        <f t="shared" si="26"/>
        <v/>
      </c>
    </row>
    <row r="34" spans="1:9" x14ac:dyDescent="0.25">
      <c r="A34" t="s">
        <v>25</v>
      </c>
      <c r="B34" s="173">
        <f t="shared" si="21"/>
        <v>2019</v>
      </c>
      <c r="C34" s="99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9" t="str">
        <f t="shared" ref="D34:I34" si="27">IF(D25&lt;&gt;"",D25,"")</f>
        <v>Hav</v>
      </c>
      <c r="E34" s="99" t="str">
        <f t="shared" si="27"/>
        <v>Hav</v>
      </c>
      <c r="F34" s="99" t="str">
        <f t="shared" si="27"/>
        <v/>
      </c>
      <c r="G34" s="99" t="str">
        <f t="shared" si="27"/>
        <v>Muslingefarm</v>
      </c>
      <c r="H34" s="99" t="str">
        <f t="shared" si="27"/>
        <v>Tangfarm</v>
      </c>
      <c r="I34" s="99" t="str">
        <f t="shared" si="27"/>
        <v/>
      </c>
    </row>
    <row r="35" spans="1:9" x14ac:dyDescent="0.25">
      <c r="A35" t="s">
        <v>25</v>
      </c>
      <c r="B35" s="173">
        <f t="shared" si="21"/>
        <v>2019</v>
      </c>
      <c r="C35" s="99">
        <f>SUMIFS('Resultater - Østdanmark'!H$3:H$474,'Resultater - Østdanmark'!$F$3:$F$474,'CO2-udledning'!$D$2,'Resultater - Østdanmark'!$A$3:$A$474,'CO2-udledning'!$G35)</f>
        <v>-127230</v>
      </c>
      <c r="D35" s="99" t="str">
        <f t="shared" ref="D35:I35" si="28">IF(D26&lt;&gt;"",D26,"")</f>
        <v>Skov</v>
      </c>
      <c r="E35" s="99" t="str">
        <f t="shared" si="28"/>
        <v>Skov</v>
      </c>
      <c r="F35" s="99" t="str">
        <f t="shared" si="28"/>
        <v/>
      </c>
      <c r="G35" s="99" t="str">
        <f t="shared" si="28"/>
        <v>Skovproduktion</v>
      </c>
      <c r="H35" s="99" t="str">
        <f t="shared" si="28"/>
        <v/>
      </c>
      <c r="I35" s="99" t="str">
        <f t="shared" si="28"/>
        <v/>
      </c>
    </row>
    <row r="36" spans="1:9" s="173" customFormat="1" x14ac:dyDescent="0.25">
      <c r="A36" s="173" t="s">
        <v>25</v>
      </c>
      <c r="B36" s="173">
        <f t="shared" si="21"/>
        <v>2019</v>
      </c>
      <c r="C36" s="99">
        <f>SUMIFS('Resultater - Østdanmark'!H$3:H$474,'Resultater - Østdanmark'!$F$3:$F$474,'CO2-udledning'!$D$2,'Resultater - Østdanmark'!$A$3:$A$474,'CO2-udledning'!$G36)</f>
        <v>-13276.84523309844</v>
      </c>
      <c r="D36" s="99" t="str">
        <f t="shared" ref="D36:I36" si="29">IF(D27&lt;&gt;"",D27,"")</f>
        <v>Biogasanlæg</v>
      </c>
      <c r="E36" s="99" t="str">
        <f t="shared" si="29"/>
        <v>Biogasanlæg</v>
      </c>
      <c r="F36" s="99" t="str">
        <f t="shared" si="29"/>
        <v/>
      </c>
      <c r="G36" s="99" t="str">
        <f t="shared" si="29"/>
        <v>Biogasanlæg</v>
      </c>
      <c r="H36" s="99" t="str">
        <f t="shared" si="29"/>
        <v/>
      </c>
      <c r="I36" s="99" t="str">
        <f t="shared" si="29"/>
        <v/>
      </c>
    </row>
    <row r="37" spans="1:9" s="173" customFormat="1" x14ac:dyDescent="0.25">
      <c r="A37" s="173" t="s">
        <v>25</v>
      </c>
      <c r="B37" s="173">
        <f t="shared" si="21"/>
        <v>2019</v>
      </c>
      <c r="C37" s="99">
        <f>SUMIFS('Resultater - Østdanmark'!H$3:H$474,'Resultater - Østdanmark'!$F$3:$F$474,'CO2-udledning'!$D$2,'Resultater - Østdanmark'!$A$3:$A$474,'CO2-udledning'!$G37)</f>
        <v>0</v>
      </c>
      <c r="D37" s="99" t="str">
        <f t="shared" ref="D37:I37" si="30">IF(D28&lt;&gt;"",D28,"")</f>
        <v>Pyrolyseproces</v>
      </c>
      <c r="E37" s="99" t="str">
        <f t="shared" si="30"/>
        <v>Pyrolyseproces</v>
      </c>
      <c r="F37" s="99" t="str">
        <f t="shared" si="30"/>
        <v/>
      </c>
      <c r="G37" s="99" t="str">
        <f t="shared" si="30"/>
        <v>Pyrolyseproces</v>
      </c>
      <c r="H37" s="99" t="str">
        <f t="shared" si="30"/>
        <v/>
      </c>
      <c r="I37" s="99" t="str">
        <f t="shared" si="30"/>
        <v/>
      </c>
    </row>
    <row r="38" spans="1:9" x14ac:dyDescent="0.25">
      <c r="A38" s="173" t="s">
        <v>25</v>
      </c>
      <c r="B38" s="173">
        <f t="shared" ref="B38:B46" si="31">År2</f>
        <v>2030</v>
      </c>
      <c r="C38" s="99">
        <f>SUMIF('Resultater - Østdanmark'!$F$3:$F$487,'CO2-udledning'!$D$2,'Resultater - Østdanmark'!I$3:I$487)</f>
        <v>929605.76619202737</v>
      </c>
      <c r="D38" s="99" t="str">
        <f t="shared" ref="D38:I38" si="32">IF(D29&lt;&gt;"",D29,"")</f>
        <v>CO2 - atmosfære</v>
      </c>
      <c r="E38" s="99" t="str">
        <f t="shared" si="32"/>
        <v>CO2 - atmosfære</v>
      </c>
      <c r="F38" s="99" t="str">
        <f t="shared" si="32"/>
        <v/>
      </c>
      <c r="G38" s="99" t="str">
        <f t="shared" si="32"/>
        <v/>
      </c>
      <c r="H38" s="99" t="str">
        <f t="shared" si="32"/>
        <v/>
      </c>
      <c r="I38" s="99" t="str">
        <f t="shared" si="32"/>
        <v/>
      </c>
    </row>
    <row r="39" spans="1:9" x14ac:dyDescent="0.25">
      <c r="A39" s="173" t="s">
        <v>25</v>
      </c>
      <c r="B39" s="173">
        <f t="shared" si="31"/>
        <v>2030</v>
      </c>
      <c r="C39" s="99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9" t="str">
        <f t="shared" ref="D39:I39" si="33">IF(D30&lt;&gt;"",D30,"")</f>
        <v>Landbrug</v>
      </c>
      <c r="E39" s="99" t="str">
        <f t="shared" si="33"/>
        <v>Husdyr</v>
      </c>
      <c r="F39" s="99" t="str">
        <f t="shared" si="33"/>
        <v/>
      </c>
      <c r="G39" s="99" t="str">
        <f t="shared" si="33"/>
        <v>Grisestald</v>
      </c>
      <c r="H39" s="99" t="str">
        <f t="shared" si="33"/>
        <v>Kostald</v>
      </c>
      <c r="I39" s="99" t="str">
        <f t="shared" si="33"/>
        <v>Fjerkræbrug</v>
      </c>
    </row>
    <row r="40" spans="1:9" x14ac:dyDescent="0.25">
      <c r="A40" s="173" t="s">
        <v>25</v>
      </c>
      <c r="B40" s="173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1112170.7078451642</v>
      </c>
      <c r="D40" s="99" t="str">
        <f t="shared" ref="D40:I40" si="34">IF(D31&lt;&gt;"",D31,"")</f>
        <v>Landbrug</v>
      </c>
      <c r="E40" s="99" t="str">
        <f t="shared" si="34"/>
        <v>Marker</v>
      </c>
      <c r="F40" s="99" t="str">
        <f t="shared" si="34"/>
        <v>JB1-10</v>
      </c>
      <c r="G40" s="99" t="str">
        <f t="shared" si="34"/>
        <v/>
      </c>
      <c r="H40" s="99" t="str">
        <f t="shared" si="34"/>
        <v/>
      </c>
      <c r="I40" s="99" t="str">
        <f t="shared" si="34"/>
        <v/>
      </c>
    </row>
    <row r="41" spans="1:9" x14ac:dyDescent="0.25">
      <c r="A41" s="173" t="s">
        <v>25</v>
      </c>
      <c r="B41" s="173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0</v>
      </c>
      <c r="D41" s="99" t="str">
        <f t="shared" ref="D41:I41" si="35">IF(D32&lt;&gt;"",D32,"")</f>
        <v>Landbrug</v>
      </c>
      <c r="E41" s="99" t="str">
        <f t="shared" si="35"/>
        <v>Marker</v>
      </c>
      <c r="F41" s="99" t="str">
        <f t="shared" si="35"/>
        <v>OC6</v>
      </c>
      <c r="G41" s="99" t="str">
        <f t="shared" si="35"/>
        <v/>
      </c>
      <c r="H41" s="99" t="str">
        <f t="shared" si="35"/>
        <v/>
      </c>
      <c r="I41" s="99" t="str">
        <f t="shared" si="35"/>
        <v/>
      </c>
    </row>
    <row r="42" spans="1:9" x14ac:dyDescent="0.25">
      <c r="A42" s="173" t="s">
        <v>25</v>
      </c>
      <c r="B42" s="173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0</v>
      </c>
      <c r="D42" s="99" t="str">
        <f t="shared" ref="D42:I42" si="36">IF(D33&lt;&gt;"",D33,"")</f>
        <v>Landbrug</v>
      </c>
      <c r="E42" s="99" t="str">
        <f t="shared" si="36"/>
        <v>Marker</v>
      </c>
      <c r="F42" s="99" t="str">
        <f t="shared" si="36"/>
        <v>OC12</v>
      </c>
      <c r="G42" s="99" t="str">
        <f t="shared" si="36"/>
        <v/>
      </c>
      <c r="H42" s="99" t="str">
        <f t="shared" si="36"/>
        <v/>
      </c>
      <c r="I42" s="99" t="str">
        <f t="shared" si="36"/>
        <v/>
      </c>
    </row>
    <row r="43" spans="1:9" x14ac:dyDescent="0.25">
      <c r="A43" s="173" t="s">
        <v>25</v>
      </c>
      <c r="B43" s="173">
        <f t="shared" si="31"/>
        <v>2030</v>
      </c>
      <c r="C43" s="99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99" t="str">
        <f t="shared" ref="D43:I43" si="37">IF(D34&lt;&gt;"",D34,"")</f>
        <v>Hav</v>
      </c>
      <c r="E43" s="99" t="str">
        <f t="shared" si="37"/>
        <v>Hav</v>
      </c>
      <c r="F43" s="99" t="str">
        <f t="shared" si="37"/>
        <v/>
      </c>
      <c r="G43" s="99" t="str">
        <f t="shared" si="37"/>
        <v>Muslingefarm</v>
      </c>
      <c r="H43" s="99" t="str">
        <f t="shared" si="37"/>
        <v>Tangfarm</v>
      </c>
      <c r="I43" s="99" t="str">
        <f t="shared" si="37"/>
        <v/>
      </c>
    </row>
    <row r="44" spans="1:9" x14ac:dyDescent="0.25">
      <c r="A44" s="173" t="s">
        <v>25</v>
      </c>
      <c r="B44" s="173">
        <f t="shared" si="31"/>
        <v>2030</v>
      </c>
      <c r="C44" s="99">
        <f>SUMIFS('Resultater - Østdanmark'!I$3:I$474,'Resultater - Østdanmark'!$F$3:$F$474,'CO2-udledning'!$D$2,'Resultater - Østdanmark'!$A$3:$A$474,'CO2-udledning'!$G35)</f>
        <v>-298492.19232265209</v>
      </c>
      <c r="D44" s="99" t="str">
        <f t="shared" ref="D44:I44" si="38">IF(D35&lt;&gt;"",D35,"")</f>
        <v>Skov</v>
      </c>
      <c r="E44" s="99" t="str">
        <f t="shared" si="38"/>
        <v>Skov</v>
      </c>
      <c r="F44" s="99" t="str">
        <f t="shared" si="38"/>
        <v/>
      </c>
      <c r="G44" s="99" t="str">
        <f t="shared" si="38"/>
        <v>Skovproduktion</v>
      </c>
      <c r="H44" s="99" t="str">
        <f t="shared" si="38"/>
        <v/>
      </c>
      <c r="I44" s="99" t="str">
        <f t="shared" si="38"/>
        <v/>
      </c>
    </row>
    <row r="45" spans="1:9" s="173" customFormat="1" x14ac:dyDescent="0.25">
      <c r="A45" s="173" t="s">
        <v>25</v>
      </c>
      <c r="B45" s="173">
        <f t="shared" si="31"/>
        <v>2030</v>
      </c>
      <c r="C45" s="99">
        <f>SUMIFS('Resultater - Østdanmark'!I$3:I$474,'Resultater - Østdanmark'!$F$3:$F$474,'CO2-udledning'!$D$2,'Resultater - Østdanmark'!$A$3:$A$474,'CO2-udledning'!$G36)</f>
        <v>-38707.865943921846</v>
      </c>
      <c r="D45" s="99" t="str">
        <f t="shared" ref="D45:I45" si="39">IF(D36&lt;&gt;"",D36,"")</f>
        <v>Biogasanlæg</v>
      </c>
      <c r="E45" s="99" t="str">
        <f t="shared" si="39"/>
        <v>Biogasanlæg</v>
      </c>
      <c r="F45" s="99" t="str">
        <f t="shared" si="39"/>
        <v/>
      </c>
      <c r="G45" s="99" t="str">
        <f t="shared" si="39"/>
        <v>Biogasanlæg</v>
      </c>
      <c r="H45" s="99" t="str">
        <f t="shared" si="39"/>
        <v/>
      </c>
      <c r="I45" s="99" t="str">
        <f t="shared" si="39"/>
        <v/>
      </c>
    </row>
    <row r="46" spans="1:9" s="173" customFormat="1" x14ac:dyDescent="0.25">
      <c r="A46" s="173" t="s">
        <v>25</v>
      </c>
      <c r="B46" s="173">
        <f t="shared" si="31"/>
        <v>2030</v>
      </c>
      <c r="C46" s="99">
        <f>SUMIFS('Resultater - Østdanmark'!I$3:I$474,'Resultater - Østdanmark'!$F$3:$F$474,'CO2-udledning'!$D$2,'Resultater - Østdanmark'!$A$3:$A$474,'CO2-udledning'!$G37)</f>
        <v>-293750.99834897922</v>
      </c>
      <c r="D46" s="99" t="str">
        <f t="shared" ref="D46:I46" si="40">IF(D37&lt;&gt;"",D37,"")</f>
        <v>Pyrolyseproces</v>
      </c>
      <c r="E46" s="99" t="str">
        <f t="shared" si="40"/>
        <v>Pyrolyseproces</v>
      </c>
      <c r="F46" s="99" t="str">
        <f t="shared" si="40"/>
        <v/>
      </c>
      <c r="G46" s="99" t="str">
        <f t="shared" si="40"/>
        <v>Pyrolyseproces</v>
      </c>
      <c r="H46" s="99" t="str">
        <f t="shared" si="40"/>
        <v/>
      </c>
      <c r="I46" s="99" t="str">
        <f t="shared" si="40"/>
        <v/>
      </c>
    </row>
    <row r="47" spans="1:9" x14ac:dyDescent="0.25">
      <c r="A47" s="173" t="s">
        <v>25</v>
      </c>
      <c r="B47" s="173">
        <f t="shared" ref="B47:B55" si="41">År3</f>
        <v>2050</v>
      </c>
      <c r="C47" s="99">
        <f>SUMIF('Resultater - Østdanmark'!$F$3:$F$487,'CO2-udledning'!$D$2,'Resultater - Østdanmark'!J$3:J$487)</f>
        <v>133920.14601809683</v>
      </c>
      <c r="D47" s="99" t="str">
        <f t="shared" ref="D47:I47" si="42">IF(D38&lt;&gt;"",D38,"")</f>
        <v>CO2 - atmosfære</v>
      </c>
      <c r="E47" s="99" t="str">
        <f t="shared" si="42"/>
        <v>CO2 - atmosfære</v>
      </c>
      <c r="F47" s="99" t="str">
        <f t="shared" si="42"/>
        <v/>
      </c>
      <c r="G47" s="99" t="str">
        <f t="shared" si="42"/>
        <v/>
      </c>
      <c r="H47" s="99" t="str">
        <f t="shared" si="42"/>
        <v/>
      </c>
      <c r="I47" s="99" t="str">
        <f t="shared" si="42"/>
        <v/>
      </c>
    </row>
    <row r="48" spans="1:9" x14ac:dyDescent="0.25">
      <c r="A48" s="173" t="s">
        <v>25</v>
      </c>
      <c r="B48" s="173">
        <f t="shared" si="41"/>
        <v>2050</v>
      </c>
      <c r="C48" s="99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9" t="str">
        <f t="shared" ref="D48:I48" si="43">IF(D39&lt;&gt;"",D39,"")</f>
        <v>Landbrug</v>
      </c>
      <c r="E48" s="99" t="str">
        <f t="shared" si="43"/>
        <v>Husdyr</v>
      </c>
      <c r="F48" s="99" t="str">
        <f t="shared" si="43"/>
        <v/>
      </c>
      <c r="G48" s="99" t="str">
        <f t="shared" si="43"/>
        <v>Grisestald</v>
      </c>
      <c r="H48" s="99" t="str">
        <f t="shared" si="43"/>
        <v>Kostald</v>
      </c>
      <c r="I48" s="99" t="str">
        <f t="shared" si="43"/>
        <v>Fjerkræbrug</v>
      </c>
    </row>
    <row r="49" spans="1:9" x14ac:dyDescent="0.25">
      <c r="A49" s="173" t="s">
        <v>25</v>
      </c>
      <c r="B49" s="173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1106885.0256364804</v>
      </c>
      <c r="D49" s="99" t="str">
        <f t="shared" ref="D49:I49" si="44">IF(D40&lt;&gt;"",D40,"")</f>
        <v>Landbrug</v>
      </c>
      <c r="E49" s="99" t="str">
        <f t="shared" si="44"/>
        <v>Marker</v>
      </c>
      <c r="F49" s="99" t="str">
        <f t="shared" si="44"/>
        <v>JB1-10</v>
      </c>
      <c r="G49" s="99" t="str">
        <f t="shared" si="44"/>
        <v/>
      </c>
      <c r="H49" s="99" t="str">
        <f t="shared" si="44"/>
        <v/>
      </c>
      <c r="I49" s="99" t="str">
        <f t="shared" si="44"/>
        <v/>
      </c>
    </row>
    <row r="50" spans="1:9" x14ac:dyDescent="0.25">
      <c r="A50" s="173" t="s">
        <v>25</v>
      </c>
      <c r="B50" s="173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0</v>
      </c>
      <c r="D50" s="99" t="str">
        <f t="shared" ref="D50:I50" si="45">IF(D41&lt;&gt;"",D41,"")</f>
        <v>Landbrug</v>
      </c>
      <c r="E50" s="99" t="str">
        <f t="shared" si="45"/>
        <v>Marker</v>
      </c>
      <c r="F50" s="99" t="str">
        <f t="shared" si="45"/>
        <v>OC6</v>
      </c>
      <c r="G50" s="99" t="str">
        <f t="shared" si="45"/>
        <v/>
      </c>
      <c r="H50" s="99" t="str">
        <f t="shared" si="45"/>
        <v/>
      </c>
      <c r="I50" s="99" t="str">
        <f t="shared" si="45"/>
        <v/>
      </c>
    </row>
    <row r="51" spans="1:9" x14ac:dyDescent="0.25">
      <c r="A51" s="173" t="s">
        <v>25</v>
      </c>
      <c r="B51" s="173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0</v>
      </c>
      <c r="D51" s="99" t="str">
        <f t="shared" ref="D51:I51" si="46">IF(D42&lt;&gt;"",D42,"")</f>
        <v>Landbrug</v>
      </c>
      <c r="E51" s="99" t="str">
        <f t="shared" si="46"/>
        <v>Marker</v>
      </c>
      <c r="F51" s="99" t="str">
        <f t="shared" si="46"/>
        <v>OC12</v>
      </c>
      <c r="G51" s="99" t="str">
        <f t="shared" si="46"/>
        <v/>
      </c>
      <c r="H51" s="99" t="str">
        <f t="shared" si="46"/>
        <v/>
      </c>
      <c r="I51" s="99" t="str">
        <f t="shared" si="46"/>
        <v/>
      </c>
    </row>
    <row r="52" spans="1:9" x14ac:dyDescent="0.25">
      <c r="A52" s="173" t="s">
        <v>25</v>
      </c>
      <c r="B52" s="173">
        <f t="shared" si="41"/>
        <v>2050</v>
      </c>
      <c r="C52" s="99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99" t="str">
        <f t="shared" ref="D52:I52" si="47">IF(D43&lt;&gt;"",D43,"")</f>
        <v>Hav</v>
      </c>
      <c r="E52" s="99" t="str">
        <f t="shared" si="47"/>
        <v>Hav</v>
      </c>
      <c r="F52" s="99" t="str">
        <f t="shared" si="47"/>
        <v/>
      </c>
      <c r="G52" s="99" t="str">
        <f t="shared" si="47"/>
        <v>Muslingefarm</v>
      </c>
      <c r="H52" s="99" t="str">
        <f t="shared" si="47"/>
        <v>Tangfarm</v>
      </c>
      <c r="I52" s="99" t="str">
        <f t="shared" si="47"/>
        <v/>
      </c>
    </row>
    <row r="53" spans="1:9" x14ac:dyDescent="0.25">
      <c r="A53" s="173" t="s">
        <v>25</v>
      </c>
      <c r="B53" s="173">
        <f t="shared" si="41"/>
        <v>2050</v>
      </c>
      <c r="C53" s="99">
        <f>SUMIFS('Resultater - Østdanmark'!J$3:J$474,'Resultater - Østdanmark'!$F$3:$F$474,'CO2-udledning'!$D$2,'Resultater - Østdanmark'!$A$3:$A$474,'CO2-udledning'!$G35)</f>
        <v>-1071764.6573843672</v>
      </c>
      <c r="D53" s="99" t="str">
        <f t="shared" ref="D53:I53" si="48">IF(D44&lt;&gt;"",D44,"")</f>
        <v>Skov</v>
      </c>
      <c r="E53" s="99" t="str">
        <f t="shared" si="48"/>
        <v>Skov</v>
      </c>
      <c r="F53" s="99" t="str">
        <f t="shared" si="48"/>
        <v/>
      </c>
      <c r="G53" s="99" t="str">
        <f t="shared" si="48"/>
        <v>Skovproduktion</v>
      </c>
      <c r="H53" s="99" t="str">
        <f t="shared" si="48"/>
        <v/>
      </c>
      <c r="I53" s="99" t="str">
        <f t="shared" si="48"/>
        <v/>
      </c>
    </row>
    <row r="54" spans="1:9" s="173" customFormat="1" x14ac:dyDescent="0.25">
      <c r="A54" s="173" t="s">
        <v>25</v>
      </c>
      <c r="B54" s="173">
        <f t="shared" si="41"/>
        <v>2050</v>
      </c>
      <c r="C54" s="99">
        <f>SUMIFS('Resultater - Østdanmark'!J$3:J$474,'Resultater - Østdanmark'!$F$3:$F$474,'CO2-udledning'!$D$2,'Resultater - Østdanmark'!$A$3:$A$474,'CO2-udledning'!$G36)</f>
        <v>-42601.102541341941</v>
      </c>
      <c r="D54" s="99" t="str">
        <f t="shared" ref="D54:I54" si="49">IF(D45&lt;&gt;"",D45,"")</f>
        <v>Biogasanlæg</v>
      </c>
      <c r="E54" s="99" t="str">
        <f t="shared" si="49"/>
        <v>Biogasanlæg</v>
      </c>
      <c r="F54" s="99" t="str">
        <f t="shared" si="49"/>
        <v/>
      </c>
      <c r="G54" s="99" t="str">
        <f t="shared" si="49"/>
        <v>Biogasanlæg</v>
      </c>
      <c r="H54" s="99" t="str">
        <f t="shared" si="49"/>
        <v/>
      </c>
      <c r="I54" s="99" t="str">
        <f t="shared" si="49"/>
        <v/>
      </c>
    </row>
    <row r="55" spans="1:9" x14ac:dyDescent="0.25">
      <c r="A55" s="173" t="s">
        <v>25</v>
      </c>
      <c r="B55" s="173">
        <f t="shared" si="41"/>
        <v>2050</v>
      </c>
      <c r="C55" s="99">
        <f>SUMIFS('Resultater - Østdanmark'!J$3:J$474,'Resultater - Østdanmark'!$F$3:$F$474,'CO2-udledning'!$D$2,'Resultater - Østdanmark'!$A$3:$A$474,'CO2-udledning'!$G37)</f>
        <v>-297615.79748417798</v>
      </c>
      <c r="D55" s="99" t="str">
        <f t="shared" ref="D55:I55" si="50">IF(D46&lt;&gt;"",D46,"")</f>
        <v>Pyrolyseproces</v>
      </c>
      <c r="E55" s="99" t="str">
        <f t="shared" si="50"/>
        <v>Pyrolyseproces</v>
      </c>
      <c r="F55" s="99" t="str">
        <f t="shared" si="50"/>
        <v/>
      </c>
      <c r="G55" s="99" t="str">
        <f t="shared" si="50"/>
        <v>Pyrolyseproces</v>
      </c>
      <c r="H55" s="99" t="str">
        <f t="shared" si="50"/>
        <v/>
      </c>
      <c r="I55" s="99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4" width="9.140625" bestFit="1" customWidth="1"/>
    <col min="15" max="15" width="11.28515625" bestFit="1" customWidth="1"/>
  </cols>
  <sheetData>
    <row r="1" spans="1:15" x14ac:dyDescent="0.25">
      <c r="A1" s="77" t="s">
        <v>129</v>
      </c>
      <c r="B1" s="77" t="s">
        <v>63</v>
      </c>
    </row>
    <row r="2" spans="1:15" x14ac:dyDescent="0.25">
      <c r="A2" s="77" t="s">
        <v>61</v>
      </c>
      <c r="B2" s="173" t="s">
        <v>50</v>
      </c>
      <c r="C2" s="173" t="s">
        <v>116</v>
      </c>
      <c r="D2" s="173" t="s">
        <v>55</v>
      </c>
      <c r="E2" s="173" t="s">
        <v>52</v>
      </c>
      <c r="F2" s="173" t="s">
        <v>6</v>
      </c>
      <c r="G2" s="173" t="s">
        <v>57</v>
      </c>
      <c r="H2" s="173" t="s">
        <v>12</v>
      </c>
      <c r="I2" s="173" t="s">
        <v>49</v>
      </c>
      <c r="J2" s="173" t="s">
        <v>54</v>
      </c>
      <c r="K2" s="173" t="s">
        <v>56</v>
      </c>
      <c r="L2" s="173" t="s">
        <v>97</v>
      </c>
      <c r="M2" s="173" t="s">
        <v>51</v>
      </c>
      <c r="N2" s="173" t="s">
        <v>53</v>
      </c>
      <c r="O2" s="173" t="s">
        <v>62</v>
      </c>
    </row>
    <row r="3" spans="1:15" x14ac:dyDescent="0.25">
      <c r="A3" s="78">
        <v>2019</v>
      </c>
      <c r="B3" s="99">
        <v>285126.10198467888</v>
      </c>
      <c r="C3" s="99">
        <v>1502558.0356082148</v>
      </c>
      <c r="D3" s="99">
        <v>41727.889892771527</v>
      </c>
      <c r="E3" s="99">
        <v>17943438.695570182</v>
      </c>
      <c r="F3" s="99">
        <v>280609.42145294487</v>
      </c>
      <c r="G3" s="99">
        <v>911574.64248506655</v>
      </c>
      <c r="H3" s="99">
        <v>2262318.840633567</v>
      </c>
      <c r="I3" s="99">
        <v>9109787.9694444165</v>
      </c>
      <c r="J3" s="99">
        <v>7947695.2938467432</v>
      </c>
      <c r="K3" s="99">
        <v>2005102.1714007764</v>
      </c>
      <c r="L3" s="99">
        <v>209782.38739500003</v>
      </c>
      <c r="M3" s="99">
        <v>678407.81727843033</v>
      </c>
      <c r="N3" s="99">
        <v>2629423.1359865703</v>
      </c>
      <c r="O3" s="99">
        <v>45807552.402979359</v>
      </c>
    </row>
    <row r="4" spans="1:15" x14ac:dyDescent="0.25">
      <c r="A4" s="79" t="s">
        <v>24</v>
      </c>
      <c r="B4" s="99">
        <v>258086.32953598633</v>
      </c>
      <c r="C4" s="99">
        <v>890042.58416558511</v>
      </c>
      <c r="D4" s="99">
        <v>25923.363510878662</v>
      </c>
      <c r="E4" s="99">
        <v>15863611.568544758</v>
      </c>
      <c r="F4" s="99">
        <v>184529.62070571107</v>
      </c>
      <c r="G4" s="99">
        <v>765723.03528474667</v>
      </c>
      <c r="H4" s="99">
        <v>2145904.0489790672</v>
      </c>
      <c r="I4" s="99">
        <v>6833990.0005322779</v>
      </c>
      <c r="J4" s="99">
        <v>7581538.5357748987</v>
      </c>
      <c r="K4" s="99">
        <v>1609044.2994914718</v>
      </c>
      <c r="L4" s="99">
        <v>172205.06744997756</v>
      </c>
      <c r="M4" s="99">
        <v>484833.6848947219</v>
      </c>
      <c r="N4" s="99">
        <v>376449.39511597221</v>
      </c>
      <c r="O4" s="99">
        <v>37191881.533986054</v>
      </c>
    </row>
    <row r="5" spans="1:15" x14ac:dyDescent="0.25">
      <c r="A5" s="79" t="s">
        <v>25</v>
      </c>
      <c r="B5" s="99">
        <v>27039.772448692573</v>
      </c>
      <c r="C5" s="99">
        <v>612515.4514426298</v>
      </c>
      <c r="D5" s="99">
        <v>15804.526381892863</v>
      </c>
      <c r="E5" s="99">
        <v>2079827.1270254222</v>
      </c>
      <c r="F5" s="99">
        <v>96079.800747233821</v>
      </c>
      <c r="G5" s="99">
        <v>145851.60720031991</v>
      </c>
      <c r="H5" s="99">
        <v>116414.7916544996</v>
      </c>
      <c r="I5" s="99">
        <v>2275797.9689121391</v>
      </c>
      <c r="J5" s="99">
        <v>366156.75807184458</v>
      </c>
      <c r="K5" s="99">
        <v>396057.87190930446</v>
      </c>
      <c r="L5" s="99">
        <v>37577.319945022478</v>
      </c>
      <c r="M5" s="99">
        <v>193574.13238370849</v>
      </c>
      <c r="N5" s="99">
        <v>2252973.7408705982</v>
      </c>
      <c r="O5" s="99">
        <v>8615670.8689933084</v>
      </c>
    </row>
    <row r="6" spans="1:15" x14ac:dyDescent="0.25">
      <c r="A6" s="78">
        <v>2030</v>
      </c>
      <c r="B6" s="99">
        <v>209524.12390695437</v>
      </c>
      <c r="C6" s="99">
        <v>1121036.0604266715</v>
      </c>
      <c r="D6" s="99">
        <v>33057.855881718686</v>
      </c>
      <c r="E6" s="99">
        <v>11938672.678257111</v>
      </c>
      <c r="F6" s="99">
        <v>225780.46009107816</v>
      </c>
      <c r="G6" s="99">
        <v>679098.34691830049</v>
      </c>
      <c r="H6" s="99">
        <v>-297060.90155516466</v>
      </c>
      <c r="I6" s="99">
        <v>7405647.764969537</v>
      </c>
      <c r="J6" s="99">
        <v>5792316.2139823744</v>
      </c>
      <c r="K6" s="99">
        <v>569927.74114280404</v>
      </c>
      <c r="L6" s="99">
        <v>128936.60256776394</v>
      </c>
      <c r="M6" s="99">
        <v>467813.0806242454</v>
      </c>
      <c r="N6" s="99">
        <v>2409344.6345623396</v>
      </c>
      <c r="O6" s="99">
        <v>30684094.661775734</v>
      </c>
    </row>
    <row r="7" spans="1:15" x14ac:dyDescent="0.25">
      <c r="A7" s="79" t="s">
        <v>24</v>
      </c>
      <c r="B7" s="99">
        <v>184407.26877936258</v>
      </c>
      <c r="C7" s="99">
        <v>576631.345963069</v>
      </c>
      <c r="D7" s="99">
        <v>18416.271242773404</v>
      </c>
      <c r="E7" s="99">
        <v>10042259.647995874</v>
      </c>
      <c r="F7" s="99">
        <v>135775.41565002408</v>
      </c>
      <c r="G7" s="99">
        <v>543978.91341244674</v>
      </c>
      <c r="H7" s="99">
        <v>-191934.86206532503</v>
      </c>
      <c r="I7" s="99">
        <v>5176210.3236121144</v>
      </c>
      <c r="J7" s="99">
        <v>5450127.5876520872</v>
      </c>
      <c r="K7" s="99">
        <v>351873.9099999037</v>
      </c>
      <c r="L7" s="99">
        <v>97606.291632882203</v>
      </c>
      <c r="M7" s="99">
        <v>352476.43400802126</v>
      </c>
      <c r="N7" s="99">
        <v>280098.82292581868</v>
      </c>
      <c r="O7" s="99">
        <v>23017927.370809052</v>
      </c>
    </row>
    <row r="8" spans="1:15" x14ac:dyDescent="0.25">
      <c r="A8" s="79" t="s">
        <v>25</v>
      </c>
      <c r="B8" s="99">
        <v>25116.855127591796</v>
      </c>
      <c r="C8" s="99">
        <v>544404.7144636024</v>
      </c>
      <c r="D8" s="99">
        <v>14641.584638945284</v>
      </c>
      <c r="E8" s="99">
        <v>1896413.0302612376</v>
      </c>
      <c r="F8" s="99">
        <v>90005.04444105408</v>
      </c>
      <c r="G8" s="99">
        <v>135119.43350585381</v>
      </c>
      <c r="H8" s="99">
        <v>-105126.03948983965</v>
      </c>
      <c r="I8" s="99">
        <v>2229437.4413574226</v>
      </c>
      <c r="J8" s="99">
        <v>342188.62633028702</v>
      </c>
      <c r="K8" s="99">
        <v>218053.83114290028</v>
      </c>
      <c r="L8" s="99">
        <v>31330.310934881738</v>
      </c>
      <c r="M8" s="99">
        <v>115336.64661622414</v>
      </c>
      <c r="N8" s="99">
        <v>2129245.811636521</v>
      </c>
      <c r="O8" s="99">
        <v>7666167.2909666821</v>
      </c>
    </row>
    <row r="9" spans="1:15" x14ac:dyDescent="0.25">
      <c r="A9" s="78">
        <v>2050</v>
      </c>
      <c r="B9" s="99">
        <v>206035.44589164984</v>
      </c>
      <c r="C9" s="99">
        <v>1110059.524082453</v>
      </c>
      <c r="D9" s="99">
        <v>32707.689277695736</v>
      </c>
      <c r="E9" s="99">
        <v>12133911.37971261</v>
      </c>
      <c r="F9" s="99">
        <v>222633.53899037626</v>
      </c>
      <c r="G9" s="99">
        <v>668798.3131816989</v>
      </c>
      <c r="H9" s="99">
        <v>-293418.347405129</v>
      </c>
      <c r="I9" s="99">
        <v>7408827.8740630047</v>
      </c>
      <c r="J9" s="99">
        <v>6058915.5822098842</v>
      </c>
      <c r="K9" s="99">
        <v>563246.17498841672</v>
      </c>
      <c r="L9" s="99">
        <v>127087.43588378775</v>
      </c>
      <c r="M9" s="99">
        <v>460710.31013897981</v>
      </c>
      <c r="N9" s="99">
        <v>2403742.0535703506</v>
      </c>
      <c r="O9" s="99">
        <v>31103256.974585775</v>
      </c>
    </row>
    <row r="10" spans="1:15" x14ac:dyDescent="0.25">
      <c r="A10" s="79" t="s">
        <v>24</v>
      </c>
      <c r="B10" s="99">
        <v>180922.23714625766</v>
      </c>
      <c r="C10" s="99">
        <v>565733.84450001363</v>
      </c>
      <c r="D10" s="99">
        <v>18068.230255724804</v>
      </c>
      <c r="E10" s="99">
        <v>10105609.567581752</v>
      </c>
      <c r="F10" s="99">
        <v>132870.52913094888</v>
      </c>
      <c r="G10" s="99">
        <v>533698.49586961837</v>
      </c>
      <c r="H10" s="99">
        <v>-188307.56976702847</v>
      </c>
      <c r="I10" s="99">
        <v>5133942.8537930651</v>
      </c>
      <c r="J10" s="99">
        <v>5712838.4612741098</v>
      </c>
      <c r="K10" s="99">
        <v>345224.00018164597</v>
      </c>
      <c r="L10" s="99">
        <v>95761.673380129621</v>
      </c>
      <c r="M10" s="99">
        <v>345496.6234152735</v>
      </c>
      <c r="N10" s="99">
        <v>274805.35881915229</v>
      </c>
      <c r="O10" s="99">
        <v>23256664.305580661</v>
      </c>
    </row>
    <row r="11" spans="1:15" x14ac:dyDescent="0.25">
      <c r="A11" s="79" t="s">
        <v>25</v>
      </c>
      <c r="B11" s="99">
        <v>25113.208745392181</v>
      </c>
      <c r="C11" s="99">
        <v>544325.67958243925</v>
      </c>
      <c r="D11" s="99">
        <v>14639.459021970932</v>
      </c>
      <c r="E11" s="99">
        <v>2028301.812130857</v>
      </c>
      <c r="F11" s="99">
        <v>89763.009859427373</v>
      </c>
      <c r="G11" s="99">
        <v>135099.81731208056</v>
      </c>
      <c r="H11" s="99">
        <v>-105110.7776381005</v>
      </c>
      <c r="I11" s="99">
        <v>2274885.0202699397</v>
      </c>
      <c r="J11" s="99">
        <v>346077.120935774</v>
      </c>
      <c r="K11" s="99">
        <v>218022.17480677072</v>
      </c>
      <c r="L11" s="99">
        <v>31325.762503658123</v>
      </c>
      <c r="M11" s="99">
        <v>115213.68672370631</v>
      </c>
      <c r="N11" s="99">
        <v>2128936.6947511984</v>
      </c>
      <c r="O11" s="99">
        <v>7846592.6690051146</v>
      </c>
    </row>
    <row r="12" spans="1:15" x14ac:dyDescent="0.25">
      <c r="A12" s="78" t="s">
        <v>62</v>
      </c>
      <c r="B12" s="99">
        <v>700685.671783283</v>
      </c>
      <c r="C12" s="99">
        <v>3733653.6201173393</v>
      </c>
      <c r="D12" s="99">
        <v>107493.43505218595</v>
      </c>
      <c r="E12" s="99">
        <v>42016022.753539898</v>
      </c>
      <c r="F12" s="99">
        <v>729023.42053439934</v>
      </c>
      <c r="G12" s="99">
        <v>2259471.3025850663</v>
      </c>
      <c r="H12" s="99">
        <v>1671839.5916732731</v>
      </c>
      <c r="I12" s="99">
        <v>23924263.608476959</v>
      </c>
      <c r="J12" s="99">
        <v>19798927.090039</v>
      </c>
      <c r="K12" s="99">
        <v>3138276.0875319969</v>
      </c>
      <c r="L12" s="99">
        <v>465806.42584655172</v>
      </c>
      <c r="M12" s="99">
        <v>1606931.2080416554</v>
      </c>
      <c r="N12" s="99">
        <v>7442509.8241192605</v>
      </c>
      <c r="O12" s="99">
        <v>107594904.03934085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58</v>
      </c>
      <c r="B1" t="s">
        <v>65</v>
      </c>
      <c r="C1" t="s">
        <v>59</v>
      </c>
      <c r="D1" t="s">
        <v>128</v>
      </c>
    </row>
    <row r="2" spans="1:4" x14ac:dyDescent="0.25">
      <c r="A2" t="s">
        <v>49</v>
      </c>
      <c r="B2" t="s">
        <v>24</v>
      </c>
      <c r="C2">
        <f t="shared" ref="C2:C14" si="0">År1</f>
        <v>2019</v>
      </c>
      <c r="D2" s="248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50</v>
      </c>
      <c r="B3" t="s">
        <v>24</v>
      </c>
      <c r="C3">
        <f t="shared" si="0"/>
        <v>2019</v>
      </c>
      <c r="D3" s="248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51</v>
      </c>
      <c r="B4" t="s">
        <v>24</v>
      </c>
      <c r="C4">
        <f t="shared" si="0"/>
        <v>2019</v>
      </c>
      <c r="D4" s="248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52</v>
      </c>
      <c r="B5" t="s">
        <v>24</v>
      </c>
      <c r="C5">
        <f t="shared" si="0"/>
        <v>2019</v>
      </c>
      <c r="D5" s="248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24</v>
      </c>
      <c r="C6">
        <f t="shared" si="0"/>
        <v>2019</v>
      </c>
      <c r="D6" s="248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24</v>
      </c>
      <c r="C7">
        <f t="shared" si="0"/>
        <v>2019</v>
      </c>
      <c r="D7" s="248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53</v>
      </c>
      <c r="B8" t="s">
        <v>24</v>
      </c>
      <c r="C8">
        <f t="shared" si="0"/>
        <v>2019</v>
      </c>
      <c r="D8" s="248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54</v>
      </c>
      <c r="B9" t="s">
        <v>24</v>
      </c>
      <c r="C9">
        <f t="shared" si="0"/>
        <v>2019</v>
      </c>
      <c r="D9" s="248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55</v>
      </c>
      <c r="B10" t="s">
        <v>24</v>
      </c>
      <c r="C10">
        <f t="shared" si="0"/>
        <v>2019</v>
      </c>
      <c r="D10" s="248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56</v>
      </c>
      <c r="B11" t="s">
        <v>24</v>
      </c>
      <c r="C11">
        <f t="shared" si="0"/>
        <v>2019</v>
      </c>
      <c r="D11" s="248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116</v>
      </c>
      <c r="B12" t="s">
        <v>24</v>
      </c>
      <c r="C12">
        <f t="shared" si="0"/>
        <v>2019</v>
      </c>
      <c r="D12" s="248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57</v>
      </c>
      <c r="B13" t="s">
        <v>24</v>
      </c>
      <c r="C13">
        <f t="shared" si="0"/>
        <v>2019</v>
      </c>
      <c r="D13" s="248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97</v>
      </c>
      <c r="B14" t="s">
        <v>24</v>
      </c>
      <c r="C14">
        <f t="shared" si="0"/>
        <v>2019</v>
      </c>
      <c r="D14" s="248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49</v>
      </c>
      <c r="B15" t="s">
        <v>24</v>
      </c>
      <c r="C15">
        <f t="shared" ref="C15:C27" si="1">År2</f>
        <v>2030</v>
      </c>
      <c r="D15" s="248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5176210.3236121144</v>
      </c>
    </row>
    <row r="16" spans="1:4" x14ac:dyDescent="0.25">
      <c r="A16" t="s">
        <v>50</v>
      </c>
      <c r="B16" t="s">
        <v>24</v>
      </c>
      <c r="C16">
        <f t="shared" si="1"/>
        <v>2030</v>
      </c>
      <c r="D16" s="248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184407.26877936258</v>
      </c>
    </row>
    <row r="17" spans="1:4" x14ac:dyDescent="0.25">
      <c r="A17" t="s">
        <v>51</v>
      </c>
      <c r="B17" t="s">
        <v>24</v>
      </c>
      <c r="C17">
        <f t="shared" si="1"/>
        <v>2030</v>
      </c>
      <c r="D17" s="248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352476.43400802126</v>
      </c>
    </row>
    <row r="18" spans="1:4" x14ac:dyDescent="0.25">
      <c r="A18" t="s">
        <v>52</v>
      </c>
      <c r="B18" t="s">
        <v>24</v>
      </c>
      <c r="C18">
        <f t="shared" si="1"/>
        <v>2030</v>
      </c>
      <c r="D18" s="248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10042259.647995874</v>
      </c>
    </row>
    <row r="19" spans="1:4" x14ac:dyDescent="0.25">
      <c r="A19" t="s">
        <v>6</v>
      </c>
      <c r="B19" t="s">
        <v>24</v>
      </c>
      <c r="C19">
        <f t="shared" si="1"/>
        <v>2030</v>
      </c>
      <c r="D19" s="248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135775.41565002408</v>
      </c>
    </row>
    <row r="20" spans="1:4" x14ac:dyDescent="0.25">
      <c r="A20" t="s">
        <v>12</v>
      </c>
      <c r="B20" t="s">
        <v>24</v>
      </c>
      <c r="C20">
        <f t="shared" si="1"/>
        <v>2030</v>
      </c>
      <c r="D20" s="248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-191934.86206532503</v>
      </c>
    </row>
    <row r="21" spans="1:4" x14ac:dyDescent="0.25">
      <c r="A21" t="s">
        <v>53</v>
      </c>
      <c r="B21" t="s">
        <v>24</v>
      </c>
      <c r="C21">
        <f t="shared" si="1"/>
        <v>2030</v>
      </c>
      <c r="D21" s="248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280098.82292581868</v>
      </c>
    </row>
    <row r="22" spans="1:4" x14ac:dyDescent="0.25">
      <c r="A22" t="s">
        <v>54</v>
      </c>
      <c r="B22" t="s">
        <v>24</v>
      </c>
      <c r="C22">
        <f t="shared" si="1"/>
        <v>2030</v>
      </c>
      <c r="D22" s="248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5450127.5876520872</v>
      </c>
    </row>
    <row r="23" spans="1:4" x14ac:dyDescent="0.25">
      <c r="A23" t="s">
        <v>55</v>
      </c>
      <c r="B23" t="s">
        <v>24</v>
      </c>
      <c r="C23">
        <f t="shared" si="1"/>
        <v>2030</v>
      </c>
      <c r="D23" s="248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18416.271242773404</v>
      </c>
    </row>
    <row r="24" spans="1:4" x14ac:dyDescent="0.25">
      <c r="A24" t="s">
        <v>56</v>
      </c>
      <c r="B24" t="s">
        <v>24</v>
      </c>
      <c r="C24">
        <f t="shared" si="1"/>
        <v>2030</v>
      </c>
      <c r="D24" s="248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351873.9099999037</v>
      </c>
    </row>
    <row r="25" spans="1:4" x14ac:dyDescent="0.25">
      <c r="A25" t="s">
        <v>116</v>
      </c>
      <c r="B25" t="s">
        <v>24</v>
      </c>
      <c r="C25">
        <f t="shared" si="1"/>
        <v>2030</v>
      </c>
      <c r="D25" s="248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576631.345963069</v>
      </c>
    </row>
    <row r="26" spans="1:4" x14ac:dyDescent="0.25">
      <c r="A26" t="s">
        <v>57</v>
      </c>
      <c r="B26" t="s">
        <v>24</v>
      </c>
      <c r="C26">
        <f t="shared" si="1"/>
        <v>2030</v>
      </c>
      <c r="D26" s="248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543978.91341244674</v>
      </c>
    </row>
    <row r="27" spans="1:4" x14ac:dyDescent="0.25">
      <c r="A27" t="s">
        <v>97</v>
      </c>
      <c r="B27" t="s">
        <v>24</v>
      </c>
      <c r="C27">
        <f t="shared" si="1"/>
        <v>2030</v>
      </c>
      <c r="D27" s="248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97606.291632882203</v>
      </c>
    </row>
    <row r="28" spans="1:4" x14ac:dyDescent="0.25">
      <c r="A28" t="s">
        <v>49</v>
      </c>
      <c r="B28" t="s">
        <v>24</v>
      </c>
      <c r="C28">
        <f t="shared" ref="C28:C40" si="2">År3</f>
        <v>2050</v>
      </c>
      <c r="D28" s="248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5133942.8537930651</v>
      </c>
    </row>
    <row r="29" spans="1:4" x14ac:dyDescent="0.25">
      <c r="A29" t="s">
        <v>50</v>
      </c>
      <c r="B29" t="s">
        <v>24</v>
      </c>
      <c r="C29">
        <f t="shared" si="2"/>
        <v>2050</v>
      </c>
      <c r="D29" s="248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180922.23714625766</v>
      </c>
    </row>
    <row r="30" spans="1:4" x14ac:dyDescent="0.25">
      <c r="A30" t="s">
        <v>51</v>
      </c>
      <c r="B30" t="s">
        <v>24</v>
      </c>
      <c r="C30">
        <f t="shared" si="2"/>
        <v>2050</v>
      </c>
      <c r="D30" s="248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345496.6234152735</v>
      </c>
    </row>
    <row r="31" spans="1:4" x14ac:dyDescent="0.25">
      <c r="A31" t="s">
        <v>52</v>
      </c>
      <c r="B31" t="s">
        <v>24</v>
      </c>
      <c r="C31">
        <f t="shared" si="2"/>
        <v>2050</v>
      </c>
      <c r="D31" s="248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10105609.567581752</v>
      </c>
    </row>
    <row r="32" spans="1:4" x14ac:dyDescent="0.25">
      <c r="A32" t="s">
        <v>6</v>
      </c>
      <c r="B32" t="s">
        <v>24</v>
      </c>
      <c r="C32">
        <f t="shared" si="2"/>
        <v>2050</v>
      </c>
      <c r="D32" s="248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132870.52913094888</v>
      </c>
    </row>
    <row r="33" spans="1:4" x14ac:dyDescent="0.25">
      <c r="A33" t="s">
        <v>12</v>
      </c>
      <c r="B33" t="s">
        <v>24</v>
      </c>
      <c r="C33">
        <f t="shared" si="2"/>
        <v>2050</v>
      </c>
      <c r="D33" s="248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-188307.56976702847</v>
      </c>
    </row>
    <row r="34" spans="1:4" x14ac:dyDescent="0.25">
      <c r="A34" t="s">
        <v>53</v>
      </c>
      <c r="B34" t="s">
        <v>24</v>
      </c>
      <c r="C34">
        <f t="shared" si="2"/>
        <v>2050</v>
      </c>
      <c r="D34" s="248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274805.35881915229</v>
      </c>
    </row>
    <row r="35" spans="1:4" x14ac:dyDescent="0.25">
      <c r="A35" t="s">
        <v>54</v>
      </c>
      <c r="B35" t="s">
        <v>24</v>
      </c>
      <c r="C35">
        <f t="shared" si="2"/>
        <v>2050</v>
      </c>
      <c r="D35" s="248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5712838.4612741098</v>
      </c>
    </row>
    <row r="36" spans="1:4" x14ac:dyDescent="0.25">
      <c r="A36" t="s">
        <v>55</v>
      </c>
      <c r="B36" t="s">
        <v>24</v>
      </c>
      <c r="C36">
        <f t="shared" si="2"/>
        <v>2050</v>
      </c>
      <c r="D36" s="248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18068.230255724804</v>
      </c>
    </row>
    <row r="37" spans="1:4" x14ac:dyDescent="0.25">
      <c r="A37" t="s">
        <v>56</v>
      </c>
      <c r="B37" t="s">
        <v>24</v>
      </c>
      <c r="C37">
        <f t="shared" si="2"/>
        <v>2050</v>
      </c>
      <c r="D37" s="248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345224.00018164597</v>
      </c>
    </row>
    <row r="38" spans="1:4" x14ac:dyDescent="0.25">
      <c r="A38" t="s">
        <v>116</v>
      </c>
      <c r="B38" t="s">
        <v>24</v>
      </c>
      <c r="C38">
        <f t="shared" si="2"/>
        <v>2050</v>
      </c>
      <c r="D38" s="248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565733.84450001363</v>
      </c>
    </row>
    <row r="39" spans="1:4" x14ac:dyDescent="0.25">
      <c r="A39" t="s">
        <v>57</v>
      </c>
      <c r="B39" t="s">
        <v>24</v>
      </c>
      <c r="C39">
        <f t="shared" si="2"/>
        <v>2050</v>
      </c>
      <c r="D39" s="248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533698.49586961837</v>
      </c>
    </row>
    <row r="40" spans="1:4" x14ac:dyDescent="0.25">
      <c r="A40" t="s">
        <v>97</v>
      </c>
      <c r="B40" t="s">
        <v>24</v>
      </c>
      <c r="C40">
        <f t="shared" si="2"/>
        <v>2050</v>
      </c>
      <c r="D40" s="248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95761.673380129621</v>
      </c>
    </row>
    <row r="41" spans="1:4" x14ac:dyDescent="0.25">
      <c r="A41" t="s">
        <v>49</v>
      </c>
      <c r="B41" t="s">
        <v>25</v>
      </c>
      <c r="C41">
        <f t="shared" ref="C41:C53" si="3">År1</f>
        <v>2019</v>
      </c>
      <c r="D41" s="248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50</v>
      </c>
      <c r="B42" t="s">
        <v>25</v>
      </c>
      <c r="C42">
        <f t="shared" si="3"/>
        <v>2019</v>
      </c>
      <c r="D42" s="248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51</v>
      </c>
      <c r="B43" t="s">
        <v>25</v>
      </c>
      <c r="C43">
        <f t="shared" si="3"/>
        <v>2019</v>
      </c>
      <c r="D43" s="248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52</v>
      </c>
      <c r="B44" t="s">
        <v>25</v>
      </c>
      <c r="C44">
        <f t="shared" si="3"/>
        <v>2019</v>
      </c>
      <c r="D44" s="248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25</v>
      </c>
      <c r="C45">
        <f t="shared" si="3"/>
        <v>2019</v>
      </c>
      <c r="D45" s="248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25</v>
      </c>
      <c r="C46">
        <f t="shared" si="3"/>
        <v>2019</v>
      </c>
      <c r="D46" s="248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53</v>
      </c>
      <c r="B47" t="s">
        <v>25</v>
      </c>
      <c r="C47">
        <f t="shared" si="3"/>
        <v>2019</v>
      </c>
      <c r="D47" s="248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54</v>
      </c>
      <c r="B48" t="s">
        <v>25</v>
      </c>
      <c r="C48">
        <f t="shared" si="3"/>
        <v>2019</v>
      </c>
      <c r="D48" s="248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55</v>
      </c>
      <c r="B49" t="s">
        <v>25</v>
      </c>
      <c r="C49">
        <f t="shared" si="3"/>
        <v>2019</v>
      </c>
      <c r="D49" s="248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56</v>
      </c>
      <c r="B50" t="s">
        <v>25</v>
      </c>
      <c r="C50">
        <f t="shared" si="3"/>
        <v>2019</v>
      </c>
      <c r="D50" s="248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116</v>
      </c>
      <c r="B51" t="s">
        <v>25</v>
      </c>
      <c r="C51">
        <f t="shared" si="3"/>
        <v>2019</v>
      </c>
      <c r="D51" s="248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57</v>
      </c>
      <c r="B52" t="s">
        <v>25</v>
      </c>
      <c r="C52">
        <f t="shared" si="3"/>
        <v>2019</v>
      </c>
      <c r="D52" s="248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97</v>
      </c>
      <c r="B53" t="s">
        <v>25</v>
      </c>
      <c r="C53">
        <f t="shared" si="3"/>
        <v>2019</v>
      </c>
      <c r="D53" s="248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49</v>
      </c>
      <c r="B54" t="s">
        <v>25</v>
      </c>
      <c r="C54">
        <f t="shared" ref="C54:C66" si="4">År2</f>
        <v>2030</v>
      </c>
      <c r="D54" s="248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2229437.4413574226</v>
      </c>
    </row>
    <row r="55" spans="1:4" x14ac:dyDescent="0.25">
      <c r="A55" t="s">
        <v>50</v>
      </c>
      <c r="B55" t="s">
        <v>25</v>
      </c>
      <c r="C55">
        <f t="shared" si="4"/>
        <v>2030</v>
      </c>
      <c r="D55" s="248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25116.855127591796</v>
      </c>
    </row>
    <row r="56" spans="1:4" x14ac:dyDescent="0.25">
      <c r="A56" t="s">
        <v>51</v>
      </c>
      <c r="B56" t="s">
        <v>25</v>
      </c>
      <c r="C56">
        <f t="shared" si="4"/>
        <v>2030</v>
      </c>
      <c r="D56" s="248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115336.64661622414</v>
      </c>
    </row>
    <row r="57" spans="1:4" x14ac:dyDescent="0.25">
      <c r="A57" t="s">
        <v>52</v>
      </c>
      <c r="B57" t="s">
        <v>25</v>
      </c>
      <c r="C57">
        <f t="shared" si="4"/>
        <v>2030</v>
      </c>
      <c r="D57" s="248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1896413.0302612376</v>
      </c>
    </row>
    <row r="58" spans="1:4" x14ac:dyDescent="0.25">
      <c r="A58" t="s">
        <v>6</v>
      </c>
      <c r="B58" t="s">
        <v>25</v>
      </c>
      <c r="C58">
        <f t="shared" si="4"/>
        <v>2030</v>
      </c>
      <c r="D58" s="248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90005.04444105408</v>
      </c>
    </row>
    <row r="59" spans="1:4" x14ac:dyDescent="0.25">
      <c r="A59" t="s">
        <v>12</v>
      </c>
      <c r="B59" t="s">
        <v>25</v>
      </c>
      <c r="C59">
        <f t="shared" si="4"/>
        <v>2030</v>
      </c>
      <c r="D59" s="248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-105126.03948983965</v>
      </c>
    </row>
    <row r="60" spans="1:4" x14ac:dyDescent="0.25">
      <c r="A60" t="s">
        <v>53</v>
      </c>
      <c r="B60" t="s">
        <v>25</v>
      </c>
      <c r="C60">
        <f t="shared" si="4"/>
        <v>2030</v>
      </c>
      <c r="D60" s="248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2129245.811636521</v>
      </c>
    </row>
    <row r="61" spans="1:4" x14ac:dyDescent="0.25">
      <c r="A61" t="s">
        <v>54</v>
      </c>
      <c r="B61" t="s">
        <v>25</v>
      </c>
      <c r="C61">
        <f t="shared" si="4"/>
        <v>2030</v>
      </c>
      <c r="D61" s="248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342188.62633028702</v>
      </c>
    </row>
    <row r="62" spans="1:4" x14ac:dyDescent="0.25">
      <c r="A62" t="s">
        <v>55</v>
      </c>
      <c r="B62" t="s">
        <v>25</v>
      </c>
      <c r="C62">
        <f t="shared" si="4"/>
        <v>2030</v>
      </c>
      <c r="D62" s="248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14641.584638945284</v>
      </c>
    </row>
    <row r="63" spans="1:4" x14ac:dyDescent="0.25">
      <c r="A63" t="s">
        <v>56</v>
      </c>
      <c r="B63" t="s">
        <v>25</v>
      </c>
      <c r="C63">
        <f t="shared" si="4"/>
        <v>2030</v>
      </c>
      <c r="D63" s="248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218053.83114290028</v>
      </c>
    </row>
    <row r="64" spans="1:4" x14ac:dyDescent="0.25">
      <c r="A64" t="s">
        <v>116</v>
      </c>
      <c r="B64" t="s">
        <v>25</v>
      </c>
      <c r="C64">
        <f t="shared" si="4"/>
        <v>2030</v>
      </c>
      <c r="D64" s="248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544404.7144636024</v>
      </c>
    </row>
    <row r="65" spans="1:4" x14ac:dyDescent="0.25">
      <c r="A65" t="s">
        <v>57</v>
      </c>
      <c r="B65" t="s">
        <v>25</v>
      </c>
      <c r="C65">
        <f t="shared" si="4"/>
        <v>2030</v>
      </c>
      <c r="D65" s="248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135119.43350585381</v>
      </c>
    </row>
    <row r="66" spans="1:4" x14ac:dyDescent="0.25">
      <c r="A66" t="s">
        <v>97</v>
      </c>
      <c r="B66" t="s">
        <v>25</v>
      </c>
      <c r="C66">
        <f t="shared" si="4"/>
        <v>2030</v>
      </c>
      <c r="D66" s="248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31330.310934881738</v>
      </c>
    </row>
    <row r="67" spans="1:4" x14ac:dyDescent="0.25">
      <c r="A67" t="s">
        <v>49</v>
      </c>
      <c r="B67" t="s">
        <v>25</v>
      </c>
      <c r="C67">
        <f t="shared" ref="C67:C79" si="5">År3</f>
        <v>2050</v>
      </c>
      <c r="D67" s="248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2274885.0202699397</v>
      </c>
    </row>
    <row r="68" spans="1:4" x14ac:dyDescent="0.25">
      <c r="A68" t="s">
        <v>50</v>
      </c>
      <c r="B68" t="s">
        <v>25</v>
      </c>
      <c r="C68">
        <f t="shared" si="5"/>
        <v>2050</v>
      </c>
      <c r="D68" s="248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25113.208745392181</v>
      </c>
    </row>
    <row r="69" spans="1:4" x14ac:dyDescent="0.25">
      <c r="A69" t="s">
        <v>51</v>
      </c>
      <c r="B69" t="s">
        <v>25</v>
      </c>
      <c r="C69">
        <f t="shared" si="5"/>
        <v>2050</v>
      </c>
      <c r="D69" s="248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115213.68672370631</v>
      </c>
    </row>
    <row r="70" spans="1:4" x14ac:dyDescent="0.25">
      <c r="A70" t="s">
        <v>52</v>
      </c>
      <c r="B70" t="s">
        <v>25</v>
      </c>
      <c r="C70">
        <f t="shared" si="5"/>
        <v>2050</v>
      </c>
      <c r="D70" s="248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2028301.812130857</v>
      </c>
    </row>
    <row r="71" spans="1:4" x14ac:dyDescent="0.25">
      <c r="A71" t="s">
        <v>6</v>
      </c>
      <c r="B71" t="s">
        <v>25</v>
      </c>
      <c r="C71">
        <f t="shared" si="5"/>
        <v>2050</v>
      </c>
      <c r="D71" s="248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89763.009859427373</v>
      </c>
    </row>
    <row r="72" spans="1:4" x14ac:dyDescent="0.25">
      <c r="A72" t="s">
        <v>12</v>
      </c>
      <c r="B72" t="s">
        <v>25</v>
      </c>
      <c r="C72">
        <f t="shared" si="5"/>
        <v>2050</v>
      </c>
      <c r="D72" s="248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-105110.7776381005</v>
      </c>
    </row>
    <row r="73" spans="1:4" x14ac:dyDescent="0.25">
      <c r="A73" t="s">
        <v>53</v>
      </c>
      <c r="B73" t="s">
        <v>25</v>
      </c>
      <c r="C73">
        <f t="shared" si="5"/>
        <v>2050</v>
      </c>
      <c r="D73" s="248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2128936.6947511984</v>
      </c>
    </row>
    <row r="74" spans="1:4" x14ac:dyDescent="0.25">
      <c r="A74" t="s">
        <v>54</v>
      </c>
      <c r="B74" t="s">
        <v>25</v>
      </c>
      <c r="C74">
        <f t="shared" si="5"/>
        <v>2050</v>
      </c>
      <c r="D74" s="248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346077.120935774</v>
      </c>
    </row>
    <row r="75" spans="1:4" x14ac:dyDescent="0.25">
      <c r="A75" t="s">
        <v>55</v>
      </c>
      <c r="B75" t="s">
        <v>25</v>
      </c>
      <c r="C75">
        <f t="shared" si="5"/>
        <v>2050</v>
      </c>
      <c r="D75" s="248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14639.459021970932</v>
      </c>
    </row>
    <row r="76" spans="1:4" x14ac:dyDescent="0.25">
      <c r="A76" t="s">
        <v>56</v>
      </c>
      <c r="B76" t="s">
        <v>25</v>
      </c>
      <c r="C76">
        <f t="shared" si="5"/>
        <v>2050</v>
      </c>
      <c r="D76" s="248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218022.17480677072</v>
      </c>
    </row>
    <row r="77" spans="1:4" x14ac:dyDescent="0.25">
      <c r="A77" t="s">
        <v>116</v>
      </c>
      <c r="B77" t="s">
        <v>25</v>
      </c>
      <c r="C77">
        <f t="shared" si="5"/>
        <v>2050</v>
      </c>
      <c r="D77" s="248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544325.67958243925</v>
      </c>
    </row>
    <row r="78" spans="1:4" x14ac:dyDescent="0.25">
      <c r="A78" t="s">
        <v>57</v>
      </c>
      <c r="B78" t="s">
        <v>25</v>
      </c>
      <c r="C78">
        <f t="shared" si="5"/>
        <v>2050</v>
      </c>
      <c r="D78" s="248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135099.81731208056</v>
      </c>
    </row>
    <row r="79" spans="1:4" x14ac:dyDescent="0.25">
      <c r="A79" t="s">
        <v>97</v>
      </c>
      <c r="B79" t="s">
        <v>25</v>
      </c>
      <c r="C79">
        <f t="shared" si="5"/>
        <v>2050</v>
      </c>
      <c r="D79" s="248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31325.762503658123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200</v>
      </c>
      <c r="B4" s="77" t="s">
        <v>63</v>
      </c>
    </row>
    <row r="5" spans="1:4" x14ac:dyDescent="0.25">
      <c r="A5" s="77" t="s">
        <v>61</v>
      </c>
      <c r="B5" s="173" t="s">
        <v>122</v>
      </c>
      <c r="C5" s="173" t="s">
        <v>121</v>
      </c>
      <c r="D5" s="173" t="s">
        <v>62</v>
      </c>
    </row>
    <row r="6" spans="1:4" x14ac:dyDescent="0.25">
      <c r="A6" s="78">
        <v>2019</v>
      </c>
      <c r="B6" s="250">
        <v>3010238.4923246857</v>
      </c>
      <c r="C6" s="250">
        <v>827693.20492220437</v>
      </c>
      <c r="D6" s="250">
        <v>3837931.69724689</v>
      </c>
    </row>
    <row r="7" spans="1:4" x14ac:dyDescent="0.25">
      <c r="A7" s="78">
        <v>2030</v>
      </c>
      <c r="B7" s="250">
        <v>2848752.9835421797</v>
      </c>
      <c r="C7" s="250">
        <v>783291.25515859458</v>
      </c>
      <c r="D7" s="250">
        <v>3632044.2387007745</v>
      </c>
    </row>
    <row r="8" spans="1:4" x14ac:dyDescent="0.25">
      <c r="A8" s="78">
        <v>2050</v>
      </c>
      <c r="B8" s="250">
        <v>2689206.886531068</v>
      </c>
      <c r="C8" s="250">
        <v>760237.19321567786</v>
      </c>
      <c r="D8" s="250">
        <v>3449444.079746746</v>
      </c>
    </row>
    <row r="9" spans="1:4" x14ac:dyDescent="0.25">
      <c r="A9" s="78" t="s">
        <v>62</v>
      </c>
      <c r="B9" s="250">
        <v>8548198.3623979334</v>
      </c>
      <c r="C9" s="250">
        <v>2371221.6532964767</v>
      </c>
      <c r="D9" s="250">
        <v>10919420.01569441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200</v>
      </c>
      <c r="B4" s="77" t="s">
        <v>63</v>
      </c>
    </row>
    <row r="5" spans="1:4" x14ac:dyDescent="0.25">
      <c r="A5" s="77" t="s">
        <v>61</v>
      </c>
      <c r="B5" s="173" t="s">
        <v>109</v>
      </c>
      <c r="C5" s="173" t="s">
        <v>101</v>
      </c>
      <c r="D5" s="173" t="s">
        <v>62</v>
      </c>
    </row>
    <row r="6" spans="1:4" x14ac:dyDescent="0.25">
      <c r="A6" s="78">
        <v>2019</v>
      </c>
      <c r="B6" s="250">
        <v>880.1</v>
      </c>
      <c r="C6" s="250">
        <v>76.5</v>
      </c>
      <c r="D6" s="250">
        <v>956.6</v>
      </c>
    </row>
    <row r="7" spans="1:4" x14ac:dyDescent="0.25">
      <c r="A7" s="78">
        <v>2030</v>
      </c>
      <c r="B7" s="250">
        <v>148073.98049444324</v>
      </c>
      <c r="C7" s="250">
        <v>18000</v>
      </c>
      <c r="D7" s="250">
        <v>166073.98049444324</v>
      </c>
    </row>
    <row r="8" spans="1:4" x14ac:dyDescent="0.25">
      <c r="A8" s="78">
        <v>2050</v>
      </c>
      <c r="B8" s="250">
        <v>270457.58448627812</v>
      </c>
      <c r="C8" s="250">
        <v>18000</v>
      </c>
      <c r="D8" s="250">
        <v>288457.58448627812</v>
      </c>
    </row>
    <row r="9" spans="1:4" x14ac:dyDescent="0.25">
      <c r="A9" s="78" t="s">
        <v>62</v>
      </c>
      <c r="B9" s="250">
        <v>419411.66498072137</v>
      </c>
      <c r="C9" s="250">
        <v>36076.5</v>
      </c>
      <c r="D9" s="250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1" spans="1:7" x14ac:dyDescent="0.25">
      <c r="A1" s="77" t="s">
        <v>65</v>
      </c>
      <c r="B1" s="173" t="s">
        <v>82</v>
      </c>
    </row>
    <row r="3" spans="1:7" x14ac:dyDescent="0.25">
      <c r="A3" s="77" t="s">
        <v>81</v>
      </c>
      <c r="B3" s="77" t="s">
        <v>63</v>
      </c>
    </row>
    <row r="4" spans="1:7" x14ac:dyDescent="0.25">
      <c r="A4" s="77" t="s">
        <v>61</v>
      </c>
      <c r="B4" s="173" t="s">
        <v>11</v>
      </c>
      <c r="C4" s="173" t="s">
        <v>33</v>
      </c>
      <c r="D4" s="173" t="s">
        <v>9</v>
      </c>
      <c r="E4" s="173" t="s">
        <v>34</v>
      </c>
      <c r="F4" s="173" t="s">
        <v>10</v>
      </c>
      <c r="G4" s="173" t="s">
        <v>62</v>
      </c>
    </row>
    <row r="5" spans="1:7" x14ac:dyDescent="0.25">
      <c r="A5" s="78">
        <v>2019</v>
      </c>
      <c r="B5" s="250">
        <v>65860</v>
      </c>
      <c r="C5" s="250">
        <v>591230</v>
      </c>
      <c r="D5" s="250">
        <v>2578370</v>
      </c>
      <c r="E5" s="250">
        <v>472920</v>
      </c>
      <c r="F5" s="250">
        <v>561900</v>
      </c>
      <c r="G5" s="250">
        <v>4270280</v>
      </c>
    </row>
    <row r="6" spans="1:7" x14ac:dyDescent="0.25">
      <c r="A6" s="78">
        <v>2030</v>
      </c>
      <c r="B6" s="250">
        <v>65860</v>
      </c>
      <c r="C6" s="250">
        <v>591230</v>
      </c>
      <c r="D6" s="250">
        <v>1809636</v>
      </c>
      <c r="E6" s="250">
        <v>651654.00000000012</v>
      </c>
      <c r="F6" s="250">
        <v>1151900</v>
      </c>
      <c r="G6" s="250">
        <v>4270280</v>
      </c>
    </row>
    <row r="7" spans="1:7" x14ac:dyDescent="0.25">
      <c r="A7" s="78">
        <v>2050</v>
      </c>
      <c r="B7" s="250">
        <v>65860</v>
      </c>
      <c r="C7" s="250">
        <v>591230</v>
      </c>
      <c r="D7" s="250">
        <v>1771636</v>
      </c>
      <c r="E7" s="250">
        <v>651654.00000000012</v>
      </c>
      <c r="F7" s="250">
        <v>1189900</v>
      </c>
      <c r="G7" s="250">
        <v>4270280</v>
      </c>
    </row>
    <row r="8" spans="1:7" x14ac:dyDescent="0.25">
      <c r="A8" s="78" t="s">
        <v>62</v>
      </c>
      <c r="B8" s="250">
        <v>197580</v>
      </c>
      <c r="C8" s="250">
        <v>1773690</v>
      </c>
      <c r="D8" s="250">
        <v>6159642</v>
      </c>
      <c r="E8" s="250">
        <v>1776228</v>
      </c>
      <c r="F8" s="250">
        <v>2903700</v>
      </c>
      <c r="G8" s="250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9" bestFit="1" customWidth="1"/>
    <col min="5" max="5" width="10.85546875" bestFit="1" customWidth="1"/>
    <col min="6" max="6" width="9.5703125" bestFit="1" customWidth="1"/>
    <col min="7" max="7" width="8.85546875" bestFit="1" customWidth="1"/>
    <col min="8" max="8" width="10.5703125" bestFit="1" customWidth="1"/>
    <col min="9" max="11" width="9" bestFit="1" customWidth="1"/>
    <col min="12" max="12" width="8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7" t="s">
        <v>64</v>
      </c>
      <c r="B1" s="173" t="s">
        <v>82</v>
      </c>
    </row>
    <row r="2" spans="1:16" x14ac:dyDescent="0.25">
      <c r="A2" s="77" t="s">
        <v>65</v>
      </c>
      <c r="B2" s="173" t="s">
        <v>82</v>
      </c>
    </row>
    <row r="4" spans="1:16" x14ac:dyDescent="0.25">
      <c r="A4" s="77" t="s">
        <v>89</v>
      </c>
      <c r="B4" s="77" t="s">
        <v>63</v>
      </c>
    </row>
    <row r="5" spans="1:16" x14ac:dyDescent="0.25">
      <c r="A5" s="77" t="s">
        <v>61</v>
      </c>
      <c r="B5" s="173" t="s">
        <v>50</v>
      </c>
      <c r="C5" s="173" t="s">
        <v>55</v>
      </c>
      <c r="D5" s="173" t="s">
        <v>52</v>
      </c>
      <c r="E5" s="173" t="s">
        <v>6</v>
      </c>
      <c r="F5" s="173" t="s">
        <v>57</v>
      </c>
      <c r="G5" s="173" t="s">
        <v>12</v>
      </c>
      <c r="H5" s="173" t="s">
        <v>49</v>
      </c>
      <c r="I5" s="173" t="s">
        <v>54</v>
      </c>
      <c r="J5" s="173" t="s">
        <v>56</v>
      </c>
      <c r="K5" s="173" t="s">
        <v>51</v>
      </c>
      <c r="L5" s="173" t="s">
        <v>53</v>
      </c>
      <c r="M5" s="173" t="s">
        <v>39</v>
      </c>
      <c r="N5" s="173" t="s">
        <v>97</v>
      </c>
      <c r="O5" s="173" t="s">
        <v>116</v>
      </c>
      <c r="P5" s="173" t="s">
        <v>62</v>
      </c>
    </row>
    <row r="6" spans="1:16" x14ac:dyDescent="0.25">
      <c r="A6" s="78">
        <v>2019</v>
      </c>
      <c r="B6" s="250">
        <v>76853.212866422313</v>
      </c>
      <c r="C6" s="250">
        <v>5114.7808931059071</v>
      </c>
      <c r="D6" s="250">
        <v>288931.41565564787</v>
      </c>
      <c r="E6" s="250">
        <v>12752.078568827996</v>
      </c>
      <c r="F6" s="250">
        <v>18942.69646674622</v>
      </c>
      <c r="G6" s="250">
        <v>55075.520801981496</v>
      </c>
      <c r="H6" s="250">
        <v>1337821.3326830014</v>
      </c>
      <c r="I6" s="250">
        <v>180140.67588310441</v>
      </c>
      <c r="J6" s="250">
        <v>69938.636069140397</v>
      </c>
      <c r="K6" s="250">
        <v>161431.62233269325</v>
      </c>
      <c r="L6" s="250">
        <v>33966.356863719026</v>
      </c>
      <c r="M6" s="250">
        <v>221005.01507630604</v>
      </c>
      <c r="N6" s="250">
        <v>8579.6273865744097</v>
      </c>
      <c r="O6" s="250">
        <v>107817.02845272887</v>
      </c>
      <c r="P6" s="250">
        <v>2578370</v>
      </c>
    </row>
    <row r="7" spans="1:16" x14ac:dyDescent="0.25">
      <c r="A7" s="78">
        <v>2030</v>
      </c>
      <c r="B7" s="250">
        <v>53755.646942900377</v>
      </c>
      <c r="C7" s="250">
        <v>3856.0650882015389</v>
      </c>
      <c r="D7" s="250">
        <v>186393.46040088782</v>
      </c>
      <c r="E7" s="250">
        <v>9761.8276615501709</v>
      </c>
      <c r="F7" s="250">
        <v>13450.549687697332</v>
      </c>
      <c r="G7" s="250">
        <v>-6926.7800929407804</v>
      </c>
      <c r="H7" s="250">
        <v>1031435.996033932</v>
      </c>
      <c r="I7" s="250">
        <v>124246.19403898879</v>
      </c>
      <c r="J7" s="250">
        <v>18942.618758617409</v>
      </c>
      <c r="K7" s="250">
        <v>105595.08289732647</v>
      </c>
      <c r="L7" s="250">
        <v>29365.200916148289</v>
      </c>
      <c r="M7" s="250">
        <v>156828.76542669308</v>
      </c>
      <c r="N7" s="250">
        <v>5235.2502165624192</v>
      </c>
      <c r="O7" s="250">
        <v>77696.122023435004</v>
      </c>
      <c r="P7" s="250">
        <v>1809636</v>
      </c>
    </row>
    <row r="8" spans="1:16" x14ac:dyDescent="0.25">
      <c r="A8" s="78">
        <v>2050</v>
      </c>
      <c r="B8" s="250">
        <v>52473.207521593358</v>
      </c>
      <c r="C8" s="250">
        <v>3787.2602348800724</v>
      </c>
      <c r="D8" s="250">
        <v>195227.43071388954</v>
      </c>
      <c r="E8" s="250">
        <v>9579.5999533254053</v>
      </c>
      <c r="F8" s="250">
        <v>13149.466699731109</v>
      </c>
      <c r="G8" s="250">
        <v>-6791.7045129817016</v>
      </c>
      <c r="H8" s="250">
        <v>1019700.5554858719</v>
      </c>
      <c r="I8" s="250">
        <v>127544.27536988279</v>
      </c>
      <c r="J8" s="250">
        <v>18583.353305914588</v>
      </c>
      <c r="K8" s="250">
        <v>103324.91789115572</v>
      </c>
      <c r="L8" s="250">
        <v>29082.217797196685</v>
      </c>
      <c r="M8" s="250">
        <v>124481.51137064227</v>
      </c>
      <c r="N8" s="250">
        <v>5122.3523519725704</v>
      </c>
      <c r="O8" s="250">
        <v>76371.555816925582</v>
      </c>
      <c r="P8" s="250">
        <v>1771636</v>
      </c>
    </row>
    <row r="9" spans="1:16" x14ac:dyDescent="0.25">
      <c r="A9" s="78" t="s">
        <v>62</v>
      </c>
      <c r="B9" s="250">
        <v>183082.06733091606</v>
      </c>
      <c r="C9" s="250">
        <v>12758.106216187518</v>
      </c>
      <c r="D9" s="250">
        <v>670552.30677042529</v>
      </c>
      <c r="E9" s="250">
        <v>32093.506183703576</v>
      </c>
      <c r="F9" s="250">
        <v>45542.712854174657</v>
      </c>
      <c r="G9" s="250">
        <v>41357.036196059009</v>
      </c>
      <c r="H9" s="250">
        <v>3388957.8842028053</v>
      </c>
      <c r="I9" s="250">
        <v>431931.14529197605</v>
      </c>
      <c r="J9" s="250">
        <v>107464.60813367239</v>
      </c>
      <c r="K9" s="250">
        <v>370351.62312117545</v>
      </c>
      <c r="L9" s="250">
        <v>92413.775577064007</v>
      </c>
      <c r="M9" s="250">
        <v>502315.29187364137</v>
      </c>
      <c r="N9" s="250">
        <v>18937.2299551094</v>
      </c>
      <c r="O9" s="250">
        <v>261884.70629308949</v>
      </c>
      <c r="P9" s="250">
        <v>6159642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65</v>
      </c>
      <c r="B1" t="s">
        <v>80</v>
      </c>
      <c r="C1" t="s">
        <v>59</v>
      </c>
      <c r="D1" t="s">
        <v>64</v>
      </c>
      <c r="E1" t="s">
        <v>79</v>
      </c>
    </row>
    <row r="2" spans="1:5" x14ac:dyDescent="0.25">
      <c r="A2" t="s">
        <v>28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9">
        <f>Arealanvendelse!J25</f>
        <v>412730</v>
      </c>
    </row>
    <row r="3" spans="1:5" x14ac:dyDescent="0.25">
      <c r="A3" t="s">
        <v>28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9">
        <f>Arealanvendelse!J26</f>
        <v>1847465.5978301479</v>
      </c>
    </row>
    <row r="4" spans="1:5" x14ac:dyDescent="0.25">
      <c r="A4" t="s">
        <v>28</v>
      </c>
      <c r="B4" t="str">
        <f>SkovAreal</f>
        <v>Skov</v>
      </c>
      <c r="C4">
        <f t="shared" si="0"/>
        <v>2019</v>
      </c>
      <c r="D4" t="str">
        <f>Jordbund1</f>
        <v>JB1-10</v>
      </c>
      <c r="E4" s="99">
        <f>Arealanvendelse!J27</f>
        <v>434670</v>
      </c>
    </row>
    <row r="5" spans="1:5" x14ac:dyDescent="0.25">
      <c r="A5" t="s">
        <v>28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9">
        <f>Arealanvendelse!J28</f>
        <v>288846.71526402031</v>
      </c>
    </row>
    <row r="6" spans="1:5" x14ac:dyDescent="0.25">
      <c r="A6" t="s">
        <v>28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9">
        <f>Arealanvendelse!J29</f>
        <v>46640</v>
      </c>
    </row>
    <row r="7" spans="1:5" x14ac:dyDescent="0.25">
      <c r="A7" t="s">
        <v>28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9">
        <f>Arealanvendelse!K25</f>
        <v>0</v>
      </c>
    </row>
    <row r="8" spans="1:5" x14ac:dyDescent="0.25">
      <c r="A8" t="s">
        <v>28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9">
        <f>Arealanvendelse!K26</f>
        <v>90723.841613092387</v>
      </c>
    </row>
    <row r="9" spans="1:5" x14ac:dyDescent="0.25">
      <c r="A9" t="s">
        <v>28</v>
      </c>
      <c r="B9" t="str">
        <f>SkovAreal</f>
        <v>Skov</v>
      </c>
      <c r="C9">
        <f t="shared" si="0"/>
        <v>2019</v>
      </c>
      <c r="D9" t="str">
        <f>Organ6</f>
        <v>OC6</v>
      </c>
      <c r="E9" s="99">
        <f>Arealanvendelse!K27</f>
        <v>0</v>
      </c>
    </row>
    <row r="10" spans="1:5" x14ac:dyDescent="0.25">
      <c r="A10" t="s">
        <v>28</v>
      </c>
      <c r="B10" t="str">
        <f>NaturAreal</f>
        <v>Natur</v>
      </c>
      <c r="C10">
        <f t="shared" si="0"/>
        <v>2019</v>
      </c>
      <c r="D10" t="str">
        <f>Organ6</f>
        <v>OC6</v>
      </c>
      <c r="E10" s="99">
        <f>Arealanvendelse!K28</f>
        <v>55514.664499432409</v>
      </c>
    </row>
    <row r="11" spans="1:5" x14ac:dyDescent="0.25">
      <c r="A11" t="s">
        <v>28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9">
        <f>Arealanvendelse!K29</f>
        <v>0</v>
      </c>
    </row>
    <row r="12" spans="1:5" x14ac:dyDescent="0.25">
      <c r="A12" t="s">
        <v>28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9">
        <f>Arealanvendelse!L25</f>
        <v>0</v>
      </c>
    </row>
    <row r="13" spans="1:5" x14ac:dyDescent="0.25">
      <c r="A13" t="s">
        <v>28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9">
        <f>Arealanvendelse!L26</f>
        <v>70620.560556759505</v>
      </c>
    </row>
    <row r="14" spans="1:5" x14ac:dyDescent="0.25">
      <c r="A14" t="s">
        <v>28</v>
      </c>
      <c r="B14" t="str">
        <f>SkovAreal</f>
        <v>Skov</v>
      </c>
      <c r="C14">
        <f t="shared" si="0"/>
        <v>2019</v>
      </c>
      <c r="D14" t="str">
        <f>Organ12</f>
        <v>OC12</v>
      </c>
      <c r="E14" s="99">
        <f>Arealanvendelse!L27</f>
        <v>0</v>
      </c>
    </row>
    <row r="15" spans="1:5" x14ac:dyDescent="0.25">
      <c r="A15" t="s">
        <v>28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9">
        <f>Arealanvendelse!L28</f>
        <v>45828.620236547278</v>
      </c>
    </row>
    <row r="16" spans="1:5" x14ac:dyDescent="0.25">
      <c r="A16" t="s">
        <v>28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9">
        <f>Arealanvendelse!L29</f>
        <v>0</v>
      </c>
    </row>
    <row r="17" spans="1:5" x14ac:dyDescent="0.25">
      <c r="A17" t="s">
        <v>28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9">
        <f>Arealanvendelse!M25</f>
        <v>412730</v>
      </c>
    </row>
    <row r="18" spans="1:5" x14ac:dyDescent="0.25">
      <c r="A18" t="s">
        <v>28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9">
        <f>Arealanvendelse!M26</f>
        <v>1314868.5693956441</v>
      </c>
    </row>
    <row r="19" spans="1:5" x14ac:dyDescent="0.25">
      <c r="A19" t="s">
        <v>28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9">
        <f>Arealanvendelse!M27</f>
        <v>967267.02843450394</v>
      </c>
    </row>
    <row r="20" spans="1:5" x14ac:dyDescent="0.25">
      <c r="A20" t="s">
        <v>28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9">
        <f>Arealanvendelse!M28</f>
        <v>288846.71526402031</v>
      </c>
    </row>
    <row r="21" spans="1:5" x14ac:dyDescent="0.25">
      <c r="A21" t="s">
        <v>28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9">
        <f>Arealanvendelse!M29</f>
        <v>46640</v>
      </c>
    </row>
    <row r="22" spans="1:5" x14ac:dyDescent="0.25">
      <c r="A22" t="s">
        <v>28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9">
        <f>Arealanvendelse!N25</f>
        <v>0</v>
      </c>
    </row>
    <row r="23" spans="1:5" x14ac:dyDescent="0.25">
      <c r="A23" t="s">
        <v>28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9">
        <f>Arealanvendelse!N26</f>
        <v>0</v>
      </c>
    </row>
    <row r="24" spans="1:5" x14ac:dyDescent="0.25">
      <c r="A24" t="s">
        <v>28</v>
      </c>
      <c r="B24" t="str">
        <f>SkovAreal</f>
        <v>Skov</v>
      </c>
      <c r="C24">
        <f t="shared" si="1"/>
        <v>2030</v>
      </c>
      <c r="D24" t="str">
        <f>Organ6</f>
        <v>OC6</v>
      </c>
      <c r="E24" s="99">
        <f>Arealanvendelse!N27</f>
        <v>0</v>
      </c>
    </row>
    <row r="25" spans="1:5" x14ac:dyDescent="0.25">
      <c r="A25" t="s">
        <v>28</v>
      </c>
      <c r="B25" t="str">
        <f>NaturAreal</f>
        <v>Natur</v>
      </c>
      <c r="C25">
        <f t="shared" si="1"/>
        <v>2030</v>
      </c>
      <c r="D25" t="str">
        <f>Organ6</f>
        <v>OC6</v>
      </c>
      <c r="E25" s="99">
        <f>Arealanvendelse!N28</f>
        <v>146238.5061125248</v>
      </c>
    </row>
    <row r="26" spans="1:5" x14ac:dyDescent="0.25">
      <c r="A26" t="s">
        <v>28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9">
        <f>Arealanvendelse!N29</f>
        <v>0</v>
      </c>
    </row>
    <row r="27" spans="1:5" x14ac:dyDescent="0.25">
      <c r="A27" t="s">
        <v>28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9">
        <f>Arealanvendelse!O25</f>
        <v>0</v>
      </c>
    </row>
    <row r="28" spans="1:5" x14ac:dyDescent="0.25">
      <c r="A28" t="s">
        <v>28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9">
        <f>Arealanvendelse!O26</f>
        <v>0</v>
      </c>
    </row>
    <row r="29" spans="1:5" x14ac:dyDescent="0.25">
      <c r="A29" t="s">
        <v>28</v>
      </c>
      <c r="B29" t="str">
        <f>SkovAreal</f>
        <v>Skov</v>
      </c>
      <c r="C29">
        <f t="shared" si="1"/>
        <v>2030</v>
      </c>
      <c r="D29" t="str">
        <f>Organ12</f>
        <v>OC12</v>
      </c>
      <c r="E29" s="99">
        <f>Arealanvendelse!O27</f>
        <v>0</v>
      </c>
    </row>
    <row r="30" spans="1:5" x14ac:dyDescent="0.25">
      <c r="A30" t="s">
        <v>28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9">
        <f>Arealanvendelse!O28</f>
        <v>116449.18079330676</v>
      </c>
    </row>
    <row r="31" spans="1:5" x14ac:dyDescent="0.25">
      <c r="A31" t="s">
        <v>28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9">
        <f>Arealanvendelse!O29</f>
        <v>0</v>
      </c>
    </row>
    <row r="32" spans="1:5" x14ac:dyDescent="0.25">
      <c r="A32" t="s">
        <v>28</v>
      </c>
      <c r="B32" t="str">
        <f>Bebyg</f>
        <v>Bebyggelse &amp; infrastruktur</v>
      </c>
      <c r="C32">
        <v>2050</v>
      </c>
      <c r="D32" t="str">
        <f>Jordbund1</f>
        <v>JB1-10</v>
      </c>
      <c r="E32" s="99">
        <f>Arealanvendelse!P25</f>
        <v>412730</v>
      </c>
    </row>
    <row r="33" spans="1:5" x14ac:dyDescent="0.25">
      <c r="A33" t="s">
        <v>28</v>
      </c>
      <c r="B33" t="str">
        <f>Afgrøder</f>
        <v>Landbrugsafgrøder</v>
      </c>
      <c r="C33">
        <v>2050</v>
      </c>
      <c r="D33" t="str">
        <f>Jordbund1</f>
        <v>JB1-10</v>
      </c>
      <c r="E33" s="99">
        <f>Arealanvendelse!P26</f>
        <v>1280565.7099371506</v>
      </c>
    </row>
    <row r="34" spans="1:5" x14ac:dyDescent="0.25">
      <c r="A34" t="s">
        <v>28</v>
      </c>
      <c r="B34" t="str">
        <f>SkovAreal</f>
        <v>Skov</v>
      </c>
      <c r="C34">
        <v>2050</v>
      </c>
      <c r="D34" t="str">
        <f>Jordbund1</f>
        <v>JB1-10</v>
      </c>
      <c r="E34" s="99">
        <f>Arealanvendelse!P27</f>
        <v>1001569.8878929974</v>
      </c>
    </row>
    <row r="35" spans="1:5" x14ac:dyDescent="0.25">
      <c r="A35" t="s">
        <v>28</v>
      </c>
      <c r="B35" t="str">
        <f>NaturAreal</f>
        <v>Natur</v>
      </c>
      <c r="C35">
        <v>2050</v>
      </c>
      <c r="D35" t="str">
        <f>Jordbund1</f>
        <v>JB1-10</v>
      </c>
      <c r="E35" s="99">
        <f>Arealanvendelse!P28</f>
        <v>288846.71526402031</v>
      </c>
    </row>
    <row r="36" spans="1:5" x14ac:dyDescent="0.25">
      <c r="A36" t="s">
        <v>28</v>
      </c>
      <c r="B36" t="str">
        <f>IKareal</f>
        <v>Ikke klassificeret</v>
      </c>
      <c r="C36">
        <v>2050</v>
      </c>
      <c r="D36" t="str">
        <f>Jordbund1</f>
        <v>JB1-10</v>
      </c>
      <c r="E36" s="99">
        <f>Arealanvendelse!P29</f>
        <v>46640</v>
      </c>
    </row>
    <row r="37" spans="1:5" x14ac:dyDescent="0.25">
      <c r="A37" t="s">
        <v>28</v>
      </c>
      <c r="B37" t="str">
        <f>Bebyg</f>
        <v>Bebyggelse &amp; infrastruktur</v>
      </c>
      <c r="C37">
        <v>2050</v>
      </c>
      <c r="D37" t="str">
        <f>Organ6</f>
        <v>OC6</v>
      </c>
      <c r="E37" s="99">
        <f>Arealanvendelse!Q25</f>
        <v>0</v>
      </c>
    </row>
    <row r="38" spans="1:5" x14ac:dyDescent="0.25">
      <c r="A38" t="s">
        <v>28</v>
      </c>
      <c r="B38" t="str">
        <f>Afgrøder</f>
        <v>Landbrugsafgrøder</v>
      </c>
      <c r="C38">
        <v>2050</v>
      </c>
      <c r="D38" t="str">
        <f>Organ6</f>
        <v>OC6</v>
      </c>
      <c r="E38" s="99">
        <f>Arealanvendelse!Q26</f>
        <v>0</v>
      </c>
    </row>
    <row r="39" spans="1:5" x14ac:dyDescent="0.25">
      <c r="A39" t="s">
        <v>28</v>
      </c>
      <c r="B39" t="str">
        <f>SkovAreal</f>
        <v>Skov</v>
      </c>
      <c r="C39">
        <v>2050</v>
      </c>
      <c r="D39" t="str">
        <f>Organ6</f>
        <v>OC6</v>
      </c>
      <c r="E39" s="99">
        <f>Arealanvendelse!Q27</f>
        <v>0</v>
      </c>
    </row>
    <row r="40" spans="1:5" x14ac:dyDescent="0.25">
      <c r="A40" t="s">
        <v>28</v>
      </c>
      <c r="B40" t="str">
        <f>NaturAreal</f>
        <v>Natur</v>
      </c>
      <c r="C40">
        <v>2050</v>
      </c>
      <c r="D40" t="str">
        <f>Organ6</f>
        <v>OC6</v>
      </c>
      <c r="E40" s="99">
        <f>Arealanvendelse!Q28</f>
        <v>146238.5061125248</v>
      </c>
    </row>
    <row r="41" spans="1:5" x14ac:dyDescent="0.25">
      <c r="A41" t="s">
        <v>28</v>
      </c>
      <c r="B41" t="str">
        <f>IKareal</f>
        <v>Ikke klassificeret</v>
      </c>
      <c r="C41">
        <v>2050</v>
      </c>
      <c r="D41" t="str">
        <f>Organ6</f>
        <v>OC6</v>
      </c>
      <c r="E41" s="99">
        <f>Arealanvendelse!Q29</f>
        <v>0</v>
      </c>
    </row>
    <row r="42" spans="1:5" x14ac:dyDescent="0.25">
      <c r="A42" t="s">
        <v>28</v>
      </c>
      <c r="B42" t="str">
        <f>Bebyg</f>
        <v>Bebyggelse &amp; infrastruktur</v>
      </c>
      <c r="C42">
        <v>2050</v>
      </c>
      <c r="D42" t="str">
        <f>Organ12</f>
        <v>OC12</v>
      </c>
      <c r="E42" s="99">
        <f>Arealanvendelse!R25</f>
        <v>0</v>
      </c>
    </row>
    <row r="43" spans="1:5" x14ac:dyDescent="0.25">
      <c r="A43" t="s">
        <v>28</v>
      </c>
      <c r="B43" t="str">
        <f>Afgrøder</f>
        <v>Landbrugsafgrøder</v>
      </c>
      <c r="C43">
        <v>2050</v>
      </c>
      <c r="D43" t="str">
        <f>Organ12</f>
        <v>OC12</v>
      </c>
      <c r="E43" s="99">
        <f>Arealanvendelse!R26</f>
        <v>0</v>
      </c>
    </row>
    <row r="44" spans="1:5" x14ac:dyDescent="0.25">
      <c r="A44" t="s">
        <v>28</v>
      </c>
      <c r="B44" t="str">
        <f>SkovAreal</f>
        <v>Skov</v>
      </c>
      <c r="C44">
        <v>2050</v>
      </c>
      <c r="D44" t="str">
        <f>Organ12</f>
        <v>OC12</v>
      </c>
      <c r="E44" s="99">
        <f>Arealanvendelse!R27</f>
        <v>0</v>
      </c>
    </row>
    <row r="45" spans="1:5" x14ac:dyDescent="0.25">
      <c r="A45" t="s">
        <v>28</v>
      </c>
      <c r="B45" t="str">
        <f>NaturAreal</f>
        <v>Natur</v>
      </c>
      <c r="C45">
        <v>2050</v>
      </c>
      <c r="D45" t="str">
        <f>Organ12</f>
        <v>OC12</v>
      </c>
      <c r="E45" s="99">
        <f>Arealanvendelse!R28</f>
        <v>116449.18079330676</v>
      </c>
    </row>
    <row r="46" spans="1:5" x14ac:dyDescent="0.25">
      <c r="A46" t="s">
        <v>28</v>
      </c>
      <c r="B46" t="str">
        <f>IKareal</f>
        <v>Ikke klassificeret</v>
      </c>
      <c r="C46">
        <v>2050</v>
      </c>
      <c r="D46" t="str">
        <f>Organ12</f>
        <v>OC12</v>
      </c>
      <c r="E46" s="99">
        <f>Arealanvendelse!R29</f>
        <v>0</v>
      </c>
    </row>
    <row r="47" spans="1:5" x14ac:dyDescent="0.25">
      <c r="A47" t="s">
        <v>29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9">
        <f>Arealanvendelse!J35</f>
        <v>178500</v>
      </c>
    </row>
    <row r="48" spans="1:5" x14ac:dyDescent="0.25">
      <c r="A48" t="s">
        <v>29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9">
        <f>Arealanvendelse!J36</f>
        <v>552170.40216985194</v>
      </c>
    </row>
    <row r="49" spans="1:5" x14ac:dyDescent="0.25">
      <c r="A49" t="s">
        <v>29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9">
        <f>Arealanvendelse!J37</f>
        <v>127230</v>
      </c>
    </row>
    <row r="50" spans="1:5" x14ac:dyDescent="0.25">
      <c r="A50" t="s">
        <v>29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9">
        <f>Arealanvendelse!J38</f>
        <v>71807.284735979716</v>
      </c>
    </row>
    <row r="51" spans="1:5" x14ac:dyDescent="0.25">
      <c r="A51" t="s">
        <v>29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9">
        <f>Arealanvendelse!J39</f>
        <v>19220</v>
      </c>
    </row>
    <row r="52" spans="1:5" x14ac:dyDescent="0.25">
      <c r="A52" t="s">
        <v>29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9">
        <f>Arealanvendelse!K35</f>
        <v>0</v>
      </c>
    </row>
    <row r="53" spans="1:5" x14ac:dyDescent="0.25">
      <c r="A53" t="s">
        <v>29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9">
        <f>Arealanvendelse!K36</f>
        <v>9778.158386907593</v>
      </c>
    </row>
    <row r="54" spans="1:5" x14ac:dyDescent="0.25">
      <c r="A54" t="s">
        <v>29</v>
      </c>
      <c r="B54" t="str">
        <f>SkovAreal</f>
        <v>Skov</v>
      </c>
      <c r="C54">
        <f t="shared" si="2"/>
        <v>2019</v>
      </c>
      <c r="D54" t="str">
        <f>Organ6</f>
        <v>OC6</v>
      </c>
      <c r="E54" s="99">
        <f>Arealanvendelse!K37</f>
        <v>0</v>
      </c>
    </row>
    <row r="55" spans="1:5" x14ac:dyDescent="0.25">
      <c r="A55" t="s">
        <v>29</v>
      </c>
      <c r="B55" t="str">
        <f>NaturAreal</f>
        <v>Natur</v>
      </c>
      <c r="C55">
        <f t="shared" si="2"/>
        <v>2019</v>
      </c>
      <c r="D55" t="str">
        <f>Organ6</f>
        <v>OC6</v>
      </c>
      <c r="E55" s="99">
        <f>Arealanvendelse!K38</f>
        <v>5983.3355005675821</v>
      </c>
    </row>
    <row r="56" spans="1:5" x14ac:dyDescent="0.25">
      <c r="A56" t="s">
        <v>29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9">
        <f>Arealanvendelse!K39</f>
        <v>0</v>
      </c>
    </row>
    <row r="57" spans="1:5" x14ac:dyDescent="0.25">
      <c r="A57" t="s">
        <v>29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9">
        <f>Arealanvendelse!L35</f>
        <v>0</v>
      </c>
    </row>
    <row r="58" spans="1:5" x14ac:dyDescent="0.25">
      <c r="A58" t="s">
        <v>29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9">
        <f>Arealanvendelse!L36</f>
        <v>7611.4394432404806</v>
      </c>
    </row>
    <row r="59" spans="1:5" x14ac:dyDescent="0.25">
      <c r="A59" t="s">
        <v>29</v>
      </c>
      <c r="B59" t="str">
        <f>SkovAreal</f>
        <v>Skov</v>
      </c>
      <c r="C59">
        <f t="shared" si="2"/>
        <v>2019</v>
      </c>
      <c r="D59" t="str">
        <f>Organ12</f>
        <v>OC12</v>
      </c>
      <c r="E59" s="99">
        <f>Arealanvendelse!L37</f>
        <v>0</v>
      </c>
    </row>
    <row r="60" spans="1:5" x14ac:dyDescent="0.25">
      <c r="A60" t="s">
        <v>29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9">
        <f>Arealanvendelse!L38</f>
        <v>4939.3797634527136</v>
      </c>
    </row>
    <row r="61" spans="1:5" x14ac:dyDescent="0.25">
      <c r="A61" t="s">
        <v>29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9">
        <f>Arealanvendelse!L39</f>
        <v>0</v>
      </c>
    </row>
    <row r="62" spans="1:5" x14ac:dyDescent="0.25">
      <c r="A62" t="s">
        <v>29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9">
        <f>Arealanvendelse!M35</f>
        <v>178500</v>
      </c>
    </row>
    <row r="63" spans="1:5" x14ac:dyDescent="0.25">
      <c r="A63" t="s">
        <v>29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9">
        <f>Arealanvendelse!M36</f>
        <v>494767.43060435593</v>
      </c>
    </row>
    <row r="64" spans="1:5" x14ac:dyDescent="0.25">
      <c r="A64" t="s">
        <v>29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9">
        <f>Arealanvendelse!M37</f>
        <v>184632.971565496</v>
      </c>
    </row>
    <row r="65" spans="1:5" x14ac:dyDescent="0.25">
      <c r="A65" t="s">
        <v>29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9">
        <f>Arealanvendelse!M38</f>
        <v>71807.284735979716</v>
      </c>
    </row>
    <row r="66" spans="1:5" x14ac:dyDescent="0.25">
      <c r="A66" t="s">
        <v>29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9">
        <f>Arealanvendelse!M39</f>
        <v>19220</v>
      </c>
    </row>
    <row r="67" spans="1:5" x14ac:dyDescent="0.25">
      <c r="A67" t="s">
        <v>29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9">
        <f>Arealanvendelse!N35</f>
        <v>0</v>
      </c>
    </row>
    <row r="68" spans="1:5" x14ac:dyDescent="0.25">
      <c r="A68" t="s">
        <v>29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9">
        <f>Arealanvendelse!N36</f>
        <v>0</v>
      </c>
    </row>
    <row r="69" spans="1:5" x14ac:dyDescent="0.25">
      <c r="A69" t="s">
        <v>29</v>
      </c>
      <c r="B69" t="str">
        <f>SkovAreal</f>
        <v>Skov</v>
      </c>
      <c r="C69">
        <f t="shared" si="3"/>
        <v>2030</v>
      </c>
      <c r="D69" t="str">
        <f>Organ6</f>
        <v>OC6</v>
      </c>
      <c r="E69" s="99">
        <f>Arealanvendelse!N37</f>
        <v>0</v>
      </c>
    </row>
    <row r="70" spans="1:5" x14ac:dyDescent="0.25">
      <c r="A70" t="s">
        <v>29</v>
      </c>
      <c r="B70" t="str">
        <f>NaturAreal</f>
        <v>Natur</v>
      </c>
      <c r="C70">
        <f t="shared" si="3"/>
        <v>2030</v>
      </c>
      <c r="D70" t="str">
        <f>Organ6</f>
        <v>OC6</v>
      </c>
      <c r="E70" s="99">
        <f>Arealanvendelse!N38</f>
        <v>15761.493887475173</v>
      </c>
    </row>
    <row r="71" spans="1:5" x14ac:dyDescent="0.25">
      <c r="A71" t="s">
        <v>29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9">
        <f>Arealanvendelse!N39</f>
        <v>0</v>
      </c>
    </row>
    <row r="72" spans="1:5" x14ac:dyDescent="0.25">
      <c r="A72" t="s">
        <v>29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9">
        <f>Arealanvendelse!O35</f>
        <v>0</v>
      </c>
    </row>
    <row r="73" spans="1:5" x14ac:dyDescent="0.25">
      <c r="A73" t="s">
        <v>29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9">
        <f>Arealanvendelse!O36</f>
        <v>0</v>
      </c>
    </row>
    <row r="74" spans="1:5" x14ac:dyDescent="0.25">
      <c r="A74" t="s">
        <v>29</v>
      </c>
      <c r="B74" t="str">
        <f>SkovAreal</f>
        <v>Skov</v>
      </c>
      <c r="C74">
        <f t="shared" si="3"/>
        <v>2030</v>
      </c>
      <c r="D74" t="str">
        <f>Organ12</f>
        <v>OC12</v>
      </c>
      <c r="E74" s="99">
        <f>Arealanvendelse!O37</f>
        <v>0</v>
      </c>
    </row>
    <row r="75" spans="1:5" x14ac:dyDescent="0.25">
      <c r="A75" t="s">
        <v>29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9">
        <f>Arealanvendelse!O38</f>
        <v>12550.819206693192</v>
      </c>
    </row>
    <row r="76" spans="1:5" x14ac:dyDescent="0.25">
      <c r="A76" t="s">
        <v>29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9">
        <f>Arealanvendelse!O39</f>
        <v>0</v>
      </c>
    </row>
    <row r="77" spans="1:5" x14ac:dyDescent="0.25">
      <c r="A77" t="s">
        <v>29</v>
      </c>
      <c r="B77" t="str">
        <f>Bebyg</f>
        <v>Bebyggelse &amp; infrastruktur</v>
      </c>
      <c r="C77">
        <v>2050</v>
      </c>
      <c r="D77" t="str">
        <f>Jordbund1</f>
        <v>JB1-10</v>
      </c>
      <c r="E77" s="99">
        <f>Arealanvendelse!P35</f>
        <v>178500</v>
      </c>
    </row>
    <row r="78" spans="1:5" x14ac:dyDescent="0.25">
      <c r="A78" t="s">
        <v>29</v>
      </c>
      <c r="B78" t="str">
        <f>Afgrøder</f>
        <v>Landbrugsafgrøder</v>
      </c>
      <c r="C78">
        <v>2050</v>
      </c>
      <c r="D78" t="str">
        <f>Jordbund1</f>
        <v>JB1-10</v>
      </c>
      <c r="E78" s="99">
        <f>Arealanvendelse!P36</f>
        <v>491070.29006284941</v>
      </c>
    </row>
    <row r="79" spans="1:5" x14ac:dyDescent="0.25">
      <c r="A79" t="s">
        <v>29</v>
      </c>
      <c r="B79" t="str">
        <f>SkovAreal</f>
        <v>Skov</v>
      </c>
      <c r="C79">
        <v>2050</v>
      </c>
      <c r="D79" t="str">
        <f>Jordbund1</f>
        <v>JB1-10</v>
      </c>
      <c r="E79" s="99">
        <f>Arealanvendelse!P37</f>
        <v>188330.11210700253</v>
      </c>
    </row>
    <row r="80" spans="1:5" x14ac:dyDescent="0.25">
      <c r="A80" t="s">
        <v>29</v>
      </c>
      <c r="B80" t="str">
        <f>NaturAreal</f>
        <v>Natur</v>
      </c>
      <c r="C80">
        <v>2050</v>
      </c>
      <c r="D80" t="str">
        <f>Jordbund1</f>
        <v>JB1-10</v>
      </c>
      <c r="E80" s="99">
        <f>Arealanvendelse!P38</f>
        <v>71807.284735979716</v>
      </c>
    </row>
    <row r="81" spans="1:5" x14ac:dyDescent="0.25">
      <c r="A81" t="s">
        <v>29</v>
      </c>
      <c r="B81" t="str">
        <f>IKareal</f>
        <v>Ikke klassificeret</v>
      </c>
      <c r="C81">
        <v>2050</v>
      </c>
      <c r="D81" t="str">
        <f>Jordbund1</f>
        <v>JB1-10</v>
      </c>
      <c r="E81" s="99">
        <f>Arealanvendelse!P39</f>
        <v>19220</v>
      </c>
    </row>
    <row r="82" spans="1:5" x14ac:dyDescent="0.25">
      <c r="A82" t="s">
        <v>29</v>
      </c>
      <c r="B82" t="str">
        <f>Bebyg</f>
        <v>Bebyggelse &amp; infrastruktur</v>
      </c>
      <c r="C82">
        <v>2050</v>
      </c>
      <c r="D82" t="str">
        <f>Organ6</f>
        <v>OC6</v>
      </c>
      <c r="E82" s="99">
        <f>Arealanvendelse!Q35</f>
        <v>0</v>
      </c>
    </row>
    <row r="83" spans="1:5" x14ac:dyDescent="0.25">
      <c r="A83" t="s">
        <v>29</v>
      </c>
      <c r="B83" t="str">
        <f>Afgrøder</f>
        <v>Landbrugsafgrøder</v>
      </c>
      <c r="C83">
        <v>2050</v>
      </c>
      <c r="D83" t="str">
        <f>Organ6</f>
        <v>OC6</v>
      </c>
      <c r="E83" s="99">
        <f>Arealanvendelse!Q36</f>
        <v>0</v>
      </c>
    </row>
    <row r="84" spans="1:5" x14ac:dyDescent="0.25">
      <c r="A84" t="s">
        <v>29</v>
      </c>
      <c r="B84" t="str">
        <f>SkovAreal</f>
        <v>Skov</v>
      </c>
      <c r="C84">
        <v>2050</v>
      </c>
      <c r="D84" t="str">
        <f>Organ6</f>
        <v>OC6</v>
      </c>
      <c r="E84" s="99">
        <f>Arealanvendelse!Q37</f>
        <v>0</v>
      </c>
    </row>
    <row r="85" spans="1:5" x14ac:dyDescent="0.25">
      <c r="A85" t="s">
        <v>29</v>
      </c>
      <c r="B85" t="str">
        <f>NaturAreal</f>
        <v>Natur</v>
      </c>
      <c r="C85">
        <v>2050</v>
      </c>
      <c r="D85" t="str">
        <f>Organ6</f>
        <v>OC6</v>
      </c>
      <c r="E85" s="99">
        <f>Arealanvendelse!Q38</f>
        <v>15761.493887475173</v>
      </c>
    </row>
    <row r="86" spans="1:5" x14ac:dyDescent="0.25">
      <c r="A86" t="s">
        <v>29</v>
      </c>
      <c r="B86" t="str">
        <f>IKareal</f>
        <v>Ikke klassificeret</v>
      </c>
      <c r="C86">
        <v>2050</v>
      </c>
      <c r="D86" t="str">
        <f>Organ6</f>
        <v>OC6</v>
      </c>
      <c r="E86" s="99">
        <f>Arealanvendelse!Q39</f>
        <v>0</v>
      </c>
    </row>
    <row r="87" spans="1:5" x14ac:dyDescent="0.25">
      <c r="A87" t="s">
        <v>29</v>
      </c>
      <c r="B87" t="str">
        <f>Bebyg</f>
        <v>Bebyggelse &amp; infrastruktur</v>
      </c>
      <c r="C87">
        <v>2050</v>
      </c>
      <c r="D87" t="str">
        <f>Organ12</f>
        <v>OC12</v>
      </c>
      <c r="E87" s="99">
        <f>Arealanvendelse!R35</f>
        <v>0</v>
      </c>
    </row>
    <row r="88" spans="1:5" x14ac:dyDescent="0.25">
      <c r="A88" t="s">
        <v>29</v>
      </c>
      <c r="B88" t="str">
        <f>Afgrøder</f>
        <v>Landbrugsafgrøder</v>
      </c>
      <c r="C88">
        <v>2050</v>
      </c>
      <c r="D88" t="str">
        <f>Organ12</f>
        <v>OC12</v>
      </c>
      <c r="E88" s="99">
        <f>Arealanvendelse!R36</f>
        <v>0</v>
      </c>
    </row>
    <row r="89" spans="1:5" x14ac:dyDescent="0.25">
      <c r="A89" t="s">
        <v>29</v>
      </c>
      <c r="B89" t="str">
        <f>SkovAreal</f>
        <v>Skov</v>
      </c>
      <c r="C89">
        <v>2050</v>
      </c>
      <c r="D89" t="str">
        <f>Organ12</f>
        <v>OC12</v>
      </c>
      <c r="E89" s="99">
        <f>Arealanvendelse!R37</f>
        <v>0</v>
      </c>
    </row>
    <row r="90" spans="1:5" x14ac:dyDescent="0.25">
      <c r="A90" t="s">
        <v>29</v>
      </c>
      <c r="B90" t="str">
        <f>NaturAreal</f>
        <v>Natur</v>
      </c>
      <c r="C90">
        <v>2050</v>
      </c>
      <c r="D90" t="str">
        <f>Organ12</f>
        <v>OC12</v>
      </c>
      <c r="E90" s="99">
        <f>Arealanvendelse!R38</f>
        <v>12550.819206693192</v>
      </c>
    </row>
    <row r="91" spans="1:5" x14ac:dyDescent="0.25">
      <c r="A91" t="s">
        <v>29</v>
      </c>
      <c r="B91" t="str">
        <f>IKareal</f>
        <v>Ikke klassificeret</v>
      </c>
      <c r="C91">
        <v>2050</v>
      </c>
      <c r="D91" t="str">
        <f>Organ12</f>
        <v>OC12</v>
      </c>
      <c r="E91" s="99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65</v>
      </c>
      <c r="B1" t="s">
        <v>58</v>
      </c>
      <c r="C1" t="s">
        <v>59</v>
      </c>
      <c r="D1" t="s">
        <v>60</v>
      </c>
      <c r="E1" t="s">
        <v>64</v>
      </c>
      <c r="F1" t="s">
        <v>91</v>
      </c>
      <c r="G1" t="s">
        <v>87</v>
      </c>
      <c r="H1" t="s">
        <v>88</v>
      </c>
      <c r="I1" t="s">
        <v>74</v>
      </c>
      <c r="J1" t="s">
        <v>90</v>
      </c>
      <c r="L1" t="s">
        <v>65</v>
      </c>
      <c r="M1" t="s">
        <v>84</v>
      </c>
      <c r="N1" t="s">
        <v>59</v>
      </c>
      <c r="O1" t="s">
        <v>83</v>
      </c>
      <c r="P1" t="s">
        <v>79</v>
      </c>
    </row>
    <row r="2" spans="1:16" x14ac:dyDescent="0.25">
      <c r="A2" t="s">
        <v>24</v>
      </c>
      <c r="B2" s="1" t="str">
        <f>[1]Afgrødefordeling!$C$2</f>
        <v>Korn</v>
      </c>
      <c r="C2">
        <v>2019</v>
      </c>
      <c r="D2" t="s">
        <v>7</v>
      </c>
      <c r="E2" s="173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24</v>
      </c>
      <c r="M2" t="s">
        <v>23</v>
      </c>
      <c r="N2">
        <v>2019</v>
      </c>
      <c r="O2" t="s">
        <v>7</v>
      </c>
      <c r="P2" s="76">
        <f>'Landbrugsareal - resultat'!C23</f>
        <v>10266966</v>
      </c>
    </row>
    <row r="3" spans="1:16" x14ac:dyDescent="0.25">
      <c r="A3" t="s">
        <v>24</v>
      </c>
      <c r="B3" s="1" t="str">
        <f>[1]Afgrødefordeling!$C$3</f>
        <v>Bælgsæd</v>
      </c>
      <c r="C3">
        <v>2019</v>
      </c>
      <c r="D3" t="s">
        <v>7</v>
      </c>
      <c r="E3" s="173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3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3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24</v>
      </c>
      <c r="M3" t="s">
        <v>3</v>
      </c>
      <c r="N3">
        <v>2019</v>
      </c>
      <c r="O3" t="s">
        <v>7</v>
      </c>
      <c r="P3" s="76">
        <f>'Landbrugsareal - resultat'!C24</f>
        <v>1184629</v>
      </c>
    </row>
    <row r="4" spans="1:16" x14ac:dyDescent="0.25">
      <c r="A4" t="s">
        <v>24</v>
      </c>
      <c r="B4" s="1" t="str">
        <f>[1]Afgrødefordeling!$C$4</f>
        <v>Raps</v>
      </c>
      <c r="C4">
        <v>2019</v>
      </c>
      <c r="D4" t="s">
        <v>7</v>
      </c>
      <c r="E4" s="173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3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3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24</v>
      </c>
      <c r="M4" t="s">
        <v>4</v>
      </c>
      <c r="N4">
        <v>2019</v>
      </c>
      <c r="O4" t="s">
        <v>7</v>
      </c>
      <c r="P4" s="76">
        <f>'Landbrugsareal - resultat'!C25</f>
        <v>18212034</v>
      </c>
    </row>
    <row r="5" spans="1:16" x14ac:dyDescent="0.25">
      <c r="A5" t="s">
        <v>24</v>
      </c>
      <c r="B5" s="1" t="str">
        <f>[1]Afgrødefordeling!$C$5</f>
        <v>Græs</v>
      </c>
      <c r="C5">
        <v>2019</v>
      </c>
      <c r="D5" t="s">
        <v>7</v>
      </c>
      <c r="E5" s="173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3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3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24</v>
      </c>
      <c r="M5" t="s">
        <v>23</v>
      </c>
      <c r="N5">
        <v>2030</v>
      </c>
      <c r="O5" t="s">
        <v>7</v>
      </c>
      <c r="P5" s="76">
        <f>'Landbrugsareal - resultat'!D23</f>
        <v>10081251.358070999</v>
      </c>
    </row>
    <row r="6" spans="1:16" x14ac:dyDescent="0.25">
      <c r="A6" t="s">
        <v>24</v>
      </c>
      <c r="B6" s="1" t="str">
        <f>[1]Afgrødefordeling!$C$6</f>
        <v>Grøntsager</v>
      </c>
      <c r="C6">
        <v>2019</v>
      </c>
      <c r="D6" t="s">
        <v>7</v>
      </c>
      <c r="E6" s="173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3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3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24</v>
      </c>
      <c r="M6" t="s">
        <v>3</v>
      </c>
      <c r="N6">
        <v>2030</v>
      </c>
      <c r="O6" t="s">
        <v>7</v>
      </c>
      <c r="P6" s="76">
        <f>'Landbrugsareal - resultat'!D24</f>
        <v>1152879.1032080106</v>
      </c>
    </row>
    <row r="7" spans="1:16" x14ac:dyDescent="0.25">
      <c r="A7" t="s">
        <v>24</v>
      </c>
      <c r="B7" s="1" t="str">
        <f>[1]Afgrødefordeling!$C$7</f>
        <v>Kartofler</v>
      </c>
      <c r="C7">
        <v>2019</v>
      </c>
      <c r="D7" t="s">
        <v>7</v>
      </c>
      <c r="E7" s="173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3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3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24</v>
      </c>
      <c r="M7" t="s">
        <v>4</v>
      </c>
      <c r="N7">
        <v>2030</v>
      </c>
      <c r="O7" t="s">
        <v>7</v>
      </c>
      <c r="P7" s="76">
        <f>'Landbrugsareal - resultat'!D25</f>
        <v>17790568.192894831</v>
      </c>
    </row>
    <row r="8" spans="1:16" x14ac:dyDescent="0.25">
      <c r="A8" t="s">
        <v>24</v>
      </c>
      <c r="B8" s="1" t="str">
        <f>[1]Afgrødefordeling!$C$8</f>
        <v>Roer</v>
      </c>
      <c r="C8">
        <v>2019</v>
      </c>
      <c r="D8" t="s">
        <v>7</v>
      </c>
      <c r="E8" s="173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3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3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24</v>
      </c>
      <c r="M8" t="s">
        <v>23</v>
      </c>
      <c r="N8">
        <v>2050</v>
      </c>
      <c r="O8" t="s">
        <v>7</v>
      </c>
      <c r="P8" s="76">
        <f>'Landbrugsareal - resultat'!E23</f>
        <v>9651553.6380710006</v>
      </c>
    </row>
    <row r="9" spans="1:16" x14ac:dyDescent="0.25">
      <c r="A9" t="s">
        <v>24</v>
      </c>
      <c r="B9" s="1" t="str">
        <f>[1]Afgrødefordeling!$C$9</f>
        <v>Majs</v>
      </c>
      <c r="C9">
        <v>2019</v>
      </c>
      <c r="D9" t="s">
        <v>7</v>
      </c>
      <c r="E9" s="173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3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3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24</v>
      </c>
      <c r="M9" t="s">
        <v>3</v>
      </c>
      <c r="N9">
        <v>2050</v>
      </c>
      <c r="O9" t="s">
        <v>7</v>
      </c>
      <c r="P9" s="76">
        <f>'Landbrugsareal - resultat'!E24</f>
        <v>1097180.5432080105</v>
      </c>
    </row>
    <row r="10" spans="1:16" x14ac:dyDescent="0.25">
      <c r="A10" t="s">
        <v>24</v>
      </c>
      <c r="B10" s="1" t="str">
        <f>[1]Afgrødefordeling!$C$10</f>
        <v>Frugt</v>
      </c>
      <c r="C10">
        <v>2019</v>
      </c>
      <c r="D10" t="s">
        <v>7</v>
      </c>
      <c r="E10" s="173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3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3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24</v>
      </c>
      <c r="M10" t="s">
        <v>4</v>
      </c>
      <c r="N10">
        <v>2050</v>
      </c>
      <c r="O10" t="s">
        <v>7</v>
      </c>
      <c r="P10" s="76">
        <f>'Landbrugsareal - resultat'!E25</f>
        <v>16939594.832894832</v>
      </c>
    </row>
    <row r="11" spans="1:16" x14ac:dyDescent="0.25">
      <c r="A11" t="s">
        <v>24</v>
      </c>
      <c r="B11" s="1" t="str">
        <f>[1]Afgrødefordeling!$C$11</f>
        <v>Øvrige</v>
      </c>
      <c r="C11">
        <v>2019</v>
      </c>
      <c r="D11" t="s">
        <v>7</v>
      </c>
      <c r="E11" s="173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3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3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24</v>
      </c>
      <c r="M11" t="s">
        <v>23</v>
      </c>
      <c r="N11">
        <v>2019</v>
      </c>
      <c r="O11" t="s">
        <v>8</v>
      </c>
      <c r="P11" s="76">
        <f>'Landbrugsareal - resultat'!F23</f>
        <v>475477</v>
      </c>
    </row>
    <row r="12" spans="1:16" x14ac:dyDescent="0.25">
      <c r="A12" t="s">
        <v>24</v>
      </c>
      <c r="B12" s="1" t="str">
        <f>[1]Afgrødefordeling!$C$12</f>
        <v>Frø</v>
      </c>
      <c r="C12">
        <v>2019</v>
      </c>
      <c r="D12" t="s">
        <v>7</v>
      </c>
      <c r="E12" s="173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3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3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24</v>
      </c>
      <c r="M12" t="s">
        <v>3</v>
      </c>
      <c r="N12">
        <v>2019</v>
      </c>
      <c r="O12" t="s">
        <v>8</v>
      </c>
      <c r="P12" s="76">
        <f>'Landbrugsareal - resultat'!F24</f>
        <v>207835</v>
      </c>
    </row>
    <row r="13" spans="1:16" x14ac:dyDescent="0.25">
      <c r="A13" t="s">
        <v>24</v>
      </c>
      <c r="B13" s="1" t="str">
        <f>[1]Afgrødefordeling!$C$13</f>
        <v>Juletræer</v>
      </c>
      <c r="C13">
        <v>2019</v>
      </c>
      <c r="D13" t="s">
        <v>7</v>
      </c>
      <c r="E13" s="173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3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3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24</v>
      </c>
      <c r="M13" t="s">
        <v>4</v>
      </c>
      <c r="N13">
        <v>2019</v>
      </c>
      <c r="O13" t="s">
        <v>8</v>
      </c>
      <c r="P13" s="76">
        <f>'Landbrugsareal - resultat'!F25</f>
        <v>3062300</v>
      </c>
    </row>
    <row r="14" spans="1:16" x14ac:dyDescent="0.25">
      <c r="A14" t="s">
        <v>24</v>
      </c>
      <c r="B14" s="1" t="str">
        <f>[1]Afgrødefordeling!$C$14</f>
        <v>Pil &amp; poppel</v>
      </c>
      <c r="C14">
        <v>2019</v>
      </c>
      <c r="D14" t="s">
        <v>7</v>
      </c>
      <c r="E14" s="173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3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3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24</v>
      </c>
      <c r="M14" t="s">
        <v>23</v>
      </c>
      <c r="N14">
        <v>2030</v>
      </c>
      <c r="O14" t="s">
        <v>8</v>
      </c>
      <c r="P14" s="76">
        <f>'Landbrugsareal - resultat'!G23</f>
        <v>661191.6419289998</v>
      </c>
    </row>
    <row r="15" spans="1:16" x14ac:dyDescent="0.25">
      <c r="A15" t="s">
        <v>24</v>
      </c>
      <c r="B15" s="1" t="str">
        <f>[1]Afgrødefordeling!$C$15</f>
        <v>Permanent græs</v>
      </c>
      <c r="C15">
        <v>2019</v>
      </c>
      <c r="D15" t="s">
        <v>7</v>
      </c>
      <c r="E15" s="173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3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3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24</v>
      </c>
      <c r="M15" t="s">
        <v>3</v>
      </c>
      <c r="N15">
        <v>2030</v>
      </c>
      <c r="O15" t="s">
        <v>8</v>
      </c>
      <c r="P15" s="76">
        <f>'Landbrugsareal - resultat'!G24</f>
        <v>239584.89679198936</v>
      </c>
    </row>
    <row r="16" spans="1:16" x14ac:dyDescent="0.25">
      <c r="A16" t="s">
        <v>24</v>
      </c>
      <c r="B16" s="1" t="str">
        <f>[1]Afgrødefordeling!$C$2</f>
        <v>Korn</v>
      </c>
      <c r="C16">
        <v>2030</v>
      </c>
      <c r="D16" t="s">
        <v>7</v>
      </c>
      <c r="E16" s="173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623601.64762370673</v>
      </c>
      <c r="H16" s="173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4371447.5498421844</v>
      </c>
      <c r="I16" s="173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1517832.1610184542</v>
      </c>
      <c r="J16" s="76">
        <f t="shared" si="2"/>
        <v>1517832.1610184542</v>
      </c>
      <c r="L16" t="s">
        <v>24</v>
      </c>
      <c r="M16" t="s">
        <v>4</v>
      </c>
      <c r="N16">
        <v>2030</v>
      </c>
      <c r="O16" t="s">
        <v>8</v>
      </c>
      <c r="P16" s="76">
        <f>'Landbrugsareal - resultat'!G25</f>
        <v>3483765.8071051692</v>
      </c>
    </row>
    <row r="17" spans="1:16" x14ac:dyDescent="0.25">
      <c r="A17" t="s">
        <v>24</v>
      </c>
      <c r="B17" s="1" t="str">
        <f>[1]Afgrødefordeling!$C$3</f>
        <v>Bælgsæd</v>
      </c>
      <c r="C17">
        <v>2030</v>
      </c>
      <c r="D17" t="s">
        <v>7</v>
      </c>
      <c r="E17" s="173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40924.577321691744</v>
      </c>
      <c r="H17" s="173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157968.86846173016</v>
      </c>
      <c r="I17" s="173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49888.7090156083</v>
      </c>
      <c r="J17" s="76">
        <f t="shared" si="2"/>
        <v>49888.7090156083</v>
      </c>
      <c r="L17" t="s">
        <v>24</v>
      </c>
      <c r="M17" t="s">
        <v>23</v>
      </c>
      <c r="N17">
        <v>2050</v>
      </c>
      <c r="O17" t="s">
        <v>8</v>
      </c>
      <c r="P17" s="76">
        <f>'Landbrugsareal - resultat'!H23</f>
        <v>1090889.3619289997</v>
      </c>
    </row>
    <row r="18" spans="1:16" x14ac:dyDescent="0.25">
      <c r="A18" t="s">
        <v>24</v>
      </c>
      <c r="B18" s="1" t="str">
        <f>[1]Afgrødefordeling!$C$4</f>
        <v>Raps</v>
      </c>
      <c r="C18">
        <v>2030</v>
      </c>
      <c r="D18" t="s">
        <v>7</v>
      </c>
      <c r="E18" s="173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68820.453158838543</v>
      </c>
      <c r="H18" s="173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302809.99389888963</v>
      </c>
      <c r="I18" s="173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172047.55423353214</v>
      </c>
      <c r="J18" s="76">
        <f t="shared" si="2"/>
        <v>172047.55423353214</v>
      </c>
      <c r="L18" t="s">
        <v>24</v>
      </c>
      <c r="M18" t="s">
        <v>3</v>
      </c>
      <c r="N18">
        <v>2050</v>
      </c>
      <c r="O18" t="s">
        <v>8</v>
      </c>
      <c r="P18" s="76">
        <f>'Landbrugsareal - resultat'!H24</f>
        <v>295283.45679198933</v>
      </c>
    </row>
    <row r="19" spans="1:16" x14ac:dyDescent="0.25">
      <c r="A19" t="s">
        <v>24</v>
      </c>
      <c r="B19" s="1" t="str">
        <f>[1]Afgrødefordeling!$C$5</f>
        <v>Græs</v>
      </c>
      <c r="C19">
        <v>2030</v>
      </c>
      <c r="D19" t="s">
        <v>7</v>
      </c>
      <c r="E19" s="173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139749.16893583816</v>
      </c>
      <c r="H19" s="173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6934353.7625962906</v>
      </c>
      <c r="I19" s="173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6934353.7625962906</v>
      </c>
      <c r="L19" t="s">
        <v>24</v>
      </c>
      <c r="M19" t="s">
        <v>4</v>
      </c>
      <c r="N19">
        <v>2050</v>
      </c>
      <c r="O19" t="s">
        <v>8</v>
      </c>
      <c r="P19" s="76">
        <f>'Landbrugsareal - resultat'!H25</f>
        <v>4334739.167105169</v>
      </c>
    </row>
    <row r="20" spans="1:16" x14ac:dyDescent="0.25">
      <c r="A20" t="s">
        <v>24</v>
      </c>
      <c r="B20" s="1" t="str">
        <f>[1]Afgrødefordeling!$C$6</f>
        <v>Grøntsager</v>
      </c>
      <c r="C20">
        <v>2030</v>
      </c>
      <c r="D20" t="s">
        <v>7</v>
      </c>
      <c r="E20" s="173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5077.8752938785101</v>
      </c>
      <c r="H20" s="173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105365.91234797909</v>
      </c>
      <c r="I20" s="173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105365.91234797909</v>
      </c>
      <c r="L20" t="s">
        <v>25</v>
      </c>
      <c r="M20" t="s">
        <v>23</v>
      </c>
      <c r="N20">
        <v>2019</v>
      </c>
      <c r="O20" t="s">
        <v>7</v>
      </c>
      <c r="P20" s="76">
        <f>'Landbrugsareal - resultat'!C50</f>
        <v>1541102</v>
      </c>
    </row>
    <row r="21" spans="1:16" x14ac:dyDescent="0.25">
      <c r="A21" t="s">
        <v>24</v>
      </c>
      <c r="B21" s="1" t="str">
        <f>[1]Afgrødefordeling!$C$7</f>
        <v>Kartofler</v>
      </c>
      <c r="C21">
        <v>2030</v>
      </c>
      <c r="D21" t="s">
        <v>7</v>
      </c>
      <c r="E21" s="173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-3871.2915336419205</v>
      </c>
      <c r="H21" s="173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-164417.23354785025</v>
      </c>
      <c r="I21" s="173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-164417.23354785025</v>
      </c>
      <c r="L21" t="s">
        <v>25</v>
      </c>
      <c r="M21" t="s">
        <v>3</v>
      </c>
      <c r="N21">
        <v>2019</v>
      </c>
      <c r="O21" t="s">
        <v>7</v>
      </c>
      <c r="P21" s="76">
        <f>'Landbrugsareal - resultat'!C51</f>
        <v>82455</v>
      </c>
    </row>
    <row r="22" spans="1:16" x14ac:dyDescent="0.25">
      <c r="A22" t="s">
        <v>24</v>
      </c>
      <c r="B22" s="1" t="str">
        <f>[1]Afgrødefordeling!$C$8</f>
        <v>Roer</v>
      </c>
      <c r="C22">
        <v>2030</v>
      </c>
      <c r="D22" t="s">
        <v>7</v>
      </c>
      <c r="E22" s="173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2952.9863644105094</v>
      </c>
      <c r="H22" s="173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239941.16071419121</v>
      </c>
      <c r="I22" s="173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239941.16071419121</v>
      </c>
      <c r="L22" t="s">
        <v>25</v>
      </c>
      <c r="M22" t="s">
        <v>4</v>
      </c>
      <c r="N22">
        <v>2019</v>
      </c>
      <c r="O22" t="s">
        <v>7</v>
      </c>
      <c r="P22" s="76">
        <f>'Landbrugsareal - resultat'!C52</f>
        <v>1570560</v>
      </c>
    </row>
    <row r="23" spans="1:16" x14ac:dyDescent="0.25">
      <c r="A23" t="s">
        <v>24</v>
      </c>
      <c r="B23" s="1" t="str">
        <f>[1]Afgrødefordeling!$C$9</f>
        <v>Majs</v>
      </c>
      <c r="C23">
        <v>2030</v>
      </c>
      <c r="D23" t="s">
        <v>7</v>
      </c>
      <c r="E23" s="173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101123.85284779611</v>
      </c>
      <c r="H23" s="173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4501022.6902554054</v>
      </c>
      <c r="I23" s="173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4501022.6902554054</v>
      </c>
      <c r="L23" t="s">
        <v>25</v>
      </c>
      <c r="M23" t="s">
        <v>23</v>
      </c>
      <c r="N23">
        <v>2030</v>
      </c>
      <c r="O23" t="s">
        <v>7</v>
      </c>
      <c r="P23" s="76">
        <f>'Landbrugsareal - resultat'!D50</f>
        <v>1532729.9904525669</v>
      </c>
    </row>
    <row r="24" spans="1:16" x14ac:dyDescent="0.25">
      <c r="A24" t="s">
        <v>24</v>
      </c>
      <c r="B24" s="1" t="str">
        <f>[1]Afgrødefordeling!$C$10</f>
        <v>Frugt</v>
      </c>
      <c r="C24">
        <v>2030</v>
      </c>
      <c r="D24" t="s">
        <v>7</v>
      </c>
      <c r="E24" s="173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1858.178728641436</v>
      </c>
      <c r="H24" s="173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15775.937406165795</v>
      </c>
      <c r="I24" s="173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15775.937406165795</v>
      </c>
      <c r="L24" t="s">
        <v>25</v>
      </c>
      <c r="M24" t="s">
        <v>3</v>
      </c>
      <c r="N24">
        <v>2030</v>
      </c>
      <c r="O24" t="s">
        <v>7</v>
      </c>
      <c r="P24" s="76">
        <f>'Landbrugsareal - resultat'!D51</f>
        <v>80080.142534636136</v>
      </c>
    </row>
    <row r="25" spans="1:16" x14ac:dyDescent="0.25">
      <c r="A25" t="s">
        <v>24</v>
      </c>
      <c r="B25" s="1" t="str">
        <f>[1]Afgrødefordeling!$C$11</f>
        <v>Øvrige</v>
      </c>
      <c r="C25">
        <v>2030</v>
      </c>
      <c r="D25" t="s">
        <v>7</v>
      </c>
      <c r="E25" s="173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10116.339515882988</v>
      </c>
      <c r="H25" s="173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301425.8807248823</v>
      </c>
      <c r="I25" s="173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301425.8807248823</v>
      </c>
      <c r="L25" t="s">
        <v>25</v>
      </c>
      <c r="M25" t="s">
        <v>4</v>
      </c>
      <c r="N25">
        <v>2030</v>
      </c>
      <c r="O25" t="s">
        <v>7</v>
      </c>
      <c r="P25" s="76">
        <f>'Landbrugsareal - resultat'!D52</f>
        <v>1537834.5897597643</v>
      </c>
    </row>
    <row r="26" spans="1:16" x14ac:dyDescent="0.25">
      <c r="A26" t="s">
        <v>24</v>
      </c>
      <c r="B26" s="1" t="str">
        <f>[1]Afgrødefordeling!$C$12</f>
        <v>Frø</v>
      </c>
      <c r="C26">
        <v>2030</v>
      </c>
      <c r="D26" t="s">
        <v>7</v>
      </c>
      <c r="E26" s="173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34569.580912712976</v>
      </c>
      <c r="H26" s="173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493959.92817580584</v>
      </c>
      <c r="I26" s="173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87295.105720782813</v>
      </c>
      <c r="J26" s="76">
        <f t="shared" si="2"/>
        <v>87295.105720782813</v>
      </c>
      <c r="L26" t="s">
        <v>25</v>
      </c>
      <c r="M26" t="s">
        <v>23</v>
      </c>
      <c r="N26">
        <v>2050</v>
      </c>
      <c r="O26" t="s">
        <v>7</v>
      </c>
      <c r="P26" s="76">
        <f>'Landbrugsareal - resultat'!E50</f>
        <v>1517250.402620316</v>
      </c>
    </row>
    <row r="27" spans="1:16" x14ac:dyDescent="0.25">
      <c r="A27" t="s">
        <v>24</v>
      </c>
      <c r="B27" s="1" t="str">
        <f>[1]Afgrødefordeling!$C$13</f>
        <v>Juletræer</v>
      </c>
      <c r="C27">
        <v>2030</v>
      </c>
      <c r="D27" t="s">
        <v>7</v>
      </c>
      <c r="E27" s="173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9319.7772503881351</v>
      </c>
      <c r="H27" s="173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465988.86251940671</v>
      </c>
      <c r="I27" s="173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465988.86251940671</v>
      </c>
      <c r="L27" t="s">
        <v>25</v>
      </c>
      <c r="M27" t="s">
        <v>3</v>
      </c>
      <c r="N27">
        <v>2050</v>
      </c>
      <c r="O27" t="s">
        <v>7</v>
      </c>
      <c r="P27" s="76">
        <f>'Landbrugsareal - resultat'!E51</f>
        <v>75689.10421630925</v>
      </c>
    </row>
    <row r="28" spans="1:16" x14ac:dyDescent="0.25">
      <c r="A28" t="s">
        <v>24</v>
      </c>
      <c r="B28" s="1" t="str">
        <f>[1]Afgrødefordeling!$C$14</f>
        <v>Pil &amp; poppel</v>
      </c>
      <c r="C28">
        <v>2030</v>
      </c>
      <c r="D28" t="s">
        <v>7</v>
      </c>
      <c r="E28" s="173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3428.1130965615221</v>
      </c>
      <c r="H28" s="173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83612.514550281034</v>
      </c>
      <c r="I28" s="173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83612.514550281034</v>
      </c>
      <c r="L28" t="s">
        <v>25</v>
      </c>
      <c r="M28" t="s">
        <v>4</v>
      </c>
      <c r="N28">
        <v>2050</v>
      </c>
      <c r="O28" t="s">
        <v>7</v>
      </c>
      <c r="P28" s="76">
        <f>'Landbrugsareal - resultat'!E52</f>
        <v>1477326.3140238035</v>
      </c>
    </row>
    <row r="29" spans="1:16" x14ac:dyDescent="0.25">
      <c r="A29" t="s">
        <v>24</v>
      </c>
      <c r="B29" s="1" t="str">
        <f>[1]Afgrødefordeling!$C$15</f>
        <v>Permanent græs</v>
      </c>
      <c r="C29">
        <v>2030</v>
      </c>
      <c r="D29" t="s">
        <v>7</v>
      </c>
      <c r="E29" s="173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99690.053010526652</v>
      </c>
      <c r="H29" s="173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1374725.8310151626</v>
      </c>
      <c r="I29" s="173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1374725.8310151626</v>
      </c>
      <c r="L29" t="s">
        <v>25</v>
      </c>
      <c r="M29" t="s">
        <v>23</v>
      </c>
      <c r="N29">
        <v>2019</v>
      </c>
      <c r="O29" t="s">
        <v>8</v>
      </c>
      <c r="P29" s="76">
        <f>'Landbrugsareal - resultat'!F50</f>
        <v>15447</v>
      </c>
    </row>
    <row r="30" spans="1:16" x14ac:dyDescent="0.25">
      <c r="A30" t="s">
        <v>24</v>
      </c>
      <c r="B30" s="1" t="str">
        <f>[1]Afgrødefordeling!$C$2</f>
        <v>Korn</v>
      </c>
      <c r="C30">
        <v>2050</v>
      </c>
      <c r="D30" t="s">
        <v>7</v>
      </c>
      <c r="E30" s="173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582945.73538311059</v>
      </c>
      <c r="H30" s="173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4086449.6050356049</v>
      </c>
      <c r="I30" s="173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1458658.1865174593</v>
      </c>
      <c r="J30" s="76">
        <f t="shared" si="2"/>
        <v>1458658.1865174593</v>
      </c>
      <c r="L30" t="s">
        <v>25</v>
      </c>
      <c r="M30" t="s">
        <v>3</v>
      </c>
      <c r="N30">
        <v>2019</v>
      </c>
      <c r="O30" t="s">
        <v>8</v>
      </c>
      <c r="P30" s="76">
        <f>'Landbrugsareal - resultat'!F51</f>
        <v>16513</v>
      </c>
    </row>
    <row r="31" spans="1:16" x14ac:dyDescent="0.25">
      <c r="A31" t="s">
        <v>24</v>
      </c>
      <c r="B31" s="1" t="str">
        <f>[1]Afgrødefordeling!$C$3</f>
        <v>Bælgsæd</v>
      </c>
      <c r="C31">
        <v>2050</v>
      </c>
      <c r="D31" t="s">
        <v>7</v>
      </c>
      <c r="E31" s="173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38013.824730586261</v>
      </c>
      <c r="H31" s="173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146733.36346006297</v>
      </c>
      <c r="I31" s="173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47639.647415040585</v>
      </c>
      <c r="J31" s="76">
        <f t="shared" si="2"/>
        <v>47639.647415040585</v>
      </c>
      <c r="L31" t="s">
        <v>25</v>
      </c>
      <c r="M31" t="s">
        <v>4</v>
      </c>
      <c r="N31">
        <v>2019</v>
      </c>
      <c r="O31" t="s">
        <v>8</v>
      </c>
      <c r="P31" s="76">
        <f>'Landbrugsareal - resultat'!F52</f>
        <v>214987</v>
      </c>
    </row>
    <row r="32" spans="1:16" x14ac:dyDescent="0.25">
      <c r="A32" t="s">
        <v>24</v>
      </c>
      <c r="B32" s="1" t="str">
        <f>[1]Afgrødefordeling!$C$4</f>
        <v>Raps</v>
      </c>
      <c r="C32">
        <v>2050</v>
      </c>
      <c r="D32" t="s">
        <v>7</v>
      </c>
      <c r="E32" s="173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63925.611832109302</v>
      </c>
      <c r="H32" s="173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281272.69206128095</v>
      </c>
      <c r="I32" s="173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164291.3794329942</v>
      </c>
      <c r="J32" s="76">
        <f t="shared" si="2"/>
        <v>164291.3794329942</v>
      </c>
      <c r="L32" t="s">
        <v>25</v>
      </c>
      <c r="M32" t="s">
        <v>23</v>
      </c>
      <c r="N32">
        <v>2030</v>
      </c>
      <c r="O32" t="s">
        <v>8</v>
      </c>
      <c r="P32" s="76">
        <f>'Landbrugsareal - resultat'!G50</f>
        <v>23819.009547433063</v>
      </c>
    </row>
    <row r="33" spans="1:16" x14ac:dyDescent="0.25">
      <c r="A33" t="s">
        <v>24</v>
      </c>
      <c r="B33" s="1" t="str">
        <f>[1]Afgrødefordeling!$C$5</f>
        <v>Græs</v>
      </c>
      <c r="C33">
        <v>2050</v>
      </c>
      <c r="D33" t="s">
        <v>7</v>
      </c>
      <c r="E33" s="173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136676.5701338283</v>
      </c>
      <c r="H33" s="173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6781891.4100405611</v>
      </c>
      <c r="I33" s="173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6781891.4100405611</v>
      </c>
      <c r="L33" t="s">
        <v>25</v>
      </c>
      <c r="M33" t="s">
        <v>3</v>
      </c>
      <c r="N33">
        <v>2030</v>
      </c>
      <c r="O33" t="s">
        <v>8</v>
      </c>
      <c r="P33" s="76">
        <f>'Landbrugsareal - resultat'!G51</f>
        <v>18887.857465363868</v>
      </c>
    </row>
    <row r="34" spans="1:16" x14ac:dyDescent="0.25">
      <c r="A34" t="s">
        <v>24</v>
      </c>
      <c r="B34" s="1" t="str">
        <f>[1]Afgrødefordeling!$C$6</f>
        <v>Grøntsager</v>
      </c>
      <c r="C34">
        <v>2050</v>
      </c>
      <c r="D34" t="s">
        <v>7</v>
      </c>
      <c r="E34" s="173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4716.7124026216434</v>
      </c>
      <c r="H34" s="173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97871.782354399096</v>
      </c>
      <c r="I34" s="173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97871.782354399096</v>
      </c>
      <c r="L34" t="s">
        <v>25</v>
      </c>
      <c r="M34" t="s">
        <v>4</v>
      </c>
      <c r="N34">
        <v>2030</v>
      </c>
      <c r="O34" t="s">
        <v>8</v>
      </c>
      <c r="P34" s="76">
        <f>'Landbrugsareal - resultat'!G52</f>
        <v>247712.41024023574</v>
      </c>
    </row>
    <row r="35" spans="1:16" x14ac:dyDescent="0.25">
      <c r="A35" t="s">
        <v>24</v>
      </c>
      <c r="B35" s="1" t="str">
        <f>[1]Afgrødefordeling!$C$7</f>
        <v>Kartofler</v>
      </c>
      <c r="C35">
        <v>2050</v>
      </c>
      <c r="D35" t="s">
        <v>7</v>
      </c>
      <c r="E35" s="173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-3595.9466773249751</v>
      </c>
      <c r="H35" s="173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-152723.08983538399</v>
      </c>
      <c r="I35" s="173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-152723.08983538399</v>
      </c>
      <c r="L35" t="s">
        <v>25</v>
      </c>
      <c r="M35" t="s">
        <v>23</v>
      </c>
      <c r="N35">
        <v>2050</v>
      </c>
      <c r="O35" t="s">
        <v>8</v>
      </c>
      <c r="P35" s="76">
        <f>'Landbrugsareal - resultat'!H50</f>
        <v>39298.597379684077</v>
      </c>
    </row>
    <row r="36" spans="1:16" x14ac:dyDescent="0.25">
      <c r="A36" t="s">
        <v>24</v>
      </c>
      <c r="B36" s="1" t="str">
        <f>[1]Afgrødefordeling!$C$8</f>
        <v>Roer</v>
      </c>
      <c r="C36">
        <v>2050</v>
      </c>
      <c r="D36" t="s">
        <v>7</v>
      </c>
      <c r="E36" s="173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2742.955784396403</v>
      </c>
      <c r="H36" s="173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222875.392391851</v>
      </c>
      <c r="I36" s="173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222875.392391851</v>
      </c>
      <c r="L36" t="s">
        <v>25</v>
      </c>
      <c r="M36" t="s">
        <v>3</v>
      </c>
      <c r="N36">
        <v>2050</v>
      </c>
      <c r="O36" t="s">
        <v>8</v>
      </c>
      <c r="P36" s="76">
        <f>'Landbrugsareal - resultat'!H51</f>
        <v>23278.89578369075</v>
      </c>
    </row>
    <row r="37" spans="1:16" x14ac:dyDescent="0.25">
      <c r="A37" t="s">
        <v>24</v>
      </c>
      <c r="B37" s="1" t="str">
        <f>[1]Afgrødefordeling!$C$9</f>
        <v>Majs</v>
      </c>
      <c r="C37">
        <v>2050</v>
      </c>
      <c r="D37" t="s">
        <v>7</v>
      </c>
      <c r="E37" s="173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99213.772063429395</v>
      </c>
      <c r="H37" s="173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4416004.9945432423</v>
      </c>
      <c r="I37" s="173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4416004.9945432423</v>
      </c>
      <c r="L37" t="s">
        <v>25</v>
      </c>
      <c r="M37" t="s">
        <v>4</v>
      </c>
      <c r="N37">
        <v>2050</v>
      </c>
      <c r="O37" t="s">
        <v>8</v>
      </c>
      <c r="P37" s="76">
        <f>'Landbrugsareal - resultat'!H52</f>
        <v>308220.6859761966</v>
      </c>
    </row>
    <row r="38" spans="1:16" x14ac:dyDescent="0.25">
      <c r="A38" t="s">
        <v>24</v>
      </c>
      <c r="B38" s="1" t="str">
        <f>[1]Afgrødefordeling!$C$10</f>
        <v>Frugt</v>
      </c>
      <c r="C38">
        <v>2050</v>
      </c>
      <c r="D38" t="s">
        <v>7</v>
      </c>
      <c r="E38" s="173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1726.0161284851893</v>
      </c>
      <c r="H38" s="173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14653.876930839258</v>
      </c>
      <c r="I38" s="173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14653.876930839258</v>
      </c>
    </row>
    <row r="39" spans="1:16" x14ac:dyDescent="0.25">
      <c r="A39" t="s">
        <v>24</v>
      </c>
      <c r="B39" s="1" t="str">
        <f>[1]Afgrødefordeling!$C$11</f>
        <v>Øvrige</v>
      </c>
      <c r="C39">
        <v>2050</v>
      </c>
      <c r="D39" t="s">
        <v>7</v>
      </c>
      <c r="E39" s="173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9396.8168381801825</v>
      </c>
      <c r="H39" s="173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279987.02366719057</v>
      </c>
      <c r="I39" s="173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279987.02366719057</v>
      </c>
    </row>
    <row r="40" spans="1:16" x14ac:dyDescent="0.25">
      <c r="A40" t="s">
        <v>24</v>
      </c>
      <c r="B40" s="1" t="str">
        <f>[1]Afgrødefordeling!$C$12</f>
        <v>Frø</v>
      </c>
      <c r="C40">
        <v>2050</v>
      </c>
      <c r="D40" t="s">
        <v>7</v>
      </c>
      <c r="E40" s="173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32110.826203430366</v>
      </c>
      <c r="H40" s="173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458827.12449311727</v>
      </c>
      <c r="I40" s="173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83359.704824105254</v>
      </c>
      <c r="J40" s="76">
        <f t="shared" si="2"/>
        <v>83359.704824105254</v>
      </c>
    </row>
    <row r="41" spans="1:16" x14ac:dyDescent="0.25">
      <c r="A41" t="s">
        <v>24</v>
      </c>
      <c r="B41" s="1" t="str">
        <f>[1]Afgrødefordeling!$C$13</f>
        <v>Juletræer</v>
      </c>
      <c r="C41">
        <v>2050</v>
      </c>
      <c r="D41" t="s">
        <v>7</v>
      </c>
      <c r="E41" s="173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8656.9099086718306</v>
      </c>
      <c r="H41" s="173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432845.49543359154</v>
      </c>
      <c r="I41" s="173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432845.49543359154</v>
      </c>
    </row>
    <row r="42" spans="1:16" x14ac:dyDescent="0.25">
      <c r="A42" t="s">
        <v>24</v>
      </c>
      <c r="B42" s="1" t="str">
        <f>[1]Afgrødefordeling!$C$14</f>
        <v>Pil &amp; poppel</v>
      </c>
      <c r="C42">
        <v>2050</v>
      </c>
      <c r="D42" t="s">
        <v>7</v>
      </c>
      <c r="E42" s="173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3184.28922026384</v>
      </c>
      <c r="H42" s="173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77665.590738142448</v>
      </c>
      <c r="I42" s="173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77665.590738142448</v>
      </c>
    </row>
    <row r="43" spans="1:16" x14ac:dyDescent="0.25">
      <c r="A43" t="s">
        <v>24</v>
      </c>
      <c r="B43" s="1" t="str">
        <f>[1]Afgrødefordeling!$C$15</f>
        <v>Permanent græs</v>
      </c>
      <c r="C43">
        <v>2050</v>
      </c>
      <c r="D43" t="s">
        <v>7</v>
      </c>
      <c r="E43" s="173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76752.616746360844</v>
      </c>
      <c r="H43" s="173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1058418.5849323161</v>
      </c>
      <c r="I43" s="173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1058418.5849323161</v>
      </c>
    </row>
    <row r="44" spans="1:16" x14ac:dyDescent="0.25">
      <c r="A44" t="s">
        <v>24</v>
      </c>
      <c r="B44" s="1" t="str">
        <f>[1]Afgrødefordeling!$C$2</f>
        <v>Korn</v>
      </c>
      <c r="C44">
        <v>2019</v>
      </c>
      <c r="D44" t="s">
        <v>8</v>
      </c>
      <c r="E44" s="173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3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3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25">
      <c r="A45" t="s">
        <v>24</v>
      </c>
      <c r="B45" s="1" t="str">
        <f>[1]Afgrødefordeling!$C$3</f>
        <v>Bælgsæd</v>
      </c>
      <c r="C45">
        <v>2019</v>
      </c>
      <c r="D45" t="s">
        <v>8</v>
      </c>
      <c r="E45" s="173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3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3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25">
      <c r="A46" t="s">
        <v>24</v>
      </c>
      <c r="B46" s="1" t="str">
        <f>[1]Afgrødefordeling!$C$4</f>
        <v>Raps</v>
      </c>
      <c r="C46">
        <v>2019</v>
      </c>
      <c r="D46" t="s">
        <v>8</v>
      </c>
      <c r="E46" s="173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3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3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25">
      <c r="A47" t="s">
        <v>24</v>
      </c>
      <c r="B47" s="1" t="str">
        <f>[1]Afgrødefordeling!$C$5</f>
        <v>Græs</v>
      </c>
      <c r="C47">
        <v>2019</v>
      </c>
      <c r="D47" t="s">
        <v>8</v>
      </c>
      <c r="E47" s="173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3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3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25">
      <c r="A48" t="s">
        <v>24</v>
      </c>
      <c r="B48" s="1" t="str">
        <f>[1]Afgrødefordeling!$C$6</f>
        <v>Grøntsager</v>
      </c>
      <c r="C48">
        <v>2019</v>
      </c>
      <c r="D48" t="s">
        <v>8</v>
      </c>
      <c r="E48" s="173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3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3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25">
      <c r="A49" t="s">
        <v>24</v>
      </c>
      <c r="B49" s="1" t="str">
        <f>[1]Afgrødefordeling!$C$7</f>
        <v>Kartofler</v>
      </c>
      <c r="C49">
        <v>2019</v>
      </c>
      <c r="D49" t="s">
        <v>8</v>
      </c>
      <c r="E49" s="173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3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3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25">
      <c r="A50" t="s">
        <v>24</v>
      </c>
      <c r="B50" s="1" t="str">
        <f>[1]Afgrødefordeling!$C$8</f>
        <v>Roer</v>
      </c>
      <c r="C50">
        <v>2019</v>
      </c>
      <c r="D50" t="s">
        <v>8</v>
      </c>
      <c r="E50" s="173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3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3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25">
      <c r="A51" t="s">
        <v>24</v>
      </c>
      <c r="B51" s="1" t="str">
        <f>[1]Afgrødefordeling!$C$9</f>
        <v>Majs</v>
      </c>
      <c r="C51">
        <v>2019</v>
      </c>
      <c r="D51" t="s">
        <v>8</v>
      </c>
      <c r="E51" s="173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3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3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25">
      <c r="A52" t="s">
        <v>24</v>
      </c>
      <c r="B52" s="1" t="str">
        <f>[1]Afgrødefordeling!$C$10</f>
        <v>Frugt</v>
      </c>
      <c r="C52">
        <v>2019</v>
      </c>
      <c r="D52" t="s">
        <v>8</v>
      </c>
      <c r="E52" s="173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3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3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25">
      <c r="A53" t="s">
        <v>24</v>
      </c>
      <c r="B53" s="1" t="str">
        <f>[1]Afgrødefordeling!$C$11</f>
        <v>Øvrige</v>
      </c>
      <c r="C53">
        <v>2019</v>
      </c>
      <c r="D53" t="s">
        <v>8</v>
      </c>
      <c r="E53" s="173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3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3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25">
      <c r="A54" t="s">
        <v>24</v>
      </c>
      <c r="B54" s="1" t="str">
        <f>[1]Afgrødefordeling!$C$12</f>
        <v>Frø</v>
      </c>
      <c r="C54">
        <v>2019</v>
      </c>
      <c r="D54" t="s">
        <v>8</v>
      </c>
      <c r="E54" s="173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3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3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25">
      <c r="A55" t="s">
        <v>24</v>
      </c>
      <c r="B55" s="1" t="str">
        <f>[1]Afgrødefordeling!$C$13</f>
        <v>Juletræer</v>
      </c>
      <c r="C55">
        <v>2019</v>
      </c>
      <c r="D55" t="s">
        <v>8</v>
      </c>
      <c r="E55" s="173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3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3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25">
      <c r="A56" t="s">
        <v>24</v>
      </c>
      <c r="B56" s="1" t="str">
        <f>[1]Afgrødefordeling!$C$14</f>
        <v>Pil &amp; poppel</v>
      </c>
      <c r="C56">
        <v>2019</v>
      </c>
      <c r="D56" t="s">
        <v>8</v>
      </c>
      <c r="E56" s="173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3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3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25">
      <c r="A57" t="s">
        <v>24</v>
      </c>
      <c r="B57" s="1" t="str">
        <f>[1]Afgrødefordeling!$C$15</f>
        <v>Permanent græs</v>
      </c>
      <c r="C57">
        <v>2019</v>
      </c>
      <c r="D57" t="s">
        <v>8</v>
      </c>
      <c r="E57" s="173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3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3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25">
      <c r="A58" t="s">
        <v>24</v>
      </c>
      <c r="B58" s="1" t="str">
        <f>[1]Afgrødefordeling!$C$2</f>
        <v>Korn</v>
      </c>
      <c r="C58">
        <v>2030</v>
      </c>
      <c r="D58" t="s">
        <v>8</v>
      </c>
      <c r="E58" s="173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97325.112634913778</v>
      </c>
      <c r="H58" s="173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457106.85651239962</v>
      </c>
      <c r="I58" s="173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158714.35718395282</v>
      </c>
      <c r="J58" s="76">
        <f t="shared" si="2"/>
        <v>158714.35718395282</v>
      </c>
    </row>
    <row r="59" spans="1:10" x14ac:dyDescent="0.25">
      <c r="A59" t="s">
        <v>24</v>
      </c>
      <c r="B59" s="1" t="str">
        <f>[1]Afgrødefordeling!$C$3</f>
        <v>Bælgsæd</v>
      </c>
      <c r="C59">
        <v>2030</v>
      </c>
      <c r="D59" t="s">
        <v>8</v>
      </c>
      <c r="E59" s="173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6387.072761188886</v>
      </c>
      <c r="H59" s="173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14052.837489167789</v>
      </c>
      <c r="I59" s="173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4438.0764841052705</v>
      </c>
      <c r="J59" s="76">
        <f t="shared" si="2"/>
        <v>4438.0764841052705</v>
      </c>
    </row>
    <row r="60" spans="1:10" x14ac:dyDescent="0.25">
      <c r="A60" t="s">
        <v>24</v>
      </c>
      <c r="B60" s="1" t="str">
        <f>[1]Afgrødefordeling!$C$4</f>
        <v>Raps</v>
      </c>
      <c r="C60">
        <v>2030</v>
      </c>
      <c r="D60" t="s">
        <v>8</v>
      </c>
      <c r="E60" s="173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10740.764365830293</v>
      </c>
      <c r="H60" s="173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25992.649765309314</v>
      </c>
      <c r="I60" s="173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14768.243817155791</v>
      </c>
      <c r="J60" s="76">
        <f t="shared" si="2"/>
        <v>14768.243817155791</v>
      </c>
    </row>
    <row r="61" spans="1:10" x14ac:dyDescent="0.25">
      <c r="A61" t="s">
        <v>24</v>
      </c>
      <c r="B61" s="1" t="str">
        <f>[1]Afgrødefordeling!$C$5</f>
        <v>Græs</v>
      </c>
      <c r="C61">
        <v>2030</v>
      </c>
      <c r="D61" t="s">
        <v>8</v>
      </c>
      <c r="E61" s="173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21810.563937963179</v>
      </c>
      <c r="H61" s="173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844147.34242935188</v>
      </c>
      <c r="I61" s="173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844147.34242935188</v>
      </c>
    </row>
    <row r="62" spans="1:10" x14ac:dyDescent="0.25">
      <c r="A62" t="s">
        <v>24</v>
      </c>
      <c r="B62" s="1" t="str">
        <f>[1]Afgrødefordeling!$C$6</f>
        <v>Grøntsager</v>
      </c>
      <c r="C62">
        <v>2030</v>
      </c>
      <c r="D62" t="s">
        <v>8</v>
      </c>
      <c r="E62" s="173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792.50076840878489</v>
      </c>
      <c r="H62" s="173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9373.3028383549026</v>
      </c>
      <c r="I62" s="173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9373.3028383549026</v>
      </c>
    </row>
    <row r="63" spans="1:10" x14ac:dyDescent="0.25">
      <c r="A63" t="s">
        <v>24</v>
      </c>
      <c r="B63" s="1" t="str">
        <f>[1]Afgrødefordeling!$C$7</f>
        <v>Kartofler</v>
      </c>
      <c r="C63">
        <v>2030</v>
      </c>
      <c r="D63" t="s">
        <v>8</v>
      </c>
      <c r="E63" s="173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-604.19000814064668</v>
      </c>
      <c r="H63" s="173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-14626.481065326101</v>
      </c>
      <c r="I63" s="173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-14626.481065326101</v>
      </c>
    </row>
    <row r="64" spans="1:10" x14ac:dyDescent="0.25">
      <c r="A64" t="s">
        <v>24</v>
      </c>
      <c r="B64" s="1" t="str">
        <f>[1]Afgrødefordeling!$C$8</f>
        <v>Roer</v>
      </c>
      <c r="C64">
        <v>2030</v>
      </c>
      <c r="D64" t="s">
        <v>8</v>
      </c>
      <c r="E64" s="173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460.87070427216048</v>
      </c>
      <c r="H64" s="173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21345.054701684414</v>
      </c>
      <c r="I64" s="173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21345.054701684414</v>
      </c>
    </row>
    <row r="65" spans="1:10" x14ac:dyDescent="0.25">
      <c r="A65" t="s">
        <v>24</v>
      </c>
      <c r="B65" s="1" t="str">
        <f>[1]Afgrødefordeling!$C$9</f>
        <v>Majs</v>
      </c>
      <c r="C65">
        <v>2030</v>
      </c>
      <c r="D65" t="s">
        <v>8</v>
      </c>
      <c r="E65" s="173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15782.335415551994</v>
      </c>
      <c r="H65" s="173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583051.55195736198</v>
      </c>
      <c r="I65" s="173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583051.55195736198</v>
      </c>
    </row>
    <row r="66" spans="1:10" x14ac:dyDescent="0.25">
      <c r="A66" t="s">
        <v>24</v>
      </c>
      <c r="B66" s="1" t="str">
        <f>[1]Afgrødefordeling!$C$10</f>
        <v>Frugt</v>
      </c>
      <c r="C66">
        <v>2030</v>
      </c>
      <c r="D66" t="s">
        <v>8</v>
      </c>
      <c r="E66" s="173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290.00477267814318</v>
      </c>
      <c r="H66" s="173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1403.4200964213383</v>
      </c>
      <c r="I66" s="173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1403.4200964213383</v>
      </c>
    </row>
    <row r="67" spans="1:10" x14ac:dyDescent="0.25">
      <c r="A67" t="s">
        <v>24</v>
      </c>
      <c r="B67" s="1" t="str">
        <f>[1]Afgrødefordeling!$C$11</f>
        <v>Øvrige</v>
      </c>
      <c r="C67">
        <v>2030</v>
      </c>
      <c r="D67" t="s">
        <v>8</v>
      </c>
      <c r="E67" s="173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1578.8506758892527</v>
      </c>
      <c r="H67" s="173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26814.706961595024</v>
      </c>
      <c r="I67" s="173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26814.706961595024</v>
      </c>
    </row>
    <row r="68" spans="1:10" x14ac:dyDescent="0.25">
      <c r="A68" t="s">
        <v>24</v>
      </c>
      <c r="B68" s="1" t="str">
        <f>[1]Afgrødefordeling!$C$12</f>
        <v>Frø</v>
      </c>
      <c r="C68">
        <v>2030</v>
      </c>
      <c r="D68" t="s">
        <v>8</v>
      </c>
      <c r="E68" s="173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5395.2525123887299</v>
      </c>
      <c r="H68" s="173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43942.446789743641</v>
      </c>
      <c r="I68" s="173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7765.7322372418921</v>
      </c>
      <c r="J68" s="76">
        <f t="shared" si="2"/>
        <v>7765.7322372418921</v>
      </c>
    </row>
    <row r="69" spans="1:10" x14ac:dyDescent="0.25">
      <c r="A69" t="s">
        <v>24</v>
      </c>
      <c r="B69" s="1" t="str">
        <f>[1]Afgrødefordeling!$C$13</f>
        <v>Juletræer</v>
      </c>
      <c r="C69">
        <v>2030</v>
      </c>
      <c r="D69" t="s">
        <v>8</v>
      </c>
      <c r="E69" s="173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1454.5317095981484</v>
      </c>
      <c r="H69" s="173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41454.153723547235</v>
      </c>
      <c r="I69" s="173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41454.153723547235</v>
      </c>
    </row>
    <row r="70" spans="1:10" x14ac:dyDescent="0.25">
      <c r="A70" t="s">
        <v>24</v>
      </c>
      <c r="B70" s="1" t="str">
        <f>[1]Afgrødefordeling!$C$14</f>
        <v>Pil &amp; poppel</v>
      </c>
      <c r="C70">
        <v>2030</v>
      </c>
      <c r="D70" t="s">
        <v>8</v>
      </c>
      <c r="E70" s="173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535.02343125526659</v>
      </c>
      <c r="H70" s="173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7438.1306296463881</v>
      </c>
      <c r="I70" s="173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7438.1306296463881</v>
      </c>
    </row>
    <row r="71" spans="1:10" x14ac:dyDescent="0.25">
      <c r="A71" t="s">
        <v>24</v>
      </c>
      <c r="B71" s="1" t="str">
        <f>[1]Afgrødefordeling!$C$15</f>
        <v>Permanent græs</v>
      </c>
      <c r="C71">
        <v>2030</v>
      </c>
      <c r="D71" t="s">
        <v>8</v>
      </c>
      <c r="E71" s="173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15558.563186613987</v>
      </c>
      <c r="H71" s="173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214552.5863434069</v>
      </c>
      <c r="I71" s="173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214552.5863434069</v>
      </c>
    </row>
    <row r="72" spans="1:10" x14ac:dyDescent="0.25">
      <c r="A72" t="s">
        <v>24</v>
      </c>
      <c r="B72" s="1" t="str">
        <f>[1]Afgrødefordeling!$C$2</f>
        <v>Korn</v>
      </c>
      <c r="C72">
        <v>2050</v>
      </c>
      <c r="D72" t="s">
        <v>8</v>
      </c>
      <c r="E72" s="173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123655.15599035678</v>
      </c>
      <c r="H72" s="173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580771.17113990872</v>
      </c>
      <c r="I72" s="173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207306.26953839045</v>
      </c>
      <c r="J72" s="76">
        <f t="shared" ref="J72:J139" si="15">IF(I72&lt;&gt;0,I72,H72)</f>
        <v>207306.26953839045</v>
      </c>
    </row>
    <row r="73" spans="1:10" x14ac:dyDescent="0.25">
      <c r="A73" t="s">
        <v>24</v>
      </c>
      <c r="B73" s="1" t="str">
        <f>[1]Afgrødefordeling!$C$3</f>
        <v>Bælgsæd</v>
      </c>
      <c r="C73">
        <v>2050</v>
      </c>
      <c r="D73" t="s">
        <v>8</v>
      </c>
      <c r="E73" s="173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8063.5385792152683</v>
      </c>
      <c r="H73" s="173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17741.397581989437</v>
      </c>
      <c r="I73" s="173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5760.06646018218</v>
      </c>
      <c r="J73" s="76">
        <f t="shared" si="15"/>
        <v>5760.06646018218</v>
      </c>
    </row>
    <row r="74" spans="1:10" x14ac:dyDescent="0.25">
      <c r="A74" t="s">
        <v>24</v>
      </c>
      <c r="B74" s="1" t="str">
        <f>[1]Afgrødefordeling!$C$4</f>
        <v>Raps</v>
      </c>
      <c r="C74">
        <v>2050</v>
      </c>
      <c r="D74" t="s">
        <v>8</v>
      </c>
      <c r="E74" s="173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13559.978267417126</v>
      </c>
      <c r="H74" s="173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32815.147407149452</v>
      </c>
      <c r="I74" s="173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19167.327600515993</v>
      </c>
      <c r="J74" s="76">
        <f t="shared" si="15"/>
        <v>19167.327600515993</v>
      </c>
    </row>
    <row r="75" spans="1:10" x14ac:dyDescent="0.25">
      <c r="A75" t="s">
        <v>24</v>
      </c>
      <c r="B75" s="1" t="str">
        <f>[1]Afgrødefordeling!$C$5</f>
        <v>Græs</v>
      </c>
      <c r="C75">
        <v>2050</v>
      </c>
      <c r="D75" t="s">
        <v>8</v>
      </c>
      <c r="E75" s="173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28991.999725357517</v>
      </c>
      <c r="H75" s="173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1122094.7605703471</v>
      </c>
      <c r="I75" s="173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1122094.7605703471</v>
      </c>
    </row>
    <row r="76" spans="1:10" x14ac:dyDescent="0.25">
      <c r="A76" t="s">
        <v>24</v>
      </c>
      <c r="B76" s="1" t="str">
        <f>[1]Afgrødefordeling!$C$6</f>
        <v>Grøntsager</v>
      </c>
      <c r="C76">
        <v>2050</v>
      </c>
      <c r="D76" t="s">
        <v>8</v>
      </c>
      <c r="E76" s="173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1000.5147520712576</v>
      </c>
      <c r="H76" s="173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11833.588230122798</v>
      </c>
      <c r="I76" s="173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11833.588230122798</v>
      </c>
    </row>
    <row r="77" spans="1:10" x14ac:dyDescent="0.25">
      <c r="A77" t="s">
        <v>24</v>
      </c>
      <c r="B77" s="1" t="str">
        <f>[1]Afgrødefordeling!$C$7</f>
        <v>Kartofler</v>
      </c>
      <c r="C77">
        <v>2050</v>
      </c>
      <c r="D77" t="s">
        <v>8</v>
      </c>
      <c r="E77" s="173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-762.77656791741902</v>
      </c>
      <c r="H77" s="173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-18465.609952823699</v>
      </c>
      <c r="I77" s="173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-18465.609952823699</v>
      </c>
    </row>
    <row r="78" spans="1:10" x14ac:dyDescent="0.25">
      <c r="A78" t="s">
        <v>24</v>
      </c>
      <c r="B78" s="1" t="str">
        <f>[1]Afgrødefordeling!$C$8</f>
        <v>Roer</v>
      </c>
      <c r="C78">
        <v>2050</v>
      </c>
      <c r="D78" t="s">
        <v>8</v>
      </c>
      <c r="E78" s="173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581.8391057810552</v>
      </c>
      <c r="H78" s="173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26947.661080105616</v>
      </c>
      <c r="I78" s="173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26947.661080105616</v>
      </c>
    </row>
    <row r="79" spans="1:10" x14ac:dyDescent="0.25">
      <c r="A79" t="s">
        <v>24</v>
      </c>
      <c r="B79" s="1" t="str">
        <f>[1]Afgrødefordeling!$C$9</f>
        <v>Majs</v>
      </c>
      <c r="C79">
        <v>2050</v>
      </c>
      <c r="D79" t="s">
        <v>8</v>
      </c>
      <c r="E79" s="173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21045.345589212295</v>
      </c>
      <c r="H79" s="173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777484.5157059466</v>
      </c>
      <c r="I79" s="173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777484.5157059466</v>
      </c>
    </row>
    <row r="80" spans="1:10" x14ac:dyDescent="0.25">
      <c r="A80" t="s">
        <v>24</v>
      </c>
      <c r="B80" s="1" t="str">
        <f>[1]Afgrødefordeling!$C$10</f>
        <v>Frugt</v>
      </c>
      <c r="C80">
        <v>2050</v>
      </c>
      <c r="D80" t="s">
        <v>8</v>
      </c>
      <c r="E80" s="173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366.12463331504017</v>
      </c>
      <c r="H80" s="173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1771.7869380014738</v>
      </c>
      <c r="I80" s="173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1771.7869380014738</v>
      </c>
    </row>
    <row r="81" spans="1:10" x14ac:dyDescent="0.25">
      <c r="A81" t="s">
        <v>24</v>
      </c>
      <c r="B81" s="1" t="str">
        <f>[1]Afgrødefordeling!$C$11</f>
        <v>Øvrige</v>
      </c>
      <c r="C81">
        <v>2050</v>
      </c>
      <c r="D81" t="s">
        <v>8</v>
      </c>
      <c r="E81" s="173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1993.2641777957963</v>
      </c>
      <c r="H81" s="173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33852.976497942131</v>
      </c>
      <c r="I81" s="173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33852.976497942131</v>
      </c>
    </row>
    <row r="82" spans="1:10" x14ac:dyDescent="0.25">
      <c r="A82" t="s">
        <v>24</v>
      </c>
      <c r="B82" s="1" t="str">
        <f>[1]Afgrødefordeling!$C$12</f>
        <v>Frø</v>
      </c>
      <c r="C82">
        <v>2050</v>
      </c>
      <c r="D82" t="s">
        <v>8</v>
      </c>
      <c r="E82" s="173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6811.3873764852287</v>
      </c>
      <c r="H82" s="173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55476.37050689508</v>
      </c>
      <c r="I82" s="173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10078.946128732725</v>
      </c>
      <c r="J82" s="76">
        <f t="shared" si="15"/>
        <v>10078.946128732725</v>
      </c>
    </row>
    <row r="83" spans="1:10" x14ac:dyDescent="0.25">
      <c r="A83" t="s">
        <v>24</v>
      </c>
      <c r="B83" s="1" t="str">
        <f>[1]Afgrødefordeling!$C$13</f>
        <v>Juletræer</v>
      </c>
      <c r="C83">
        <v>2050</v>
      </c>
      <c r="D83" t="s">
        <v>8</v>
      </c>
      <c r="E83" s="173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1836.3142230516003</v>
      </c>
      <c r="H83" s="173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52334.955356970604</v>
      </c>
      <c r="I83" s="173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52334.955356970604</v>
      </c>
    </row>
    <row r="84" spans="1:10" x14ac:dyDescent="0.25">
      <c r="A84" t="s">
        <v>24</v>
      </c>
      <c r="B84" s="1" t="str">
        <f>[1]Afgrødefordeling!$C$14</f>
        <v>Pil &amp; poppel</v>
      </c>
      <c r="C84">
        <v>2050</v>
      </c>
      <c r="D84" t="s">
        <v>8</v>
      </c>
      <c r="E84" s="173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675.4552891468752</v>
      </c>
      <c r="H84" s="173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9390.4759710663129</v>
      </c>
      <c r="I84" s="173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9390.4759710663129</v>
      </c>
    </row>
    <row r="85" spans="1:10" x14ac:dyDescent="0.25">
      <c r="A85" t="s">
        <v>24</v>
      </c>
      <c r="B85" s="1" t="str">
        <f>[1]Afgrødefordeling!$C$15</f>
        <v>Permanent græs</v>
      </c>
      <c r="C85">
        <v>2050</v>
      </c>
      <c r="D85" t="s">
        <v>8</v>
      </c>
      <c r="E85" s="173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16280.858097712908</v>
      </c>
      <c r="H85" s="173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224513.03316746105</v>
      </c>
      <c r="I85" s="173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224513.03316746105</v>
      </c>
    </row>
    <row r="86" spans="1:10" x14ac:dyDescent="0.25">
      <c r="A86" t="s">
        <v>24</v>
      </c>
      <c r="B86" s="1" t="str">
        <f>[1]Afgrødefordeling!$C$2</f>
        <v>Korn</v>
      </c>
      <c r="C86">
        <v>2019</v>
      </c>
      <c r="D86" t="s">
        <v>7</v>
      </c>
      <c r="E86" s="173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3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3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25">
      <c r="A87" t="s">
        <v>24</v>
      </c>
      <c r="B87" s="1" t="str">
        <f>[1]Afgrødefordeling!$C$3</f>
        <v>Bælgsæd</v>
      </c>
      <c r="C87">
        <v>2019</v>
      </c>
      <c r="D87" t="s">
        <v>7</v>
      </c>
      <c r="E87" s="173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3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3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25">
      <c r="A88" t="s">
        <v>24</v>
      </c>
      <c r="B88" s="1" t="str">
        <f>[1]Afgrødefordeling!$C$4</f>
        <v>Raps</v>
      </c>
      <c r="C88">
        <v>2019</v>
      </c>
      <c r="D88" t="s">
        <v>7</v>
      </c>
      <c r="E88" s="173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3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3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25">
      <c r="A89" t="s">
        <v>24</v>
      </c>
      <c r="B89" s="1" t="str">
        <f>[1]Afgrødefordeling!$C$5</f>
        <v>Græs</v>
      </c>
      <c r="C89">
        <v>2019</v>
      </c>
      <c r="D89" t="s">
        <v>7</v>
      </c>
      <c r="E89" s="173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3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3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25">
      <c r="A90" t="s">
        <v>24</v>
      </c>
      <c r="B90" s="1" t="str">
        <f>[1]Afgrødefordeling!$C$6</f>
        <v>Grøntsager</v>
      </c>
      <c r="C90">
        <v>2019</v>
      </c>
      <c r="D90" t="s">
        <v>7</v>
      </c>
      <c r="E90" s="173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3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3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25">
      <c r="A91" t="s">
        <v>24</v>
      </c>
      <c r="B91" s="1" t="str">
        <f>[1]Afgrødefordeling!$C$7</f>
        <v>Kartofler</v>
      </c>
      <c r="C91">
        <v>2019</v>
      </c>
      <c r="D91" t="s">
        <v>7</v>
      </c>
      <c r="E91" s="173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3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3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25">
      <c r="A92" t="s">
        <v>24</v>
      </c>
      <c r="B92" s="1" t="str">
        <f>[1]Afgrødefordeling!$C$8</f>
        <v>Roer</v>
      </c>
      <c r="C92">
        <v>2019</v>
      </c>
      <c r="D92" t="s">
        <v>7</v>
      </c>
      <c r="E92" s="173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3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3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25">
      <c r="A93" t="s">
        <v>24</v>
      </c>
      <c r="B93" s="1" t="str">
        <f>[1]Afgrødefordeling!$C$9</f>
        <v>Majs</v>
      </c>
      <c r="C93">
        <v>2019</v>
      </c>
      <c r="D93" t="s">
        <v>7</v>
      </c>
      <c r="E93" s="173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3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3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25">
      <c r="A94" t="s">
        <v>24</v>
      </c>
      <c r="B94" s="1" t="str">
        <f>[1]Afgrødefordeling!$C$10</f>
        <v>Frugt</v>
      </c>
      <c r="C94">
        <v>2019</v>
      </c>
      <c r="D94" t="s">
        <v>7</v>
      </c>
      <c r="E94" s="173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3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3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25">
      <c r="A95" t="s">
        <v>24</v>
      </c>
      <c r="B95" s="1" t="str">
        <f>[1]Afgrødefordeling!$C$11</f>
        <v>Øvrige</v>
      </c>
      <c r="C95">
        <v>2019</v>
      </c>
      <c r="D95" t="s">
        <v>7</v>
      </c>
      <c r="E95" s="173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3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3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25">
      <c r="A96" t="s">
        <v>24</v>
      </c>
      <c r="B96" s="1" t="str">
        <f>[1]Afgrødefordeling!$C$12</f>
        <v>Frø</v>
      </c>
      <c r="C96">
        <v>2019</v>
      </c>
      <c r="D96" t="s">
        <v>7</v>
      </c>
      <c r="E96" s="173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3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3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25">
      <c r="A97" t="s">
        <v>24</v>
      </c>
      <c r="B97" s="1" t="str">
        <f>[1]Afgrødefordeling!$C$13</f>
        <v>Juletræer</v>
      </c>
      <c r="C97">
        <v>2019</v>
      </c>
      <c r="D97" t="s">
        <v>7</v>
      </c>
      <c r="E97" s="173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3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3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25">
      <c r="A98" t="s">
        <v>24</v>
      </c>
      <c r="B98" s="1" t="str">
        <f>[1]Afgrødefordeling!$C$14</f>
        <v>Pil &amp; poppel</v>
      </c>
      <c r="C98">
        <v>2019</v>
      </c>
      <c r="D98" t="s">
        <v>7</v>
      </c>
      <c r="E98" s="173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3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3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25">
      <c r="A99" t="s">
        <v>24</v>
      </c>
      <c r="B99" s="1" t="str">
        <f>[1]Afgrødefordeling!$C$15</f>
        <v>Permanent græs</v>
      </c>
      <c r="C99">
        <v>2019</v>
      </c>
      <c r="D99" t="s">
        <v>7</v>
      </c>
      <c r="E99" s="173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3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3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25">
      <c r="A100" t="s">
        <v>24</v>
      </c>
      <c r="B100" s="1" t="str">
        <f>[1]Afgrødefordeling!$C$2</f>
        <v>Korn</v>
      </c>
      <c r="C100">
        <v>2030</v>
      </c>
      <c r="D100" t="s">
        <v>7</v>
      </c>
      <c r="E100" s="173" t="str">
        <f t="shared" si="18"/>
        <v>OC6</v>
      </c>
      <c r="F100" t="str">
        <f t="shared" si="14"/>
        <v>Korn</v>
      </c>
      <c r="G100" s="76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0</v>
      </c>
      <c r="H100" s="173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0</v>
      </c>
      <c r="I100" s="173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0</v>
      </c>
      <c r="J100" s="76">
        <f t="shared" si="15"/>
        <v>0</v>
      </c>
    </row>
    <row r="101" spans="1:10" x14ac:dyDescent="0.25">
      <c r="A101" t="s">
        <v>24</v>
      </c>
      <c r="B101" s="1" t="str">
        <f>[1]Afgrødefordeling!$C$3</f>
        <v>Bælgsæd</v>
      </c>
      <c r="C101">
        <v>2030</v>
      </c>
      <c r="D101" t="s">
        <v>7</v>
      </c>
      <c r="E101" s="173" t="str">
        <f t="shared" si="18"/>
        <v>OC6</v>
      </c>
      <c r="F101" t="str">
        <f t="shared" si="14"/>
        <v>Bælgsæd</v>
      </c>
      <c r="G101" s="76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0</v>
      </c>
      <c r="H101" s="173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0</v>
      </c>
      <c r="I101" s="173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0</v>
      </c>
      <c r="J101" s="76">
        <f t="shared" si="15"/>
        <v>0</v>
      </c>
    </row>
    <row r="102" spans="1:10" x14ac:dyDescent="0.25">
      <c r="A102" t="s">
        <v>24</v>
      </c>
      <c r="B102" s="1" t="str">
        <f>[1]Afgrødefordeling!$C$4</f>
        <v>Raps</v>
      </c>
      <c r="C102">
        <v>2030</v>
      </c>
      <c r="D102" t="s">
        <v>7</v>
      </c>
      <c r="E102" s="173" t="str">
        <f t="shared" si="18"/>
        <v>OC6</v>
      </c>
      <c r="F102" t="str">
        <f t="shared" si="14"/>
        <v>Raps</v>
      </c>
      <c r="G102" s="76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0</v>
      </c>
      <c r="H102" s="173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0</v>
      </c>
      <c r="I102" s="173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0</v>
      </c>
      <c r="J102" s="76">
        <f t="shared" si="15"/>
        <v>0</v>
      </c>
    </row>
    <row r="103" spans="1:10" x14ac:dyDescent="0.25">
      <c r="A103" t="s">
        <v>24</v>
      </c>
      <c r="B103" s="1" t="str">
        <f>[1]Afgrødefordeling!$C$5</f>
        <v>Græs</v>
      </c>
      <c r="C103">
        <v>2030</v>
      </c>
      <c r="D103" t="s">
        <v>7</v>
      </c>
      <c r="E103" s="173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0</v>
      </c>
      <c r="H103" s="173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0</v>
      </c>
      <c r="I103" s="173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0</v>
      </c>
    </row>
    <row r="104" spans="1:10" x14ac:dyDescent="0.25">
      <c r="A104" t="s">
        <v>24</v>
      </c>
      <c r="B104" s="1" t="str">
        <f>[1]Afgrødefordeling!$C$6</f>
        <v>Grøntsager</v>
      </c>
      <c r="C104">
        <v>2030</v>
      </c>
      <c r="D104" t="s">
        <v>7</v>
      </c>
      <c r="E104" s="173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0</v>
      </c>
      <c r="H104" s="173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0</v>
      </c>
      <c r="I104" s="173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0</v>
      </c>
    </row>
    <row r="105" spans="1:10" x14ac:dyDescent="0.25">
      <c r="A105" t="s">
        <v>24</v>
      </c>
      <c r="B105" s="1" t="str">
        <f>[1]Afgrødefordeling!$C$7</f>
        <v>Kartofler</v>
      </c>
      <c r="C105">
        <v>2030</v>
      </c>
      <c r="D105" t="s">
        <v>7</v>
      </c>
      <c r="E105" s="173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0</v>
      </c>
      <c r="H105" s="173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0</v>
      </c>
      <c r="I105" s="173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0</v>
      </c>
    </row>
    <row r="106" spans="1:10" x14ac:dyDescent="0.25">
      <c r="A106" t="s">
        <v>24</v>
      </c>
      <c r="B106" s="1" t="str">
        <f>[1]Afgrødefordeling!$C$8</f>
        <v>Roer</v>
      </c>
      <c r="C106">
        <v>2030</v>
      </c>
      <c r="D106" t="s">
        <v>7</v>
      </c>
      <c r="E106" s="173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0</v>
      </c>
      <c r="H106" s="173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0</v>
      </c>
      <c r="I106" s="173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0</v>
      </c>
    </row>
    <row r="107" spans="1:10" x14ac:dyDescent="0.25">
      <c r="A107" t="s">
        <v>24</v>
      </c>
      <c r="B107" s="1" t="str">
        <f>[1]Afgrødefordeling!$C$9</f>
        <v>Majs</v>
      </c>
      <c r="C107">
        <v>2030</v>
      </c>
      <c r="D107" t="s">
        <v>7</v>
      </c>
      <c r="E107" s="173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0</v>
      </c>
      <c r="H107" s="173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0</v>
      </c>
      <c r="I107" s="173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0</v>
      </c>
    </row>
    <row r="108" spans="1:10" x14ac:dyDescent="0.25">
      <c r="A108" t="s">
        <v>24</v>
      </c>
      <c r="B108" s="1" t="str">
        <f>[1]Afgrødefordeling!$C$10</f>
        <v>Frugt</v>
      </c>
      <c r="C108">
        <v>2030</v>
      </c>
      <c r="D108" t="s">
        <v>7</v>
      </c>
      <c r="E108" s="173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0</v>
      </c>
      <c r="H108" s="173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0</v>
      </c>
      <c r="I108" s="173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0</v>
      </c>
    </row>
    <row r="109" spans="1:10" x14ac:dyDescent="0.25">
      <c r="A109" t="s">
        <v>24</v>
      </c>
      <c r="B109" s="1" t="str">
        <f>[1]Afgrødefordeling!$C$11</f>
        <v>Øvrige</v>
      </c>
      <c r="C109">
        <v>2030</v>
      </c>
      <c r="D109" t="s">
        <v>7</v>
      </c>
      <c r="E109" s="173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0</v>
      </c>
      <c r="H109" s="173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0</v>
      </c>
      <c r="I109" s="173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0</v>
      </c>
    </row>
    <row r="110" spans="1:10" x14ac:dyDescent="0.25">
      <c r="A110" t="s">
        <v>24</v>
      </c>
      <c r="B110" s="1" t="str">
        <f>[1]Afgrødefordeling!$C$12</f>
        <v>Frø</v>
      </c>
      <c r="C110">
        <v>2030</v>
      </c>
      <c r="D110" t="s">
        <v>7</v>
      </c>
      <c r="E110" s="173" t="str">
        <f t="shared" si="18"/>
        <v>OC6</v>
      </c>
      <c r="F110" t="str">
        <f t="shared" si="14"/>
        <v>Frø</v>
      </c>
      <c r="G110" s="76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0</v>
      </c>
      <c r="H110" s="173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0</v>
      </c>
      <c r="I110" s="173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0</v>
      </c>
      <c r="J110" s="76">
        <f t="shared" si="15"/>
        <v>0</v>
      </c>
    </row>
    <row r="111" spans="1:10" x14ac:dyDescent="0.25">
      <c r="A111" t="s">
        <v>24</v>
      </c>
      <c r="B111" s="1" t="str">
        <f>[1]Afgrødefordeling!$C$13</f>
        <v>Juletræer</v>
      </c>
      <c r="C111">
        <v>2030</v>
      </c>
      <c r="D111" t="s">
        <v>7</v>
      </c>
      <c r="E111" s="173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0</v>
      </c>
      <c r="H111" s="173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0</v>
      </c>
      <c r="I111" s="173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0</v>
      </c>
    </row>
    <row r="112" spans="1:10" x14ac:dyDescent="0.25">
      <c r="A112" t="s">
        <v>24</v>
      </c>
      <c r="B112" s="1" t="str">
        <f>[1]Afgrødefordeling!$C$14</f>
        <v>Pil &amp; poppel</v>
      </c>
      <c r="C112">
        <v>2030</v>
      </c>
      <c r="D112" t="s">
        <v>7</v>
      </c>
      <c r="E112" s="173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0</v>
      </c>
      <c r="H112" s="173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0</v>
      </c>
      <c r="I112" s="173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0</v>
      </c>
    </row>
    <row r="113" spans="1:10" x14ac:dyDescent="0.25">
      <c r="A113" t="s">
        <v>24</v>
      </c>
      <c r="B113" s="1" t="str">
        <f>[1]Afgrødefordeling!$C$15</f>
        <v>Permanent græs</v>
      </c>
      <c r="C113">
        <v>2030</v>
      </c>
      <c r="D113" t="s">
        <v>7</v>
      </c>
      <c r="E113" s="173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0</v>
      </c>
      <c r="H113" s="173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0</v>
      </c>
      <c r="I113" s="173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0</v>
      </c>
    </row>
    <row r="114" spans="1:10" x14ac:dyDescent="0.25">
      <c r="A114" t="s">
        <v>24</v>
      </c>
      <c r="B114" s="1" t="str">
        <f>[1]Afgrødefordeling!$C$2</f>
        <v>Korn</v>
      </c>
      <c r="C114">
        <v>2050</v>
      </c>
      <c r="D114" t="s">
        <v>7</v>
      </c>
      <c r="E114" s="173" t="str">
        <f t="shared" si="18"/>
        <v>OC6</v>
      </c>
      <c r="F114" t="str">
        <f t="shared" si="14"/>
        <v>Korn</v>
      </c>
      <c r="G114" s="76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0</v>
      </c>
      <c r="H114" s="173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0</v>
      </c>
      <c r="I114" s="173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0</v>
      </c>
      <c r="J114" s="76">
        <f t="shared" si="15"/>
        <v>0</v>
      </c>
    </row>
    <row r="115" spans="1:10" x14ac:dyDescent="0.25">
      <c r="A115" t="s">
        <v>24</v>
      </c>
      <c r="B115" s="1" t="str">
        <f>[1]Afgrødefordeling!$C$3</f>
        <v>Bælgsæd</v>
      </c>
      <c r="C115">
        <v>2050</v>
      </c>
      <c r="D115" t="s">
        <v>7</v>
      </c>
      <c r="E115" s="173" t="str">
        <f t="shared" si="18"/>
        <v>OC6</v>
      </c>
      <c r="F115" t="str">
        <f t="shared" si="14"/>
        <v>Bælgsæd</v>
      </c>
      <c r="G115" s="76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0</v>
      </c>
      <c r="H115" s="173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0</v>
      </c>
      <c r="I115" s="173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0</v>
      </c>
      <c r="J115" s="76">
        <f t="shared" si="15"/>
        <v>0</v>
      </c>
    </row>
    <row r="116" spans="1:10" x14ac:dyDescent="0.25">
      <c r="A116" t="s">
        <v>24</v>
      </c>
      <c r="B116" s="1" t="str">
        <f>[1]Afgrødefordeling!$C$4</f>
        <v>Raps</v>
      </c>
      <c r="C116">
        <v>2050</v>
      </c>
      <c r="D116" t="s">
        <v>7</v>
      </c>
      <c r="E116" s="173" t="str">
        <f t="shared" si="18"/>
        <v>OC6</v>
      </c>
      <c r="F116" t="str">
        <f t="shared" si="14"/>
        <v>Raps</v>
      </c>
      <c r="G116" s="76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0</v>
      </c>
      <c r="H116" s="173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0</v>
      </c>
      <c r="I116" s="173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0</v>
      </c>
      <c r="J116" s="76">
        <f t="shared" si="15"/>
        <v>0</v>
      </c>
    </row>
    <row r="117" spans="1:10" x14ac:dyDescent="0.25">
      <c r="A117" t="s">
        <v>24</v>
      </c>
      <c r="B117" s="1" t="str">
        <f>[1]Afgrødefordeling!$C$5</f>
        <v>Græs</v>
      </c>
      <c r="C117">
        <v>2050</v>
      </c>
      <c r="D117" t="s">
        <v>7</v>
      </c>
      <c r="E117" s="173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0</v>
      </c>
      <c r="H117" s="173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0</v>
      </c>
      <c r="I117" s="173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0</v>
      </c>
    </row>
    <row r="118" spans="1:10" x14ac:dyDescent="0.25">
      <c r="A118" t="s">
        <v>24</v>
      </c>
      <c r="B118" s="1" t="str">
        <f>[1]Afgrødefordeling!$C$6</f>
        <v>Grøntsager</v>
      </c>
      <c r="C118">
        <v>2050</v>
      </c>
      <c r="D118" t="s">
        <v>7</v>
      </c>
      <c r="E118" s="173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0</v>
      </c>
      <c r="H118" s="173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0</v>
      </c>
      <c r="I118" s="173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0</v>
      </c>
    </row>
    <row r="119" spans="1:10" x14ac:dyDescent="0.25">
      <c r="A119" t="s">
        <v>24</v>
      </c>
      <c r="B119" s="1" t="str">
        <f>[1]Afgrødefordeling!$C$7</f>
        <v>Kartofler</v>
      </c>
      <c r="C119">
        <v>2050</v>
      </c>
      <c r="D119" t="s">
        <v>7</v>
      </c>
      <c r="E119" s="173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0</v>
      </c>
      <c r="H119" s="173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0</v>
      </c>
      <c r="I119" s="173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0</v>
      </c>
    </row>
    <row r="120" spans="1:10" x14ac:dyDescent="0.25">
      <c r="A120" t="s">
        <v>24</v>
      </c>
      <c r="B120" s="1" t="str">
        <f>[1]Afgrødefordeling!$C$8</f>
        <v>Roer</v>
      </c>
      <c r="C120">
        <v>2050</v>
      </c>
      <c r="D120" t="s">
        <v>7</v>
      </c>
      <c r="E120" s="173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0</v>
      </c>
      <c r="H120" s="173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0</v>
      </c>
      <c r="I120" s="173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0</v>
      </c>
    </row>
    <row r="121" spans="1:10" x14ac:dyDescent="0.25">
      <c r="A121" t="s">
        <v>24</v>
      </c>
      <c r="B121" s="1" t="str">
        <f>[1]Afgrødefordeling!$C$9</f>
        <v>Majs</v>
      </c>
      <c r="C121">
        <v>2050</v>
      </c>
      <c r="D121" t="s">
        <v>7</v>
      </c>
      <c r="E121" s="173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0</v>
      </c>
      <c r="H121" s="173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0</v>
      </c>
      <c r="I121" s="173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0</v>
      </c>
    </row>
    <row r="122" spans="1:10" x14ac:dyDescent="0.25">
      <c r="A122" t="s">
        <v>24</v>
      </c>
      <c r="B122" s="1" t="str">
        <f>[1]Afgrødefordeling!$C$10</f>
        <v>Frugt</v>
      </c>
      <c r="C122">
        <v>2050</v>
      </c>
      <c r="D122" t="s">
        <v>7</v>
      </c>
      <c r="E122" s="173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0</v>
      </c>
      <c r="H122" s="173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0</v>
      </c>
      <c r="I122" s="173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0</v>
      </c>
    </row>
    <row r="123" spans="1:10" x14ac:dyDescent="0.25">
      <c r="A123" t="s">
        <v>24</v>
      </c>
      <c r="B123" s="1" t="str">
        <f>[1]Afgrødefordeling!$C$11</f>
        <v>Øvrige</v>
      </c>
      <c r="C123">
        <v>2050</v>
      </c>
      <c r="D123" t="s">
        <v>7</v>
      </c>
      <c r="E123" s="173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0</v>
      </c>
      <c r="H123" s="173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0</v>
      </c>
      <c r="I123" s="173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0</v>
      </c>
    </row>
    <row r="124" spans="1:10" x14ac:dyDescent="0.25">
      <c r="A124" t="s">
        <v>24</v>
      </c>
      <c r="B124" s="1" t="str">
        <f>[1]Afgrødefordeling!$C$12</f>
        <v>Frø</v>
      </c>
      <c r="C124">
        <v>2050</v>
      </c>
      <c r="D124" t="s">
        <v>7</v>
      </c>
      <c r="E124" s="173" t="str">
        <f t="shared" si="23"/>
        <v>OC6</v>
      </c>
      <c r="F124" t="str">
        <f t="shared" si="14"/>
        <v>Frø</v>
      </c>
      <c r="G124" s="76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0</v>
      </c>
      <c r="H124" s="173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0</v>
      </c>
      <c r="I124" s="173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0</v>
      </c>
      <c r="J124" s="76">
        <f t="shared" si="15"/>
        <v>0</v>
      </c>
    </row>
    <row r="125" spans="1:10" x14ac:dyDescent="0.25">
      <c r="A125" t="s">
        <v>24</v>
      </c>
      <c r="B125" s="1" t="str">
        <f>[1]Afgrødefordeling!$C$13</f>
        <v>Juletræer</v>
      </c>
      <c r="C125">
        <v>2050</v>
      </c>
      <c r="D125" t="s">
        <v>7</v>
      </c>
      <c r="E125" s="173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0</v>
      </c>
      <c r="H125" s="173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0</v>
      </c>
      <c r="I125" s="173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0</v>
      </c>
    </row>
    <row r="126" spans="1:10" x14ac:dyDescent="0.25">
      <c r="A126" t="s">
        <v>24</v>
      </c>
      <c r="B126" s="1" t="str">
        <f>[1]Afgrødefordeling!$C$14</f>
        <v>Pil &amp; poppel</v>
      </c>
      <c r="C126">
        <v>2050</v>
      </c>
      <c r="D126" t="s">
        <v>7</v>
      </c>
      <c r="E126" s="173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0</v>
      </c>
      <c r="H126" s="173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0</v>
      </c>
      <c r="I126" s="173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0</v>
      </c>
    </row>
    <row r="127" spans="1:10" x14ac:dyDescent="0.25">
      <c r="A127" t="s">
        <v>24</v>
      </c>
      <c r="B127" s="1" t="str">
        <f>[1]Afgrødefordeling!$C$15</f>
        <v>Permanent græs</v>
      </c>
      <c r="C127">
        <v>2050</v>
      </c>
      <c r="D127" t="s">
        <v>7</v>
      </c>
      <c r="E127" s="173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0</v>
      </c>
      <c r="H127" s="173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0</v>
      </c>
      <c r="I127" s="173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0</v>
      </c>
    </row>
    <row r="128" spans="1:10" x14ac:dyDescent="0.25">
      <c r="A128" t="s">
        <v>24</v>
      </c>
      <c r="B128" s="1" t="str">
        <f>[1]Afgrødefordeling!$C$2</f>
        <v>Korn</v>
      </c>
      <c r="C128">
        <v>2019</v>
      </c>
      <c r="D128" t="s">
        <v>8</v>
      </c>
      <c r="E128" s="173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3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3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25">
      <c r="A129" t="s">
        <v>24</v>
      </c>
      <c r="B129" s="1" t="str">
        <f>[1]Afgrødefordeling!$C$3</f>
        <v>Bælgsæd</v>
      </c>
      <c r="C129">
        <v>2019</v>
      </c>
      <c r="D129" t="s">
        <v>8</v>
      </c>
      <c r="E129" s="173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3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3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25">
      <c r="A130" t="s">
        <v>24</v>
      </c>
      <c r="B130" s="1" t="str">
        <f>[1]Afgrødefordeling!$C$4</f>
        <v>Raps</v>
      </c>
      <c r="C130">
        <v>2019</v>
      </c>
      <c r="D130" t="s">
        <v>8</v>
      </c>
      <c r="E130" s="173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3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3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25">
      <c r="A131" t="s">
        <v>24</v>
      </c>
      <c r="B131" s="1" t="str">
        <f>[1]Afgrødefordeling!$C$5</f>
        <v>Græs</v>
      </c>
      <c r="C131">
        <v>2019</v>
      </c>
      <c r="D131" t="s">
        <v>8</v>
      </c>
      <c r="E131" s="173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3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3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25">
      <c r="A132" t="s">
        <v>24</v>
      </c>
      <c r="B132" s="1" t="str">
        <f>[1]Afgrødefordeling!$C$6</f>
        <v>Grøntsager</v>
      </c>
      <c r="C132">
        <v>2019</v>
      </c>
      <c r="D132" t="s">
        <v>8</v>
      </c>
      <c r="E132" s="173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3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3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25">
      <c r="A133" t="s">
        <v>24</v>
      </c>
      <c r="B133" s="1" t="str">
        <f>[1]Afgrødefordeling!$C$7</f>
        <v>Kartofler</v>
      </c>
      <c r="C133">
        <v>2019</v>
      </c>
      <c r="D133" t="s">
        <v>8</v>
      </c>
      <c r="E133" s="173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3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3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25">
      <c r="A134" t="s">
        <v>24</v>
      </c>
      <c r="B134" s="1" t="str">
        <f>[1]Afgrødefordeling!$C$8</f>
        <v>Roer</v>
      </c>
      <c r="C134">
        <v>2019</v>
      </c>
      <c r="D134" t="s">
        <v>8</v>
      </c>
      <c r="E134" s="173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3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3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25">
      <c r="A135" t="s">
        <v>24</v>
      </c>
      <c r="B135" s="1" t="str">
        <f>[1]Afgrødefordeling!$C$9</f>
        <v>Majs</v>
      </c>
      <c r="C135">
        <v>2019</v>
      </c>
      <c r="D135" t="s">
        <v>8</v>
      </c>
      <c r="E135" s="173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3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3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25">
      <c r="A136" t="s">
        <v>24</v>
      </c>
      <c r="B136" s="1" t="str">
        <f>[1]Afgrødefordeling!$C$10</f>
        <v>Frugt</v>
      </c>
      <c r="C136">
        <v>2019</v>
      </c>
      <c r="D136" t="s">
        <v>8</v>
      </c>
      <c r="E136" s="173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3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3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25">
      <c r="A137" t="s">
        <v>24</v>
      </c>
      <c r="B137" s="1" t="str">
        <f>[1]Afgrødefordeling!$C$11</f>
        <v>Øvrige</v>
      </c>
      <c r="C137">
        <v>2019</v>
      </c>
      <c r="D137" t="s">
        <v>8</v>
      </c>
      <c r="E137" s="173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3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3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25">
      <c r="A138" t="s">
        <v>24</v>
      </c>
      <c r="B138" s="1" t="str">
        <f>[1]Afgrødefordeling!$C$12</f>
        <v>Frø</v>
      </c>
      <c r="C138">
        <v>2019</v>
      </c>
      <c r="D138" t="s">
        <v>8</v>
      </c>
      <c r="E138" s="173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3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3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25">
      <c r="A139" t="s">
        <v>24</v>
      </c>
      <c r="B139" s="1" t="str">
        <f>[1]Afgrødefordeling!$C$13</f>
        <v>Juletræer</v>
      </c>
      <c r="C139">
        <v>2019</v>
      </c>
      <c r="D139" t="s">
        <v>8</v>
      </c>
      <c r="E139" s="173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3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3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25">
      <c r="A140" t="s">
        <v>24</v>
      </c>
      <c r="B140" s="1" t="str">
        <f>[1]Afgrødefordeling!$C$14</f>
        <v>Pil &amp; poppel</v>
      </c>
      <c r="C140">
        <v>2019</v>
      </c>
      <c r="D140" t="s">
        <v>8</v>
      </c>
      <c r="E140" s="173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3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3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25">
      <c r="A141" t="s">
        <v>24</v>
      </c>
      <c r="B141" s="1" t="str">
        <f>[1]Afgrødefordeling!$C$15</f>
        <v>Permanent græs</v>
      </c>
      <c r="C141">
        <v>2019</v>
      </c>
      <c r="D141" t="s">
        <v>8</v>
      </c>
      <c r="E141" s="173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3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3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25">
      <c r="A142" t="s">
        <v>24</v>
      </c>
      <c r="B142" s="1" t="str">
        <f>[1]Afgrødefordeling!$C$2</f>
        <v>Korn</v>
      </c>
      <c r="C142">
        <v>2030</v>
      </c>
      <c r="D142" t="s">
        <v>8</v>
      </c>
      <c r="E142" s="173" t="str">
        <f t="shared" si="23"/>
        <v>OC6</v>
      </c>
      <c r="F142" t="str">
        <f t="shared" si="28"/>
        <v>Korn</v>
      </c>
      <c r="G142" s="76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0</v>
      </c>
      <c r="H142" s="173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0</v>
      </c>
      <c r="I142" s="173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0</v>
      </c>
      <c r="J142" s="76">
        <f t="shared" si="29"/>
        <v>0</v>
      </c>
    </row>
    <row r="143" spans="1:10" x14ac:dyDescent="0.25">
      <c r="A143" t="s">
        <v>24</v>
      </c>
      <c r="B143" s="1" t="str">
        <f>[1]Afgrødefordeling!$C$3</f>
        <v>Bælgsæd</v>
      </c>
      <c r="C143">
        <v>2030</v>
      </c>
      <c r="D143" t="s">
        <v>8</v>
      </c>
      <c r="E143" s="173" t="str">
        <f t="shared" si="23"/>
        <v>OC6</v>
      </c>
      <c r="F143" t="str">
        <f t="shared" si="28"/>
        <v>Bælgsæd</v>
      </c>
      <c r="G143" s="76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0</v>
      </c>
      <c r="H143" s="173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0</v>
      </c>
      <c r="I143" s="173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0</v>
      </c>
      <c r="J143" s="76">
        <f t="shared" si="29"/>
        <v>0</v>
      </c>
    </row>
    <row r="144" spans="1:10" x14ac:dyDescent="0.25">
      <c r="A144" t="s">
        <v>24</v>
      </c>
      <c r="B144" s="1" t="str">
        <f>[1]Afgrødefordeling!$C$4</f>
        <v>Raps</v>
      </c>
      <c r="C144">
        <v>2030</v>
      </c>
      <c r="D144" t="s">
        <v>8</v>
      </c>
      <c r="E144" s="173" t="str">
        <f t="shared" si="23"/>
        <v>OC6</v>
      </c>
      <c r="F144" t="str">
        <f t="shared" si="28"/>
        <v>Raps</v>
      </c>
      <c r="G144" s="76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0</v>
      </c>
      <c r="H144" s="173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0</v>
      </c>
      <c r="I144" s="173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0</v>
      </c>
      <c r="J144" s="76">
        <f t="shared" si="29"/>
        <v>0</v>
      </c>
    </row>
    <row r="145" spans="1:10" x14ac:dyDescent="0.25">
      <c r="A145" t="s">
        <v>24</v>
      </c>
      <c r="B145" s="1" t="str">
        <f>[1]Afgrødefordeling!$C$5</f>
        <v>Græs</v>
      </c>
      <c r="C145">
        <v>2030</v>
      </c>
      <c r="D145" t="s">
        <v>8</v>
      </c>
      <c r="E145" s="173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0</v>
      </c>
      <c r="H145" s="173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0</v>
      </c>
      <c r="I145" s="173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0</v>
      </c>
    </row>
    <row r="146" spans="1:10" x14ac:dyDescent="0.25">
      <c r="A146" t="s">
        <v>24</v>
      </c>
      <c r="B146" s="1" t="str">
        <f>[1]Afgrødefordeling!$C$6</f>
        <v>Grøntsager</v>
      </c>
      <c r="C146">
        <v>2030</v>
      </c>
      <c r="D146" t="s">
        <v>8</v>
      </c>
      <c r="E146" s="173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0</v>
      </c>
      <c r="H146" s="173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0</v>
      </c>
      <c r="I146" s="173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0</v>
      </c>
    </row>
    <row r="147" spans="1:10" x14ac:dyDescent="0.25">
      <c r="A147" t="s">
        <v>24</v>
      </c>
      <c r="B147" s="1" t="str">
        <f>[1]Afgrødefordeling!$C$7</f>
        <v>Kartofler</v>
      </c>
      <c r="C147">
        <v>2030</v>
      </c>
      <c r="D147" t="s">
        <v>8</v>
      </c>
      <c r="E147" s="173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0</v>
      </c>
      <c r="H147" s="173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0</v>
      </c>
      <c r="I147" s="173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0</v>
      </c>
    </row>
    <row r="148" spans="1:10" x14ac:dyDescent="0.25">
      <c r="A148" t="s">
        <v>24</v>
      </c>
      <c r="B148" s="1" t="str">
        <f>[1]Afgrødefordeling!$C$8</f>
        <v>Roer</v>
      </c>
      <c r="C148">
        <v>2030</v>
      </c>
      <c r="D148" t="s">
        <v>8</v>
      </c>
      <c r="E148" s="173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0</v>
      </c>
      <c r="H148" s="173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0</v>
      </c>
      <c r="I148" s="173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0</v>
      </c>
    </row>
    <row r="149" spans="1:10" x14ac:dyDescent="0.25">
      <c r="A149" t="s">
        <v>24</v>
      </c>
      <c r="B149" s="1" t="str">
        <f>[1]Afgrødefordeling!$C$9</f>
        <v>Majs</v>
      </c>
      <c r="C149">
        <v>2030</v>
      </c>
      <c r="D149" t="s">
        <v>8</v>
      </c>
      <c r="E149" s="173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0</v>
      </c>
      <c r="H149" s="173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0</v>
      </c>
      <c r="I149" s="173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0</v>
      </c>
    </row>
    <row r="150" spans="1:10" x14ac:dyDescent="0.25">
      <c r="A150" t="s">
        <v>24</v>
      </c>
      <c r="B150" s="1" t="str">
        <f>[1]Afgrødefordeling!$C$10</f>
        <v>Frugt</v>
      </c>
      <c r="C150">
        <v>2030</v>
      </c>
      <c r="D150" t="s">
        <v>8</v>
      </c>
      <c r="E150" s="173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0</v>
      </c>
      <c r="H150" s="173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0</v>
      </c>
      <c r="I150" s="173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0</v>
      </c>
    </row>
    <row r="151" spans="1:10" x14ac:dyDescent="0.25">
      <c r="A151" t="s">
        <v>24</v>
      </c>
      <c r="B151" s="1" t="str">
        <f>[1]Afgrødefordeling!$C$11</f>
        <v>Øvrige</v>
      </c>
      <c r="C151">
        <v>2030</v>
      </c>
      <c r="D151" t="s">
        <v>8</v>
      </c>
      <c r="E151" s="173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0</v>
      </c>
      <c r="H151" s="173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0</v>
      </c>
      <c r="I151" s="173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0</v>
      </c>
    </row>
    <row r="152" spans="1:10" x14ac:dyDescent="0.25">
      <c r="A152" t="s">
        <v>24</v>
      </c>
      <c r="B152" s="1" t="str">
        <f>[1]Afgrødefordeling!$C$12</f>
        <v>Frø</v>
      </c>
      <c r="C152">
        <v>2030</v>
      </c>
      <c r="D152" t="s">
        <v>8</v>
      </c>
      <c r="E152" s="173" t="str">
        <f t="shared" si="30"/>
        <v>OC6</v>
      </c>
      <c r="F152" t="str">
        <f t="shared" si="28"/>
        <v>Frø</v>
      </c>
      <c r="G152" s="76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0</v>
      </c>
      <c r="H152" s="173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0</v>
      </c>
      <c r="I152" s="173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0</v>
      </c>
      <c r="J152" s="76">
        <f t="shared" si="29"/>
        <v>0</v>
      </c>
    </row>
    <row r="153" spans="1:10" x14ac:dyDescent="0.25">
      <c r="A153" t="s">
        <v>24</v>
      </c>
      <c r="B153" s="1" t="str">
        <f>[1]Afgrødefordeling!$C$13</f>
        <v>Juletræer</v>
      </c>
      <c r="C153">
        <v>2030</v>
      </c>
      <c r="D153" t="s">
        <v>8</v>
      </c>
      <c r="E153" s="173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0</v>
      </c>
      <c r="H153" s="173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0</v>
      </c>
      <c r="I153" s="173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0</v>
      </c>
    </row>
    <row r="154" spans="1:10" x14ac:dyDescent="0.25">
      <c r="A154" t="s">
        <v>24</v>
      </c>
      <c r="B154" s="1" t="str">
        <f>[1]Afgrødefordeling!$C$14</f>
        <v>Pil &amp; poppel</v>
      </c>
      <c r="C154">
        <v>2030</v>
      </c>
      <c r="D154" t="s">
        <v>8</v>
      </c>
      <c r="E154" s="173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0</v>
      </c>
      <c r="H154" s="173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0</v>
      </c>
      <c r="I154" s="173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0</v>
      </c>
    </row>
    <row r="155" spans="1:10" x14ac:dyDescent="0.25">
      <c r="A155" t="s">
        <v>24</v>
      </c>
      <c r="B155" s="1" t="str">
        <f>[1]Afgrødefordeling!$C$15</f>
        <v>Permanent græs</v>
      </c>
      <c r="C155">
        <v>2030</v>
      </c>
      <c r="D155" t="s">
        <v>8</v>
      </c>
      <c r="E155" s="173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0</v>
      </c>
      <c r="H155" s="173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0</v>
      </c>
      <c r="I155" s="173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0</v>
      </c>
    </row>
    <row r="156" spans="1:10" x14ac:dyDescent="0.25">
      <c r="A156" t="s">
        <v>24</v>
      </c>
      <c r="B156" s="1" t="str">
        <f>[1]Afgrødefordeling!$C$2</f>
        <v>Korn</v>
      </c>
      <c r="C156">
        <v>2050</v>
      </c>
      <c r="D156" t="s">
        <v>8</v>
      </c>
      <c r="E156" s="173" t="str">
        <f t="shared" si="30"/>
        <v>OC6</v>
      </c>
      <c r="F156" t="str">
        <f t="shared" si="28"/>
        <v>Korn</v>
      </c>
      <c r="G156" s="76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0</v>
      </c>
      <c r="H156" s="173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0</v>
      </c>
      <c r="I156" s="173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0</v>
      </c>
      <c r="J156" s="76">
        <f t="shared" si="29"/>
        <v>0</v>
      </c>
    </row>
    <row r="157" spans="1:10" x14ac:dyDescent="0.25">
      <c r="A157" t="s">
        <v>24</v>
      </c>
      <c r="B157" s="1" t="str">
        <f>[1]Afgrødefordeling!$C$3</f>
        <v>Bælgsæd</v>
      </c>
      <c r="C157">
        <v>2050</v>
      </c>
      <c r="D157" t="s">
        <v>8</v>
      </c>
      <c r="E157" s="173" t="str">
        <f t="shared" si="30"/>
        <v>OC6</v>
      </c>
      <c r="F157" t="str">
        <f t="shared" si="28"/>
        <v>Bælgsæd</v>
      </c>
      <c r="G157" s="76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0</v>
      </c>
      <c r="H157" s="173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0</v>
      </c>
      <c r="I157" s="173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0</v>
      </c>
      <c r="J157" s="76">
        <f t="shared" si="29"/>
        <v>0</v>
      </c>
    </row>
    <row r="158" spans="1:10" x14ac:dyDescent="0.25">
      <c r="A158" t="s">
        <v>24</v>
      </c>
      <c r="B158" s="1" t="str">
        <f>[1]Afgrødefordeling!$C$4</f>
        <v>Raps</v>
      </c>
      <c r="C158">
        <v>2050</v>
      </c>
      <c r="D158" t="s">
        <v>8</v>
      </c>
      <c r="E158" s="173" t="str">
        <f t="shared" si="30"/>
        <v>OC6</v>
      </c>
      <c r="F158" t="str">
        <f t="shared" si="28"/>
        <v>Raps</v>
      </c>
      <c r="G158" s="76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0</v>
      </c>
      <c r="H158" s="173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0</v>
      </c>
      <c r="I158" s="173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0</v>
      </c>
      <c r="J158" s="76">
        <f t="shared" si="29"/>
        <v>0</v>
      </c>
    </row>
    <row r="159" spans="1:10" x14ac:dyDescent="0.25">
      <c r="A159" t="s">
        <v>24</v>
      </c>
      <c r="B159" s="1" t="str">
        <f>[1]Afgrødefordeling!$C$5</f>
        <v>Græs</v>
      </c>
      <c r="C159">
        <v>2050</v>
      </c>
      <c r="D159" t="s">
        <v>8</v>
      </c>
      <c r="E159" s="173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0</v>
      </c>
      <c r="H159" s="173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0</v>
      </c>
      <c r="I159" s="173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0</v>
      </c>
    </row>
    <row r="160" spans="1:10" x14ac:dyDescent="0.25">
      <c r="A160" t="s">
        <v>24</v>
      </c>
      <c r="B160" s="1" t="str">
        <f>[1]Afgrødefordeling!$C$6</f>
        <v>Grøntsager</v>
      </c>
      <c r="C160">
        <v>2050</v>
      </c>
      <c r="D160" t="s">
        <v>8</v>
      </c>
      <c r="E160" s="173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0</v>
      </c>
      <c r="H160" s="173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0</v>
      </c>
      <c r="I160" s="173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0</v>
      </c>
    </row>
    <row r="161" spans="1:10" x14ac:dyDescent="0.25">
      <c r="A161" t="s">
        <v>24</v>
      </c>
      <c r="B161" s="1" t="str">
        <f>[1]Afgrødefordeling!$C$7</f>
        <v>Kartofler</v>
      </c>
      <c r="C161">
        <v>2050</v>
      </c>
      <c r="D161" t="s">
        <v>8</v>
      </c>
      <c r="E161" s="173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0</v>
      </c>
      <c r="H161" s="173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0</v>
      </c>
      <c r="I161" s="173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0</v>
      </c>
    </row>
    <row r="162" spans="1:10" x14ac:dyDescent="0.25">
      <c r="A162" t="s">
        <v>24</v>
      </c>
      <c r="B162" s="1" t="str">
        <f>[1]Afgrødefordeling!$C$8</f>
        <v>Roer</v>
      </c>
      <c r="C162">
        <v>2050</v>
      </c>
      <c r="D162" t="s">
        <v>8</v>
      </c>
      <c r="E162" s="173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0</v>
      </c>
      <c r="H162" s="173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0</v>
      </c>
      <c r="I162" s="173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0</v>
      </c>
    </row>
    <row r="163" spans="1:10" x14ac:dyDescent="0.25">
      <c r="A163" t="s">
        <v>24</v>
      </c>
      <c r="B163" s="1" t="str">
        <f>[1]Afgrødefordeling!$C$9</f>
        <v>Majs</v>
      </c>
      <c r="C163">
        <v>2050</v>
      </c>
      <c r="D163" t="s">
        <v>8</v>
      </c>
      <c r="E163" s="173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0</v>
      </c>
      <c r="H163" s="173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0</v>
      </c>
      <c r="I163" s="173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0</v>
      </c>
    </row>
    <row r="164" spans="1:10" x14ac:dyDescent="0.25">
      <c r="A164" t="s">
        <v>24</v>
      </c>
      <c r="B164" s="1" t="str">
        <f>[1]Afgrødefordeling!$C$10</f>
        <v>Frugt</v>
      </c>
      <c r="C164">
        <v>2050</v>
      </c>
      <c r="D164" t="s">
        <v>8</v>
      </c>
      <c r="E164" s="173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0</v>
      </c>
      <c r="H164" s="173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0</v>
      </c>
      <c r="I164" s="173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0</v>
      </c>
    </row>
    <row r="165" spans="1:10" x14ac:dyDescent="0.25">
      <c r="A165" t="s">
        <v>24</v>
      </c>
      <c r="B165" s="1" t="str">
        <f>[1]Afgrødefordeling!$C$11</f>
        <v>Øvrige</v>
      </c>
      <c r="C165">
        <v>2050</v>
      </c>
      <c r="D165" t="s">
        <v>8</v>
      </c>
      <c r="E165" s="173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0</v>
      </c>
      <c r="H165" s="173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0</v>
      </c>
      <c r="I165" s="173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0</v>
      </c>
    </row>
    <row r="166" spans="1:10" x14ac:dyDescent="0.25">
      <c r="A166" t="s">
        <v>24</v>
      </c>
      <c r="B166" s="1" t="str">
        <f>[1]Afgrødefordeling!$C$12</f>
        <v>Frø</v>
      </c>
      <c r="C166">
        <v>2050</v>
      </c>
      <c r="D166" t="s">
        <v>8</v>
      </c>
      <c r="E166" s="173" t="str">
        <f t="shared" si="30"/>
        <v>OC6</v>
      </c>
      <c r="F166" t="str">
        <f t="shared" si="28"/>
        <v>Frø</v>
      </c>
      <c r="G166" s="76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0</v>
      </c>
      <c r="H166" s="173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0</v>
      </c>
      <c r="I166" s="173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0</v>
      </c>
      <c r="J166" s="76">
        <f t="shared" si="29"/>
        <v>0</v>
      </c>
    </row>
    <row r="167" spans="1:10" x14ac:dyDescent="0.25">
      <c r="A167" t="s">
        <v>24</v>
      </c>
      <c r="B167" s="1" t="str">
        <f>[1]Afgrødefordeling!$C$13</f>
        <v>Juletræer</v>
      </c>
      <c r="C167">
        <v>2050</v>
      </c>
      <c r="D167" t="s">
        <v>8</v>
      </c>
      <c r="E167" s="173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0</v>
      </c>
      <c r="H167" s="173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0</v>
      </c>
      <c r="I167" s="173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0</v>
      </c>
    </row>
    <row r="168" spans="1:10" x14ac:dyDescent="0.25">
      <c r="A168" t="s">
        <v>24</v>
      </c>
      <c r="B168" s="1" t="str">
        <f>[1]Afgrødefordeling!$C$14</f>
        <v>Pil &amp; poppel</v>
      </c>
      <c r="C168">
        <v>2050</v>
      </c>
      <c r="D168" t="s">
        <v>8</v>
      </c>
      <c r="E168" s="173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0</v>
      </c>
      <c r="H168" s="173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0</v>
      </c>
      <c r="I168" s="173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0</v>
      </c>
    </row>
    <row r="169" spans="1:10" x14ac:dyDescent="0.25">
      <c r="A169" t="s">
        <v>24</v>
      </c>
      <c r="B169" s="1" t="str">
        <f>[1]Afgrødefordeling!$C$15</f>
        <v>Permanent græs</v>
      </c>
      <c r="C169">
        <v>2050</v>
      </c>
      <c r="D169" t="s">
        <v>8</v>
      </c>
      <c r="E169" s="173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0</v>
      </c>
      <c r="H169" s="173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0</v>
      </c>
      <c r="I169" s="173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0</v>
      </c>
    </row>
    <row r="170" spans="1:10" x14ac:dyDescent="0.25">
      <c r="A170" t="s">
        <v>24</v>
      </c>
      <c r="B170" s="1" t="str">
        <f>[1]Afgrødefordeling!$C$2</f>
        <v>Korn</v>
      </c>
      <c r="C170">
        <v>2019</v>
      </c>
      <c r="D170" t="s">
        <v>7</v>
      </c>
      <c r="E170" s="173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3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3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25">
      <c r="A171" t="s">
        <v>24</v>
      </c>
      <c r="B171" s="1" t="str">
        <f>[1]Afgrødefordeling!$C$3</f>
        <v>Bælgsæd</v>
      </c>
      <c r="C171">
        <v>2019</v>
      </c>
      <c r="D171" t="s">
        <v>7</v>
      </c>
      <c r="E171" s="173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3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3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25">
      <c r="A172" t="s">
        <v>24</v>
      </c>
      <c r="B172" s="1" t="str">
        <f>[1]Afgrødefordeling!$C$4</f>
        <v>Raps</v>
      </c>
      <c r="C172">
        <v>2019</v>
      </c>
      <c r="D172" t="s">
        <v>7</v>
      </c>
      <c r="E172" s="173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3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3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25">
      <c r="A173" t="s">
        <v>24</v>
      </c>
      <c r="B173" s="1" t="str">
        <f>[1]Afgrødefordeling!$C$5</f>
        <v>Græs</v>
      </c>
      <c r="C173">
        <v>2019</v>
      </c>
      <c r="D173" t="s">
        <v>7</v>
      </c>
      <c r="E173" s="173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3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3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25">
      <c r="A174" t="s">
        <v>24</v>
      </c>
      <c r="B174" s="1" t="str">
        <f>[1]Afgrødefordeling!$C$6</f>
        <v>Grøntsager</v>
      </c>
      <c r="C174">
        <v>2019</v>
      </c>
      <c r="D174" t="s">
        <v>7</v>
      </c>
      <c r="E174" s="173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3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3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25">
      <c r="A175" t="s">
        <v>24</v>
      </c>
      <c r="B175" s="1" t="str">
        <f>[1]Afgrødefordeling!$C$7</f>
        <v>Kartofler</v>
      </c>
      <c r="C175">
        <v>2019</v>
      </c>
      <c r="D175" t="s">
        <v>7</v>
      </c>
      <c r="E175" s="173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3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3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25">
      <c r="A176" t="s">
        <v>24</v>
      </c>
      <c r="B176" s="1" t="str">
        <f>[1]Afgrødefordeling!$C$8</f>
        <v>Roer</v>
      </c>
      <c r="C176">
        <v>2019</v>
      </c>
      <c r="D176" t="s">
        <v>7</v>
      </c>
      <c r="E176" s="173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3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3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25">
      <c r="A177" t="s">
        <v>24</v>
      </c>
      <c r="B177" s="1" t="str">
        <f>[1]Afgrødefordeling!$C$9</f>
        <v>Majs</v>
      </c>
      <c r="C177">
        <v>2019</v>
      </c>
      <c r="D177" t="s">
        <v>7</v>
      </c>
      <c r="E177" s="173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3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3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25">
      <c r="A178" t="s">
        <v>24</v>
      </c>
      <c r="B178" s="1" t="str">
        <f>[1]Afgrødefordeling!$C$10</f>
        <v>Frugt</v>
      </c>
      <c r="C178">
        <v>2019</v>
      </c>
      <c r="D178" t="s">
        <v>7</v>
      </c>
      <c r="E178" s="173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3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3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25">
      <c r="A179" t="s">
        <v>24</v>
      </c>
      <c r="B179" s="1" t="str">
        <f>[1]Afgrødefordeling!$C$11</f>
        <v>Øvrige</v>
      </c>
      <c r="C179">
        <v>2019</v>
      </c>
      <c r="D179" t="s">
        <v>7</v>
      </c>
      <c r="E179" s="173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3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3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25">
      <c r="A180" t="s">
        <v>24</v>
      </c>
      <c r="B180" s="1" t="str">
        <f>[1]Afgrødefordeling!$C$12</f>
        <v>Frø</v>
      </c>
      <c r="C180">
        <v>2019</v>
      </c>
      <c r="D180" t="s">
        <v>7</v>
      </c>
      <c r="E180" s="173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3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3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25">
      <c r="A181" t="s">
        <v>24</v>
      </c>
      <c r="B181" s="1" t="str">
        <f>[1]Afgrødefordeling!$C$13</f>
        <v>Juletræer</v>
      </c>
      <c r="C181">
        <v>2019</v>
      </c>
      <c r="D181" t="s">
        <v>7</v>
      </c>
      <c r="E181" s="173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3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3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25">
      <c r="A182" t="s">
        <v>24</v>
      </c>
      <c r="B182" s="1" t="str">
        <f>[1]Afgrødefordeling!$C$14</f>
        <v>Pil &amp; poppel</v>
      </c>
      <c r="C182">
        <v>2019</v>
      </c>
      <c r="D182" t="s">
        <v>7</v>
      </c>
      <c r="E182" s="173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3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3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25">
      <c r="A183" t="s">
        <v>24</v>
      </c>
      <c r="B183" s="1" t="str">
        <f>[1]Afgrødefordeling!$C$15</f>
        <v>Permanent græs</v>
      </c>
      <c r="C183">
        <v>2019</v>
      </c>
      <c r="D183" t="s">
        <v>7</v>
      </c>
      <c r="E183" s="173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3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3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25">
      <c r="A184" t="s">
        <v>24</v>
      </c>
      <c r="B184" s="1" t="str">
        <f>[1]Afgrødefordeling!$C$2</f>
        <v>Korn</v>
      </c>
      <c r="C184">
        <v>2030</v>
      </c>
      <c r="D184" t="s">
        <v>7</v>
      </c>
      <c r="E184" s="173" t="str">
        <f t="shared" si="35"/>
        <v>OC12</v>
      </c>
      <c r="F184" t="str">
        <f t="shared" si="28"/>
        <v>Korn</v>
      </c>
      <c r="G184" s="76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0</v>
      </c>
      <c r="H184" s="173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0</v>
      </c>
      <c r="I184" s="173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0</v>
      </c>
      <c r="J184" s="76">
        <f t="shared" si="29"/>
        <v>0</v>
      </c>
    </row>
    <row r="185" spans="1:10" x14ac:dyDescent="0.25">
      <c r="A185" t="s">
        <v>24</v>
      </c>
      <c r="B185" s="1" t="str">
        <f>[1]Afgrødefordeling!$C$3</f>
        <v>Bælgsæd</v>
      </c>
      <c r="C185">
        <v>2030</v>
      </c>
      <c r="D185" t="s">
        <v>7</v>
      </c>
      <c r="E185" s="173" t="str">
        <f t="shared" si="35"/>
        <v>OC12</v>
      </c>
      <c r="F185" t="str">
        <f t="shared" si="28"/>
        <v>Bælgsæd</v>
      </c>
      <c r="G185" s="76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0</v>
      </c>
      <c r="H185" s="173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0</v>
      </c>
      <c r="I185" s="173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0</v>
      </c>
      <c r="J185" s="76">
        <f t="shared" si="29"/>
        <v>0</v>
      </c>
    </row>
    <row r="186" spans="1:10" x14ac:dyDescent="0.25">
      <c r="A186" t="s">
        <v>24</v>
      </c>
      <c r="B186" s="1" t="str">
        <f>[1]Afgrødefordeling!$C$4</f>
        <v>Raps</v>
      </c>
      <c r="C186">
        <v>2030</v>
      </c>
      <c r="D186" t="s">
        <v>7</v>
      </c>
      <c r="E186" s="173" t="str">
        <f t="shared" si="35"/>
        <v>OC12</v>
      </c>
      <c r="F186" t="str">
        <f t="shared" si="28"/>
        <v>Raps</v>
      </c>
      <c r="G186" s="76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0</v>
      </c>
      <c r="H186" s="173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0</v>
      </c>
      <c r="I186" s="173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0</v>
      </c>
      <c r="J186" s="76">
        <f t="shared" si="29"/>
        <v>0</v>
      </c>
    </row>
    <row r="187" spans="1:10" x14ac:dyDescent="0.25">
      <c r="A187" t="s">
        <v>24</v>
      </c>
      <c r="B187" s="1" t="str">
        <f>[1]Afgrødefordeling!$C$5</f>
        <v>Græs</v>
      </c>
      <c r="C187">
        <v>2030</v>
      </c>
      <c r="D187" t="s">
        <v>7</v>
      </c>
      <c r="E187" s="173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0</v>
      </c>
      <c r="H187" s="173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0</v>
      </c>
      <c r="I187" s="173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0</v>
      </c>
    </row>
    <row r="188" spans="1:10" x14ac:dyDescent="0.25">
      <c r="A188" t="s">
        <v>24</v>
      </c>
      <c r="B188" s="1" t="str">
        <f>[1]Afgrødefordeling!$C$6</f>
        <v>Grøntsager</v>
      </c>
      <c r="C188">
        <v>2030</v>
      </c>
      <c r="D188" t="s">
        <v>7</v>
      </c>
      <c r="E188" s="173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0</v>
      </c>
      <c r="H188" s="173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0</v>
      </c>
      <c r="I188" s="173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0</v>
      </c>
    </row>
    <row r="189" spans="1:10" x14ac:dyDescent="0.25">
      <c r="A189" t="s">
        <v>24</v>
      </c>
      <c r="B189" s="1" t="str">
        <f>[1]Afgrødefordeling!$C$7</f>
        <v>Kartofler</v>
      </c>
      <c r="C189">
        <v>2030</v>
      </c>
      <c r="D189" t="s">
        <v>7</v>
      </c>
      <c r="E189" s="173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0</v>
      </c>
      <c r="H189" s="173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0</v>
      </c>
      <c r="I189" s="173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0</v>
      </c>
    </row>
    <row r="190" spans="1:10" x14ac:dyDescent="0.25">
      <c r="A190" t="s">
        <v>24</v>
      </c>
      <c r="B190" s="1" t="str">
        <f>[1]Afgrødefordeling!$C$8</f>
        <v>Roer</v>
      </c>
      <c r="C190">
        <v>2030</v>
      </c>
      <c r="D190" t="s">
        <v>7</v>
      </c>
      <c r="E190" s="173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0</v>
      </c>
      <c r="H190" s="173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0</v>
      </c>
      <c r="I190" s="173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0</v>
      </c>
    </row>
    <row r="191" spans="1:10" x14ac:dyDescent="0.25">
      <c r="A191" t="s">
        <v>24</v>
      </c>
      <c r="B191" s="1" t="str">
        <f>[1]Afgrødefordeling!$C$9</f>
        <v>Majs</v>
      </c>
      <c r="C191">
        <v>2030</v>
      </c>
      <c r="D191" t="s">
        <v>7</v>
      </c>
      <c r="E191" s="173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0</v>
      </c>
      <c r="H191" s="173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0</v>
      </c>
      <c r="I191" s="173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0</v>
      </c>
    </row>
    <row r="192" spans="1:10" x14ac:dyDescent="0.25">
      <c r="A192" t="s">
        <v>24</v>
      </c>
      <c r="B192" s="1" t="str">
        <f>[1]Afgrødefordeling!$C$10</f>
        <v>Frugt</v>
      </c>
      <c r="C192">
        <v>2030</v>
      </c>
      <c r="D192" t="s">
        <v>7</v>
      </c>
      <c r="E192" s="173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0</v>
      </c>
      <c r="H192" s="173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0</v>
      </c>
      <c r="I192" s="173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0</v>
      </c>
    </row>
    <row r="193" spans="1:10" x14ac:dyDescent="0.25">
      <c r="A193" t="s">
        <v>24</v>
      </c>
      <c r="B193" s="1" t="str">
        <f>[1]Afgrødefordeling!$C$11</f>
        <v>Øvrige</v>
      </c>
      <c r="C193">
        <v>2030</v>
      </c>
      <c r="D193" t="s">
        <v>7</v>
      </c>
      <c r="E193" s="173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0</v>
      </c>
      <c r="H193" s="173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0</v>
      </c>
      <c r="I193" s="173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0</v>
      </c>
    </row>
    <row r="194" spans="1:10" x14ac:dyDescent="0.25">
      <c r="A194" t="s">
        <v>24</v>
      </c>
      <c r="B194" s="1" t="str">
        <f>[1]Afgrødefordeling!$C$12</f>
        <v>Frø</v>
      </c>
      <c r="C194">
        <v>2030</v>
      </c>
      <c r="D194" t="s">
        <v>7</v>
      </c>
      <c r="E194" s="173" t="str">
        <f t="shared" si="35"/>
        <v>OC12</v>
      </c>
      <c r="F194" t="str">
        <f t="shared" si="28"/>
        <v>Frø</v>
      </c>
      <c r="G194" s="76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0</v>
      </c>
      <c r="H194" s="173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0</v>
      </c>
      <c r="I194" s="173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0</v>
      </c>
      <c r="J194" s="76">
        <f t="shared" si="29"/>
        <v>0</v>
      </c>
    </row>
    <row r="195" spans="1:10" x14ac:dyDescent="0.25">
      <c r="A195" t="s">
        <v>24</v>
      </c>
      <c r="B195" s="1" t="str">
        <f>[1]Afgrødefordeling!$C$13</f>
        <v>Juletræer</v>
      </c>
      <c r="C195">
        <v>2030</v>
      </c>
      <c r="D195" t="s">
        <v>7</v>
      </c>
      <c r="E195" s="173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0</v>
      </c>
      <c r="H195" s="173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0</v>
      </c>
      <c r="I195" s="173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0</v>
      </c>
    </row>
    <row r="196" spans="1:10" x14ac:dyDescent="0.25">
      <c r="A196" t="s">
        <v>24</v>
      </c>
      <c r="B196" s="1" t="str">
        <f>[1]Afgrødefordeling!$C$14</f>
        <v>Pil &amp; poppel</v>
      </c>
      <c r="C196">
        <v>2030</v>
      </c>
      <c r="D196" t="s">
        <v>7</v>
      </c>
      <c r="E196" s="173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0</v>
      </c>
      <c r="H196" s="173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0</v>
      </c>
      <c r="I196" s="173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0</v>
      </c>
    </row>
    <row r="197" spans="1:10" x14ac:dyDescent="0.25">
      <c r="A197" t="s">
        <v>24</v>
      </c>
      <c r="B197" s="1" t="str">
        <f>[1]Afgrødefordeling!$C$15</f>
        <v>Permanent græs</v>
      </c>
      <c r="C197">
        <v>2030</v>
      </c>
      <c r="D197" t="s">
        <v>7</v>
      </c>
      <c r="E197" s="173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0</v>
      </c>
      <c r="H197" s="173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0</v>
      </c>
      <c r="I197" s="173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0</v>
      </c>
    </row>
    <row r="198" spans="1:10" x14ac:dyDescent="0.25">
      <c r="A198" t="s">
        <v>24</v>
      </c>
      <c r="B198" s="1" t="str">
        <f>[1]Afgrødefordeling!$C$2</f>
        <v>Korn</v>
      </c>
      <c r="C198">
        <v>2050</v>
      </c>
      <c r="D198" t="s">
        <v>7</v>
      </c>
      <c r="E198" s="173" t="str">
        <f t="shared" si="35"/>
        <v>OC12</v>
      </c>
      <c r="F198" t="str">
        <f t="shared" si="28"/>
        <v>Korn</v>
      </c>
      <c r="G198" s="76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0</v>
      </c>
      <c r="H198" s="173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0</v>
      </c>
      <c r="I198" s="173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0</v>
      </c>
      <c r="J198" s="76">
        <f t="shared" si="29"/>
        <v>0</v>
      </c>
    </row>
    <row r="199" spans="1:10" x14ac:dyDescent="0.25">
      <c r="A199" t="s">
        <v>24</v>
      </c>
      <c r="B199" s="1" t="str">
        <f>[1]Afgrødefordeling!$C$3</f>
        <v>Bælgsæd</v>
      </c>
      <c r="C199">
        <v>2050</v>
      </c>
      <c r="D199" t="s">
        <v>7</v>
      </c>
      <c r="E199" s="173" t="str">
        <f t="shared" si="35"/>
        <v>OC12</v>
      </c>
      <c r="F199" t="str">
        <f t="shared" si="28"/>
        <v>Bælgsæd</v>
      </c>
      <c r="G199" s="76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0</v>
      </c>
      <c r="H199" s="173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0</v>
      </c>
      <c r="I199" s="173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0</v>
      </c>
      <c r="J199" s="76">
        <f t="shared" si="29"/>
        <v>0</v>
      </c>
    </row>
    <row r="200" spans="1:10" x14ac:dyDescent="0.25">
      <c r="A200" t="s">
        <v>24</v>
      </c>
      <c r="B200" s="1" t="str">
        <f>[1]Afgrødefordeling!$C$4</f>
        <v>Raps</v>
      </c>
      <c r="C200">
        <v>2050</v>
      </c>
      <c r="D200" t="s">
        <v>7</v>
      </c>
      <c r="E200" s="173" t="str">
        <f t="shared" si="35"/>
        <v>OC12</v>
      </c>
      <c r="F200" t="str">
        <f t="shared" si="28"/>
        <v>Raps</v>
      </c>
      <c r="G200" s="76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0</v>
      </c>
      <c r="H200" s="173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0</v>
      </c>
      <c r="I200" s="173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0</v>
      </c>
      <c r="J200" s="76">
        <f t="shared" si="29"/>
        <v>0</v>
      </c>
    </row>
    <row r="201" spans="1:10" x14ac:dyDescent="0.25">
      <c r="A201" t="s">
        <v>24</v>
      </c>
      <c r="B201" s="1" t="str">
        <f>[1]Afgrødefordeling!$C$5</f>
        <v>Græs</v>
      </c>
      <c r="C201">
        <v>2050</v>
      </c>
      <c r="D201" t="s">
        <v>7</v>
      </c>
      <c r="E201" s="173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0</v>
      </c>
      <c r="H201" s="173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0</v>
      </c>
      <c r="I201" s="173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0</v>
      </c>
    </row>
    <row r="202" spans="1:10" x14ac:dyDescent="0.25">
      <c r="A202" t="s">
        <v>24</v>
      </c>
      <c r="B202" s="1" t="str">
        <f>[1]Afgrødefordeling!$C$6</f>
        <v>Grøntsager</v>
      </c>
      <c r="C202">
        <v>2050</v>
      </c>
      <c r="D202" t="s">
        <v>7</v>
      </c>
      <c r="E202" s="173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0</v>
      </c>
      <c r="H202" s="173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0</v>
      </c>
      <c r="I202" s="173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0</v>
      </c>
    </row>
    <row r="203" spans="1:10" x14ac:dyDescent="0.25">
      <c r="A203" t="s">
        <v>24</v>
      </c>
      <c r="B203" s="1" t="str">
        <f>[1]Afgrødefordeling!$C$7</f>
        <v>Kartofler</v>
      </c>
      <c r="C203">
        <v>2050</v>
      </c>
      <c r="D203" t="s">
        <v>7</v>
      </c>
      <c r="E203" s="173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0</v>
      </c>
      <c r="H203" s="173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0</v>
      </c>
      <c r="I203" s="173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0</v>
      </c>
    </row>
    <row r="204" spans="1:10" x14ac:dyDescent="0.25">
      <c r="A204" t="s">
        <v>24</v>
      </c>
      <c r="B204" s="1" t="str">
        <f>[1]Afgrødefordeling!$C$8</f>
        <v>Roer</v>
      </c>
      <c r="C204">
        <v>2050</v>
      </c>
      <c r="D204" t="s">
        <v>7</v>
      </c>
      <c r="E204" s="173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0</v>
      </c>
      <c r="H204" s="173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0</v>
      </c>
      <c r="I204" s="173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0</v>
      </c>
    </row>
    <row r="205" spans="1:10" x14ac:dyDescent="0.25">
      <c r="A205" t="s">
        <v>24</v>
      </c>
      <c r="B205" s="1" t="str">
        <f>[1]Afgrødefordeling!$C$9</f>
        <v>Majs</v>
      </c>
      <c r="C205">
        <v>2050</v>
      </c>
      <c r="D205" t="s">
        <v>7</v>
      </c>
      <c r="E205" s="173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0</v>
      </c>
      <c r="H205" s="173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0</v>
      </c>
      <c r="I205" s="173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0</v>
      </c>
    </row>
    <row r="206" spans="1:10" x14ac:dyDescent="0.25">
      <c r="A206" t="s">
        <v>24</v>
      </c>
      <c r="B206" s="1" t="str">
        <f>[1]Afgrødefordeling!$C$10</f>
        <v>Frugt</v>
      </c>
      <c r="C206">
        <v>2050</v>
      </c>
      <c r="D206" t="s">
        <v>7</v>
      </c>
      <c r="E206" s="173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0</v>
      </c>
      <c r="H206" s="173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0</v>
      </c>
      <c r="I206" s="173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0</v>
      </c>
    </row>
    <row r="207" spans="1:10" x14ac:dyDescent="0.25">
      <c r="A207" t="s">
        <v>24</v>
      </c>
      <c r="B207" s="1" t="str">
        <f>[1]Afgrødefordeling!$C$11</f>
        <v>Øvrige</v>
      </c>
      <c r="C207">
        <v>2050</v>
      </c>
      <c r="D207" t="s">
        <v>7</v>
      </c>
      <c r="E207" s="173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0</v>
      </c>
      <c r="H207" s="173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0</v>
      </c>
      <c r="I207" s="173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0</v>
      </c>
    </row>
    <row r="208" spans="1:10" x14ac:dyDescent="0.25">
      <c r="A208" t="s">
        <v>24</v>
      </c>
      <c r="B208" s="1" t="str">
        <f>[1]Afgrødefordeling!$C$12</f>
        <v>Frø</v>
      </c>
      <c r="C208">
        <v>2050</v>
      </c>
      <c r="D208" t="s">
        <v>7</v>
      </c>
      <c r="E208" s="173" t="str">
        <f t="shared" si="40"/>
        <v>OC12</v>
      </c>
      <c r="F208" t="str">
        <f t="shared" si="28"/>
        <v>Frø</v>
      </c>
      <c r="G208" s="76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0</v>
      </c>
      <c r="H208" s="173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0</v>
      </c>
      <c r="I208" s="173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0</v>
      </c>
      <c r="J208" s="76">
        <f t="shared" si="29"/>
        <v>0</v>
      </c>
    </row>
    <row r="209" spans="1:10" x14ac:dyDescent="0.25">
      <c r="A209" t="s">
        <v>24</v>
      </c>
      <c r="B209" s="1" t="str">
        <f>[1]Afgrødefordeling!$C$13</f>
        <v>Juletræer</v>
      </c>
      <c r="C209">
        <v>2050</v>
      </c>
      <c r="D209" t="s">
        <v>7</v>
      </c>
      <c r="E209" s="173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0</v>
      </c>
      <c r="H209" s="173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0</v>
      </c>
      <c r="I209" s="173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0</v>
      </c>
    </row>
    <row r="210" spans="1:10" x14ac:dyDescent="0.25">
      <c r="A210" t="s">
        <v>24</v>
      </c>
      <c r="B210" s="1" t="str">
        <f>[1]Afgrødefordeling!$C$14</f>
        <v>Pil &amp; poppel</v>
      </c>
      <c r="C210">
        <v>2050</v>
      </c>
      <c r="D210" t="s">
        <v>7</v>
      </c>
      <c r="E210" s="173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0</v>
      </c>
      <c r="H210" s="173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0</v>
      </c>
      <c r="I210" s="173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0</v>
      </c>
    </row>
    <row r="211" spans="1:10" x14ac:dyDescent="0.25">
      <c r="A211" t="s">
        <v>24</v>
      </c>
      <c r="B211" s="1" t="str">
        <f>[1]Afgrødefordeling!$C$15</f>
        <v>Permanent græs</v>
      </c>
      <c r="C211">
        <v>2050</v>
      </c>
      <c r="D211" t="s">
        <v>7</v>
      </c>
      <c r="E211" s="173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0</v>
      </c>
      <c r="H211" s="173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0</v>
      </c>
      <c r="I211" s="173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0</v>
      </c>
    </row>
    <row r="212" spans="1:10" x14ac:dyDescent="0.25">
      <c r="A212" t="s">
        <v>24</v>
      </c>
      <c r="B212" s="1" t="str">
        <f>[1]Afgrødefordeling!$C$2</f>
        <v>Korn</v>
      </c>
      <c r="C212">
        <v>2019</v>
      </c>
      <c r="D212" t="s">
        <v>8</v>
      </c>
      <c r="E212" s="173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3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3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25">
      <c r="A213" t="s">
        <v>24</v>
      </c>
      <c r="B213" s="1" t="str">
        <f>[1]Afgrødefordeling!$C$3</f>
        <v>Bælgsæd</v>
      </c>
      <c r="C213">
        <v>2019</v>
      </c>
      <c r="D213" t="s">
        <v>8</v>
      </c>
      <c r="E213" s="173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3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3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25">
      <c r="A214" t="s">
        <v>24</v>
      </c>
      <c r="B214" s="1" t="str">
        <f>[1]Afgrødefordeling!$C$4</f>
        <v>Raps</v>
      </c>
      <c r="C214">
        <v>2019</v>
      </c>
      <c r="D214" t="s">
        <v>8</v>
      </c>
      <c r="E214" s="173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3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3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25">
      <c r="A215" t="s">
        <v>24</v>
      </c>
      <c r="B215" s="1" t="str">
        <f>[1]Afgrødefordeling!$C$5</f>
        <v>Græs</v>
      </c>
      <c r="C215">
        <v>2019</v>
      </c>
      <c r="D215" t="s">
        <v>8</v>
      </c>
      <c r="E215" s="173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3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3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25">
      <c r="A216" t="s">
        <v>24</v>
      </c>
      <c r="B216" s="1" t="str">
        <f>[1]Afgrødefordeling!$C$6</f>
        <v>Grøntsager</v>
      </c>
      <c r="C216">
        <v>2019</v>
      </c>
      <c r="D216" t="s">
        <v>8</v>
      </c>
      <c r="E216" s="173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3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3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25">
      <c r="A217" t="s">
        <v>24</v>
      </c>
      <c r="B217" s="1" t="str">
        <f>[1]Afgrødefordeling!$C$7</f>
        <v>Kartofler</v>
      </c>
      <c r="C217">
        <v>2019</v>
      </c>
      <c r="D217" t="s">
        <v>8</v>
      </c>
      <c r="E217" s="173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3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3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25">
      <c r="A218" t="s">
        <v>24</v>
      </c>
      <c r="B218" s="1" t="str">
        <f>[1]Afgrødefordeling!$C$8</f>
        <v>Roer</v>
      </c>
      <c r="C218">
        <v>2019</v>
      </c>
      <c r="D218" t="s">
        <v>8</v>
      </c>
      <c r="E218" s="173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3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3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25">
      <c r="A219" t="s">
        <v>24</v>
      </c>
      <c r="B219" s="1" t="str">
        <f>[1]Afgrødefordeling!$C$9</f>
        <v>Majs</v>
      </c>
      <c r="C219">
        <v>2019</v>
      </c>
      <c r="D219" t="s">
        <v>8</v>
      </c>
      <c r="E219" s="173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3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3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25">
      <c r="A220" t="s">
        <v>24</v>
      </c>
      <c r="B220" s="1" t="str">
        <f>[1]Afgrødefordeling!$C$10</f>
        <v>Frugt</v>
      </c>
      <c r="C220">
        <v>2019</v>
      </c>
      <c r="D220" t="s">
        <v>8</v>
      </c>
      <c r="E220" s="173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3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3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25">
      <c r="A221" t="s">
        <v>24</v>
      </c>
      <c r="B221" s="1" t="str">
        <f>[1]Afgrødefordeling!$C$11</f>
        <v>Øvrige</v>
      </c>
      <c r="C221">
        <v>2019</v>
      </c>
      <c r="D221" t="s">
        <v>8</v>
      </c>
      <c r="E221" s="173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3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3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25">
      <c r="A222" t="s">
        <v>24</v>
      </c>
      <c r="B222" s="1" t="str">
        <f>[1]Afgrødefordeling!$C$12</f>
        <v>Frø</v>
      </c>
      <c r="C222">
        <v>2019</v>
      </c>
      <c r="D222" t="s">
        <v>8</v>
      </c>
      <c r="E222" s="173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3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3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25">
      <c r="A223" t="s">
        <v>24</v>
      </c>
      <c r="B223" s="1" t="str">
        <f>[1]Afgrødefordeling!$C$13</f>
        <v>Juletræer</v>
      </c>
      <c r="C223">
        <v>2019</v>
      </c>
      <c r="D223" t="s">
        <v>8</v>
      </c>
      <c r="E223" s="173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3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3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25">
      <c r="A224" t="s">
        <v>24</v>
      </c>
      <c r="B224" s="1" t="str">
        <f>[1]Afgrødefordeling!$C$14</f>
        <v>Pil &amp; poppel</v>
      </c>
      <c r="C224">
        <v>2019</v>
      </c>
      <c r="D224" t="s">
        <v>8</v>
      </c>
      <c r="E224" s="173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3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3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25">
      <c r="A225" t="s">
        <v>24</v>
      </c>
      <c r="B225" s="1" t="str">
        <f>[1]Afgrødefordeling!$C$15</f>
        <v>Permanent græs</v>
      </c>
      <c r="C225">
        <v>2019</v>
      </c>
      <c r="D225" t="s">
        <v>8</v>
      </c>
      <c r="E225" s="173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3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3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25">
      <c r="A226" t="s">
        <v>24</v>
      </c>
      <c r="B226" s="1" t="str">
        <f>[1]Afgrødefordeling!$C$2</f>
        <v>Korn</v>
      </c>
      <c r="C226">
        <v>2030</v>
      </c>
      <c r="D226" t="s">
        <v>8</v>
      </c>
      <c r="E226" s="173" t="str">
        <f t="shared" si="40"/>
        <v>OC12</v>
      </c>
      <c r="F226" t="str">
        <f t="shared" si="41"/>
        <v>Korn</v>
      </c>
      <c r="G226" s="76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0</v>
      </c>
      <c r="H226" s="173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0</v>
      </c>
      <c r="I226" s="173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0</v>
      </c>
      <c r="J226" s="76">
        <f t="shared" si="42"/>
        <v>0</v>
      </c>
    </row>
    <row r="227" spans="1:10" x14ac:dyDescent="0.25">
      <c r="A227" t="s">
        <v>24</v>
      </c>
      <c r="B227" s="1" t="str">
        <f>[1]Afgrødefordeling!$C$3</f>
        <v>Bælgsæd</v>
      </c>
      <c r="C227">
        <v>2030</v>
      </c>
      <c r="D227" t="s">
        <v>8</v>
      </c>
      <c r="E227" s="173" t="str">
        <f t="shared" si="40"/>
        <v>OC12</v>
      </c>
      <c r="F227" t="str">
        <f t="shared" si="41"/>
        <v>Bælgsæd</v>
      </c>
      <c r="G227" s="76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0</v>
      </c>
      <c r="H227" s="173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0</v>
      </c>
      <c r="I227" s="173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0</v>
      </c>
      <c r="J227" s="76">
        <f t="shared" si="42"/>
        <v>0</v>
      </c>
    </row>
    <row r="228" spans="1:10" x14ac:dyDescent="0.25">
      <c r="A228" t="s">
        <v>24</v>
      </c>
      <c r="B228" s="1" t="str">
        <f>[1]Afgrødefordeling!$C$4</f>
        <v>Raps</v>
      </c>
      <c r="C228">
        <v>2030</v>
      </c>
      <c r="D228" t="s">
        <v>8</v>
      </c>
      <c r="E228" s="173" t="str">
        <f t="shared" si="40"/>
        <v>OC12</v>
      </c>
      <c r="F228" t="str">
        <f t="shared" si="41"/>
        <v>Raps</v>
      </c>
      <c r="G228" s="76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0</v>
      </c>
      <c r="H228" s="173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0</v>
      </c>
      <c r="I228" s="173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0</v>
      </c>
      <c r="J228" s="76">
        <f t="shared" si="42"/>
        <v>0</v>
      </c>
    </row>
    <row r="229" spans="1:10" x14ac:dyDescent="0.25">
      <c r="A229" t="s">
        <v>24</v>
      </c>
      <c r="B229" s="1" t="str">
        <f>[1]Afgrødefordeling!$C$5</f>
        <v>Græs</v>
      </c>
      <c r="C229">
        <v>2030</v>
      </c>
      <c r="D229" t="s">
        <v>8</v>
      </c>
      <c r="E229" s="173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0</v>
      </c>
      <c r="H229" s="173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0</v>
      </c>
      <c r="I229" s="173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0</v>
      </c>
    </row>
    <row r="230" spans="1:10" x14ac:dyDescent="0.25">
      <c r="A230" t="s">
        <v>24</v>
      </c>
      <c r="B230" s="1" t="str">
        <f>[1]Afgrødefordeling!$C$6</f>
        <v>Grøntsager</v>
      </c>
      <c r="C230">
        <v>2030</v>
      </c>
      <c r="D230" t="s">
        <v>8</v>
      </c>
      <c r="E230" s="173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0</v>
      </c>
      <c r="H230" s="173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0</v>
      </c>
      <c r="I230" s="173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0</v>
      </c>
    </row>
    <row r="231" spans="1:10" x14ac:dyDescent="0.25">
      <c r="A231" t="s">
        <v>24</v>
      </c>
      <c r="B231" s="1" t="str">
        <f>[1]Afgrødefordeling!$C$7</f>
        <v>Kartofler</v>
      </c>
      <c r="C231">
        <v>2030</v>
      </c>
      <c r="D231" t="s">
        <v>8</v>
      </c>
      <c r="E231" s="173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0</v>
      </c>
      <c r="H231" s="173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0</v>
      </c>
      <c r="I231" s="173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0</v>
      </c>
    </row>
    <row r="232" spans="1:10" x14ac:dyDescent="0.25">
      <c r="A232" t="s">
        <v>24</v>
      </c>
      <c r="B232" s="1" t="str">
        <f>[1]Afgrødefordeling!$C$8</f>
        <v>Roer</v>
      </c>
      <c r="C232">
        <v>2030</v>
      </c>
      <c r="D232" t="s">
        <v>8</v>
      </c>
      <c r="E232" s="173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0</v>
      </c>
      <c r="H232" s="173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0</v>
      </c>
      <c r="I232" s="173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0</v>
      </c>
    </row>
    <row r="233" spans="1:10" x14ac:dyDescent="0.25">
      <c r="A233" t="s">
        <v>24</v>
      </c>
      <c r="B233" s="1" t="str">
        <f>[1]Afgrødefordeling!$C$9</f>
        <v>Majs</v>
      </c>
      <c r="C233">
        <v>2030</v>
      </c>
      <c r="D233" t="s">
        <v>8</v>
      </c>
      <c r="E233" s="173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0</v>
      </c>
      <c r="H233" s="173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0</v>
      </c>
      <c r="I233" s="173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0</v>
      </c>
    </row>
    <row r="234" spans="1:10" x14ac:dyDescent="0.25">
      <c r="A234" t="s">
        <v>24</v>
      </c>
      <c r="B234" s="1" t="str">
        <f>[1]Afgrødefordeling!$C$10</f>
        <v>Frugt</v>
      </c>
      <c r="C234">
        <v>2030</v>
      </c>
      <c r="D234" t="s">
        <v>8</v>
      </c>
      <c r="E234" s="173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0</v>
      </c>
      <c r="H234" s="173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0</v>
      </c>
      <c r="I234" s="173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0</v>
      </c>
    </row>
    <row r="235" spans="1:10" x14ac:dyDescent="0.25">
      <c r="A235" t="s">
        <v>24</v>
      </c>
      <c r="B235" s="1" t="str">
        <f>[1]Afgrødefordeling!$C$11</f>
        <v>Øvrige</v>
      </c>
      <c r="C235">
        <v>2030</v>
      </c>
      <c r="D235" t="s">
        <v>8</v>
      </c>
      <c r="E235" s="173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0</v>
      </c>
      <c r="H235" s="173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0</v>
      </c>
      <c r="I235" s="173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0</v>
      </c>
    </row>
    <row r="236" spans="1:10" x14ac:dyDescent="0.25">
      <c r="A236" t="s">
        <v>24</v>
      </c>
      <c r="B236" s="1" t="str">
        <f>[1]Afgrødefordeling!$C$12</f>
        <v>Frø</v>
      </c>
      <c r="C236">
        <v>2030</v>
      </c>
      <c r="D236" t="s">
        <v>8</v>
      </c>
      <c r="E236" s="173" t="str">
        <f t="shared" si="47"/>
        <v>OC12</v>
      </c>
      <c r="F236" t="str">
        <f t="shared" si="41"/>
        <v>Frø</v>
      </c>
      <c r="G236" s="76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0</v>
      </c>
      <c r="H236" s="173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0</v>
      </c>
      <c r="I236" s="173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0</v>
      </c>
      <c r="J236" s="76">
        <f t="shared" si="42"/>
        <v>0</v>
      </c>
    </row>
    <row r="237" spans="1:10" x14ac:dyDescent="0.25">
      <c r="A237" t="s">
        <v>24</v>
      </c>
      <c r="B237" s="1" t="str">
        <f>[1]Afgrødefordeling!$C$13</f>
        <v>Juletræer</v>
      </c>
      <c r="C237">
        <v>2030</v>
      </c>
      <c r="D237" t="s">
        <v>8</v>
      </c>
      <c r="E237" s="173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0</v>
      </c>
      <c r="H237" s="173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0</v>
      </c>
      <c r="I237" s="173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0</v>
      </c>
    </row>
    <row r="238" spans="1:10" x14ac:dyDescent="0.25">
      <c r="A238" t="s">
        <v>24</v>
      </c>
      <c r="B238" s="1" t="str">
        <f>[1]Afgrødefordeling!$C$14</f>
        <v>Pil &amp; poppel</v>
      </c>
      <c r="C238">
        <v>2030</v>
      </c>
      <c r="D238" t="s">
        <v>8</v>
      </c>
      <c r="E238" s="173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0</v>
      </c>
      <c r="H238" s="173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0</v>
      </c>
      <c r="I238" s="173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0</v>
      </c>
    </row>
    <row r="239" spans="1:10" x14ac:dyDescent="0.25">
      <c r="A239" t="s">
        <v>24</v>
      </c>
      <c r="B239" s="1" t="str">
        <f>[1]Afgrødefordeling!$C$15</f>
        <v>Permanent græs</v>
      </c>
      <c r="C239">
        <v>2030</v>
      </c>
      <c r="D239" t="s">
        <v>8</v>
      </c>
      <c r="E239" s="173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0</v>
      </c>
      <c r="H239" s="173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0</v>
      </c>
      <c r="I239" s="173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0</v>
      </c>
    </row>
    <row r="240" spans="1:10" x14ac:dyDescent="0.25">
      <c r="A240" t="s">
        <v>24</v>
      </c>
      <c r="B240" s="1" t="str">
        <f>[1]Afgrødefordeling!$C$2</f>
        <v>Korn</v>
      </c>
      <c r="C240">
        <v>2050</v>
      </c>
      <c r="D240" t="s">
        <v>8</v>
      </c>
      <c r="E240" s="173" t="str">
        <f t="shared" si="47"/>
        <v>OC12</v>
      </c>
      <c r="F240" t="str">
        <f t="shared" si="41"/>
        <v>Korn</v>
      </c>
      <c r="G240" s="76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0</v>
      </c>
      <c r="H240" s="173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0</v>
      </c>
      <c r="I240" s="173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0</v>
      </c>
      <c r="J240" s="76">
        <f t="shared" si="42"/>
        <v>0</v>
      </c>
    </row>
    <row r="241" spans="1:10" x14ac:dyDescent="0.25">
      <c r="A241" t="s">
        <v>24</v>
      </c>
      <c r="B241" s="1" t="str">
        <f>[1]Afgrødefordeling!$C$3</f>
        <v>Bælgsæd</v>
      </c>
      <c r="C241">
        <v>2050</v>
      </c>
      <c r="D241" t="s">
        <v>8</v>
      </c>
      <c r="E241" s="173" t="str">
        <f t="shared" si="47"/>
        <v>OC12</v>
      </c>
      <c r="F241" t="str">
        <f t="shared" si="41"/>
        <v>Bælgsæd</v>
      </c>
      <c r="G241" s="76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0</v>
      </c>
      <c r="H241" s="173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0</v>
      </c>
      <c r="I241" s="173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0</v>
      </c>
      <c r="J241" s="76">
        <f t="shared" si="42"/>
        <v>0</v>
      </c>
    </row>
    <row r="242" spans="1:10" x14ac:dyDescent="0.25">
      <c r="A242" t="s">
        <v>24</v>
      </c>
      <c r="B242" s="1" t="str">
        <f>[1]Afgrødefordeling!$C$4</f>
        <v>Raps</v>
      </c>
      <c r="C242">
        <v>2050</v>
      </c>
      <c r="D242" t="s">
        <v>8</v>
      </c>
      <c r="E242" s="173" t="str">
        <f t="shared" si="47"/>
        <v>OC12</v>
      </c>
      <c r="F242" t="str">
        <f t="shared" si="41"/>
        <v>Raps</v>
      </c>
      <c r="G242" s="76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0</v>
      </c>
      <c r="H242" s="173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0</v>
      </c>
      <c r="I242" s="173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0</v>
      </c>
      <c r="J242" s="76">
        <f t="shared" si="42"/>
        <v>0</v>
      </c>
    </row>
    <row r="243" spans="1:10" x14ac:dyDescent="0.25">
      <c r="A243" t="s">
        <v>24</v>
      </c>
      <c r="B243" s="1" t="str">
        <f>[1]Afgrødefordeling!$C$5</f>
        <v>Græs</v>
      </c>
      <c r="C243">
        <v>2050</v>
      </c>
      <c r="D243" t="s">
        <v>8</v>
      </c>
      <c r="E243" s="173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0</v>
      </c>
      <c r="H243" s="173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0</v>
      </c>
      <c r="I243" s="173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0</v>
      </c>
    </row>
    <row r="244" spans="1:10" x14ac:dyDescent="0.25">
      <c r="A244" t="s">
        <v>24</v>
      </c>
      <c r="B244" s="1" t="str">
        <f>[1]Afgrødefordeling!$C$6</f>
        <v>Grøntsager</v>
      </c>
      <c r="C244">
        <v>2050</v>
      </c>
      <c r="D244" t="s">
        <v>8</v>
      </c>
      <c r="E244" s="173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0</v>
      </c>
      <c r="H244" s="173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0</v>
      </c>
      <c r="I244" s="173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0</v>
      </c>
    </row>
    <row r="245" spans="1:10" x14ac:dyDescent="0.25">
      <c r="A245" t="s">
        <v>24</v>
      </c>
      <c r="B245" s="1" t="str">
        <f>[1]Afgrødefordeling!$C$7</f>
        <v>Kartofler</v>
      </c>
      <c r="C245">
        <v>2050</v>
      </c>
      <c r="D245" t="s">
        <v>8</v>
      </c>
      <c r="E245" s="173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0</v>
      </c>
      <c r="H245" s="173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0</v>
      </c>
      <c r="I245" s="173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0</v>
      </c>
    </row>
    <row r="246" spans="1:10" x14ac:dyDescent="0.25">
      <c r="A246" t="s">
        <v>24</v>
      </c>
      <c r="B246" s="1" t="str">
        <f>[1]Afgrødefordeling!$C$8</f>
        <v>Roer</v>
      </c>
      <c r="C246">
        <v>2050</v>
      </c>
      <c r="D246" t="s">
        <v>8</v>
      </c>
      <c r="E246" s="173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0</v>
      </c>
      <c r="H246" s="173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0</v>
      </c>
      <c r="I246" s="173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0</v>
      </c>
    </row>
    <row r="247" spans="1:10" x14ac:dyDescent="0.25">
      <c r="A247" t="s">
        <v>24</v>
      </c>
      <c r="B247" s="1" t="str">
        <f>[1]Afgrødefordeling!$C$9</f>
        <v>Majs</v>
      </c>
      <c r="C247">
        <v>2050</v>
      </c>
      <c r="D247" t="s">
        <v>8</v>
      </c>
      <c r="E247" s="173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0</v>
      </c>
      <c r="H247" s="173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0</v>
      </c>
      <c r="I247" s="173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0</v>
      </c>
    </row>
    <row r="248" spans="1:10" x14ac:dyDescent="0.25">
      <c r="A248" t="s">
        <v>24</v>
      </c>
      <c r="B248" s="1" t="str">
        <f>[1]Afgrødefordeling!$C$10</f>
        <v>Frugt</v>
      </c>
      <c r="C248">
        <v>2050</v>
      </c>
      <c r="D248" t="s">
        <v>8</v>
      </c>
      <c r="E248" s="173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0</v>
      </c>
      <c r="H248" s="173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0</v>
      </c>
      <c r="I248" s="173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0</v>
      </c>
    </row>
    <row r="249" spans="1:10" x14ac:dyDescent="0.25">
      <c r="A249" t="s">
        <v>24</v>
      </c>
      <c r="B249" s="1" t="str">
        <f>[1]Afgrødefordeling!$C$11</f>
        <v>Øvrige</v>
      </c>
      <c r="C249">
        <v>2050</v>
      </c>
      <c r="D249" t="s">
        <v>8</v>
      </c>
      <c r="E249" s="173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0</v>
      </c>
      <c r="H249" s="173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0</v>
      </c>
      <c r="I249" s="173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0</v>
      </c>
    </row>
    <row r="250" spans="1:10" x14ac:dyDescent="0.25">
      <c r="A250" t="s">
        <v>24</v>
      </c>
      <c r="B250" s="1" t="str">
        <f>[1]Afgrødefordeling!$C$12</f>
        <v>Frø</v>
      </c>
      <c r="C250">
        <v>2050</v>
      </c>
      <c r="D250" t="s">
        <v>8</v>
      </c>
      <c r="E250" s="173" t="str">
        <f t="shared" si="47"/>
        <v>OC12</v>
      </c>
      <c r="F250" t="str">
        <f t="shared" si="41"/>
        <v>Frø</v>
      </c>
      <c r="G250" s="76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0</v>
      </c>
      <c r="H250" s="173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0</v>
      </c>
      <c r="I250" s="173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0</v>
      </c>
      <c r="J250" s="76">
        <f t="shared" si="42"/>
        <v>0</v>
      </c>
    </row>
    <row r="251" spans="1:10" x14ac:dyDescent="0.25">
      <c r="A251" t="s">
        <v>24</v>
      </c>
      <c r="B251" s="1" t="str">
        <f>[1]Afgrødefordeling!$C$13</f>
        <v>Juletræer</v>
      </c>
      <c r="C251">
        <v>2050</v>
      </c>
      <c r="D251" t="s">
        <v>8</v>
      </c>
      <c r="E251" s="173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0</v>
      </c>
      <c r="H251" s="173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0</v>
      </c>
      <c r="I251" s="173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0</v>
      </c>
    </row>
    <row r="252" spans="1:10" x14ac:dyDescent="0.25">
      <c r="A252" t="s">
        <v>24</v>
      </c>
      <c r="B252" s="1" t="str">
        <f>[1]Afgrødefordeling!$C$14</f>
        <v>Pil &amp; poppel</v>
      </c>
      <c r="C252">
        <v>2050</v>
      </c>
      <c r="D252" t="s">
        <v>8</v>
      </c>
      <c r="E252" s="173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0</v>
      </c>
      <c r="H252" s="173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0</v>
      </c>
      <c r="I252" s="173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0</v>
      </c>
    </row>
    <row r="253" spans="1:10" x14ac:dyDescent="0.25">
      <c r="A253" t="s">
        <v>24</v>
      </c>
      <c r="B253" s="1" t="str">
        <f>[1]Afgrødefordeling!$C$15</f>
        <v>Permanent græs</v>
      </c>
      <c r="C253">
        <v>2050</v>
      </c>
      <c r="D253" t="s">
        <v>8</v>
      </c>
      <c r="E253" s="173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0</v>
      </c>
      <c r="H253" s="173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0</v>
      </c>
      <c r="I253" s="173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0</v>
      </c>
    </row>
    <row r="254" spans="1:10" x14ac:dyDescent="0.25">
      <c r="A254" t="s">
        <v>25</v>
      </c>
      <c r="B254" s="1" t="str">
        <f>[1]Afgrødefordeling!$C$2</f>
        <v>Korn</v>
      </c>
      <c r="C254">
        <v>2019</v>
      </c>
      <c r="D254" t="s">
        <v>7</v>
      </c>
      <c r="E254" s="173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3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3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25">
      <c r="A255" t="s">
        <v>25</v>
      </c>
      <c r="B255" s="1" t="str">
        <f>[1]Afgrødefordeling!$C$3</f>
        <v>Bælgsæd</v>
      </c>
      <c r="C255">
        <v>2019</v>
      </c>
      <c r="D255" t="s">
        <v>7</v>
      </c>
      <c r="E255" s="173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3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3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25">
      <c r="A256" t="s">
        <v>25</v>
      </c>
      <c r="B256" s="1" t="str">
        <f>[1]Afgrødefordeling!$C$4</f>
        <v>Raps</v>
      </c>
      <c r="C256">
        <v>2019</v>
      </c>
      <c r="D256" t="s">
        <v>7</v>
      </c>
      <c r="E256" s="173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3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3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25">
      <c r="A257" t="s">
        <v>25</v>
      </c>
      <c r="B257" s="1" t="str">
        <f>[1]Afgrødefordeling!$C$5</f>
        <v>Græs</v>
      </c>
      <c r="C257">
        <v>2019</v>
      </c>
      <c r="D257" t="s">
        <v>7</v>
      </c>
      <c r="E257" s="173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3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3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25">
      <c r="A258" t="s">
        <v>25</v>
      </c>
      <c r="B258" s="1" t="str">
        <f>[1]Afgrødefordeling!$C$6</f>
        <v>Grøntsager</v>
      </c>
      <c r="C258">
        <v>2019</v>
      </c>
      <c r="D258" t="s">
        <v>7</v>
      </c>
      <c r="E258" s="173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3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3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25">
      <c r="A259" t="s">
        <v>25</v>
      </c>
      <c r="B259" s="1" t="str">
        <f>[1]Afgrødefordeling!$C$7</f>
        <v>Kartofler</v>
      </c>
      <c r="C259">
        <v>2019</v>
      </c>
      <c r="D259" t="s">
        <v>7</v>
      </c>
      <c r="E259" s="173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3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3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25">
      <c r="A260" t="s">
        <v>25</v>
      </c>
      <c r="B260" s="1" t="str">
        <f>[1]Afgrødefordeling!$C$8</f>
        <v>Roer</v>
      </c>
      <c r="C260">
        <v>2019</v>
      </c>
      <c r="D260" t="s">
        <v>7</v>
      </c>
      <c r="E260" s="173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3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3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25">
      <c r="A261" t="s">
        <v>25</v>
      </c>
      <c r="B261" s="1" t="str">
        <f>[1]Afgrødefordeling!$C$9</f>
        <v>Majs</v>
      </c>
      <c r="C261">
        <v>2019</v>
      </c>
      <c r="D261" t="s">
        <v>7</v>
      </c>
      <c r="E261" s="173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3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3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25">
      <c r="A262" t="s">
        <v>25</v>
      </c>
      <c r="B262" s="1" t="str">
        <f>[1]Afgrødefordeling!$C$10</f>
        <v>Frugt</v>
      </c>
      <c r="C262">
        <v>2019</v>
      </c>
      <c r="D262" t="s">
        <v>7</v>
      </c>
      <c r="E262" s="173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3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3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25">
      <c r="A263" t="s">
        <v>25</v>
      </c>
      <c r="B263" s="1" t="str">
        <f>[1]Afgrødefordeling!$C$11</f>
        <v>Øvrige</v>
      </c>
      <c r="C263">
        <v>2019</v>
      </c>
      <c r="D263" t="s">
        <v>7</v>
      </c>
      <c r="E263" s="173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3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3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25">
      <c r="A264" t="s">
        <v>25</v>
      </c>
      <c r="B264" s="1" t="str">
        <f>[1]Afgrødefordeling!$C$12</f>
        <v>Frø</v>
      </c>
      <c r="C264">
        <v>2019</v>
      </c>
      <c r="D264" t="s">
        <v>7</v>
      </c>
      <c r="E264" s="173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3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3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25">
      <c r="A265" t="s">
        <v>25</v>
      </c>
      <c r="B265" s="1" t="str">
        <f>[1]Afgrødefordeling!$C$13</f>
        <v>Juletræer</v>
      </c>
      <c r="C265">
        <v>2019</v>
      </c>
      <c r="D265" t="s">
        <v>7</v>
      </c>
      <c r="E265" s="173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3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3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25">
      <c r="A266" t="s">
        <v>25</v>
      </c>
      <c r="B266" s="1" t="str">
        <f>[1]Afgrødefordeling!$C$14</f>
        <v>Pil &amp; poppel</v>
      </c>
      <c r="C266">
        <v>2019</v>
      </c>
      <c r="D266" t="s">
        <v>7</v>
      </c>
      <c r="E266" s="173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3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3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25">
      <c r="A267" t="s">
        <v>25</v>
      </c>
      <c r="B267" s="1" t="str">
        <f>[1]Afgrødefordeling!$C$15</f>
        <v>Permanent græs</v>
      </c>
      <c r="C267">
        <v>2019</v>
      </c>
      <c r="D267" t="s">
        <v>7</v>
      </c>
      <c r="E267" s="173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3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3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25">
      <c r="A268" t="s">
        <v>25</v>
      </c>
      <c r="B268" s="1" t="str">
        <f>[1]Afgrødefordeling!$C$2</f>
        <v>Korn</v>
      </c>
      <c r="C268">
        <v>2030</v>
      </c>
      <c r="D268" t="s">
        <v>7</v>
      </c>
      <c r="E268" s="173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268590.48894564441</v>
      </c>
      <c r="H268" s="173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1882819.3275089671</v>
      </c>
      <c r="I268" s="173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653743.11280102609</v>
      </c>
      <c r="J268" s="76">
        <f t="shared" si="42"/>
        <v>653743.11280102609</v>
      </c>
    </row>
    <row r="269" spans="1:10" x14ac:dyDescent="0.25">
      <c r="A269" t="s">
        <v>25</v>
      </c>
      <c r="B269" s="1" t="str">
        <f>[1]Afgrødefordeling!$C$3</f>
        <v>Bælgsæd</v>
      </c>
      <c r="C269">
        <v>2030</v>
      </c>
      <c r="D269" t="s">
        <v>7</v>
      </c>
      <c r="E269" s="173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5574.0572839170763</v>
      </c>
      <c r="H269" s="173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21515.861115919917</v>
      </c>
      <c r="I269" s="173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6795.0004636034573</v>
      </c>
      <c r="J269" s="76">
        <f t="shared" si="42"/>
        <v>6795.0004636034573</v>
      </c>
    </row>
    <row r="270" spans="1:10" x14ac:dyDescent="0.25">
      <c r="A270" t="s">
        <v>25</v>
      </c>
      <c r="B270" s="1" t="str">
        <f>[1]Afgrødefordeling!$C$4</f>
        <v>Raps</v>
      </c>
      <c r="C270">
        <v>2030</v>
      </c>
      <c r="D270" t="s">
        <v>7</v>
      </c>
      <c r="E270" s="173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22519.293547348854</v>
      </c>
      <c r="H270" s="173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99084.891608334961</v>
      </c>
      <c r="I270" s="173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56297.062865107684</v>
      </c>
      <c r="J270" s="76">
        <f t="shared" si="42"/>
        <v>56297.062865107684</v>
      </c>
    </row>
    <row r="271" spans="1:10" x14ac:dyDescent="0.25">
      <c r="A271" t="s">
        <v>25</v>
      </c>
      <c r="B271" s="1" t="str">
        <f>[1]Afgrødefordeling!$C$5</f>
        <v>Græs</v>
      </c>
      <c r="C271">
        <v>2030</v>
      </c>
      <c r="D271" t="s">
        <v>7</v>
      </c>
      <c r="E271" s="173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21481.174310929808</v>
      </c>
      <c r="H271" s="173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1065895.8693083371</v>
      </c>
      <c r="I271" s="173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1065895.8693083371</v>
      </c>
    </row>
    <row r="272" spans="1:10" x14ac:dyDescent="0.25">
      <c r="A272" t="s">
        <v>25</v>
      </c>
      <c r="B272" s="1" t="str">
        <f>[1]Afgrødefordeling!$C$6</f>
        <v>Grøntsager</v>
      </c>
      <c r="C272">
        <v>2030</v>
      </c>
      <c r="D272" t="s">
        <v>7</v>
      </c>
      <c r="E272" s="173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3366.1056333623883</v>
      </c>
      <c r="H272" s="173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69846.691892269562</v>
      </c>
      <c r="I272" s="173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69846.691892269562</v>
      </c>
    </row>
    <row r="273" spans="1:10" x14ac:dyDescent="0.25">
      <c r="A273" t="s">
        <v>25</v>
      </c>
      <c r="B273" s="1" t="str">
        <f>[1]Afgrødefordeling!$C$7</f>
        <v>Kartofler</v>
      </c>
      <c r="C273">
        <v>2030</v>
      </c>
      <c r="D273" t="s">
        <v>7</v>
      </c>
      <c r="E273" s="173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-2120.3732467518535</v>
      </c>
      <c r="H273" s="173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-90054.159003582681</v>
      </c>
      <c r="I273" s="173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-90054.159003582681</v>
      </c>
    </row>
    <row r="274" spans="1:10" x14ac:dyDescent="0.25">
      <c r="A274" t="s">
        <v>25</v>
      </c>
      <c r="B274" s="1" t="str">
        <f>[1]Afgrødefordeling!$C$8</f>
        <v>Roer</v>
      </c>
      <c r="C274">
        <v>2030</v>
      </c>
      <c r="D274" t="s">
        <v>7</v>
      </c>
      <c r="E274" s="173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22447.91242805776</v>
      </c>
      <c r="H274" s="173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1823976.6456469619</v>
      </c>
      <c r="I274" s="173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1823976.6456469619</v>
      </c>
    </row>
    <row r="275" spans="1:10" x14ac:dyDescent="0.25">
      <c r="A275" t="s">
        <v>25</v>
      </c>
      <c r="B275" s="1" t="str">
        <f>[1]Afgrødefordeling!$C$9</f>
        <v>Majs</v>
      </c>
      <c r="C275">
        <v>2030</v>
      </c>
      <c r="D275" t="s">
        <v>7</v>
      </c>
      <c r="E275" s="173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6349.1049959292022</v>
      </c>
      <c r="H275" s="173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282598.6633688088</v>
      </c>
      <c r="I275" s="173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282598.6633688088</v>
      </c>
    </row>
    <row r="276" spans="1:10" x14ac:dyDescent="0.25">
      <c r="A276" t="s">
        <v>25</v>
      </c>
      <c r="B276" s="1" t="str">
        <f>[1]Afgrødefordeling!$C$10</f>
        <v>Frugt</v>
      </c>
      <c r="C276">
        <v>2030</v>
      </c>
      <c r="D276" t="s">
        <v>7</v>
      </c>
      <c r="E276" s="173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1477.3175726528953</v>
      </c>
      <c r="H276" s="173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12542.426191823082</v>
      </c>
      <c r="I276" s="173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12542.426191823082</v>
      </c>
    </row>
    <row r="277" spans="1:10" x14ac:dyDescent="0.25">
      <c r="A277" t="s">
        <v>25</v>
      </c>
      <c r="B277" s="1" t="str">
        <f>[1]Afgrødefordeling!$C$11</f>
        <v>Øvrige</v>
      </c>
      <c r="C277">
        <v>2030</v>
      </c>
      <c r="D277" t="s">
        <v>7</v>
      </c>
      <c r="E277" s="173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6269.0257103210697</v>
      </c>
      <c r="H277" s="173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186791.53591609412</v>
      </c>
      <c r="I277" s="173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186791.53591609412</v>
      </c>
    </row>
    <row r="278" spans="1:10" x14ac:dyDescent="0.25">
      <c r="A278" t="s">
        <v>25</v>
      </c>
      <c r="B278" s="1" t="str">
        <f>[1]Afgrødefordeling!$C$12</f>
        <v>Frø</v>
      </c>
      <c r="C278">
        <v>2030</v>
      </c>
      <c r="D278" t="s">
        <v>7</v>
      </c>
      <c r="E278" s="173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32637.564637558302</v>
      </c>
      <c r="H278" s="173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466353.61663504504</v>
      </c>
      <c r="I278" s="173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82416.378222762243</v>
      </c>
      <c r="J278" s="76">
        <f t="shared" si="55"/>
        <v>82416.378222762243</v>
      </c>
    </row>
    <row r="279" spans="1:10" x14ac:dyDescent="0.25">
      <c r="A279" t="s">
        <v>25</v>
      </c>
      <c r="B279" s="1" t="str">
        <f>[1]Afgrødefordeling!$C$13</f>
        <v>Juletræer</v>
      </c>
      <c r="C279">
        <v>2030</v>
      </c>
      <c r="D279" t="s">
        <v>7</v>
      </c>
      <c r="E279" s="173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2314.9482294700565</v>
      </c>
      <c r="H279" s="173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115747.41147350283</v>
      </c>
      <c r="I279" s="173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115747.41147350283</v>
      </c>
    </row>
    <row r="280" spans="1:10" x14ac:dyDescent="0.25">
      <c r="A280" t="s">
        <v>25</v>
      </c>
      <c r="B280" s="1" t="str">
        <f>[1]Afgrødefordeling!$C$14</f>
        <v>Pil &amp; poppel</v>
      </c>
      <c r="C280">
        <v>2030</v>
      </c>
      <c r="D280" t="s">
        <v>7</v>
      </c>
      <c r="E280" s="173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1100.3783407649707</v>
      </c>
      <c r="H280" s="173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26838.496116218797</v>
      </c>
      <c r="I280" s="173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26838.496116218797</v>
      </c>
    </row>
    <row r="281" spans="1:10" x14ac:dyDescent="0.25">
      <c r="A281" t="s">
        <v>25</v>
      </c>
      <c r="B281" s="1" t="str">
        <f>[1]Afgrødefordeling!$C$15</f>
        <v>Permanent græs</v>
      </c>
      <c r="C281">
        <v>2030</v>
      </c>
      <c r="D281" t="s">
        <v>7</v>
      </c>
      <c r="E281" s="173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35966.829083562858</v>
      </c>
      <c r="H281" s="173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495982.57306233182</v>
      </c>
      <c r="I281" s="173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495982.57306233182</v>
      </c>
    </row>
    <row r="282" spans="1:10" x14ac:dyDescent="0.25">
      <c r="A282" t="s">
        <v>25</v>
      </c>
      <c r="B282" s="1" t="str">
        <f>[1]Afgrødefordeling!$C$2</f>
        <v>Korn</v>
      </c>
      <c r="C282">
        <v>2050</v>
      </c>
      <c r="D282" t="s">
        <v>7</v>
      </c>
      <c r="E282" s="173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258307.22289273364</v>
      </c>
      <c r="H282" s="173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1810733.632478063</v>
      </c>
      <c r="I282" s="173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646341.37011304451</v>
      </c>
      <c r="J282" s="76">
        <f t="shared" si="55"/>
        <v>646341.37011304451</v>
      </c>
    </row>
    <row r="283" spans="1:10" x14ac:dyDescent="0.25">
      <c r="A283" t="s">
        <v>25</v>
      </c>
      <c r="B283" s="1" t="str">
        <f>[1]Afgrødefordeling!$C$3</f>
        <v>Bælgsæd</v>
      </c>
      <c r="C283">
        <v>2050</v>
      </c>
      <c r="D283" t="s">
        <v>7</v>
      </c>
      <c r="E283" s="173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5276.5714747282582</v>
      </c>
      <c r="H283" s="173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20367.565892451079</v>
      </c>
      <c r="I283" s="173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6612.6996269874726</v>
      </c>
      <c r="J283" s="76">
        <f t="shared" si="55"/>
        <v>6612.6996269874726</v>
      </c>
    </row>
    <row r="284" spans="1:10" x14ac:dyDescent="0.25">
      <c r="A284" t="s">
        <v>25</v>
      </c>
      <c r="B284" s="1" t="str">
        <f>[1]Afgrødefordeling!$C$4</f>
        <v>Raps</v>
      </c>
      <c r="C284">
        <v>2050</v>
      </c>
      <c r="D284" t="s">
        <v>7</v>
      </c>
      <c r="E284" s="173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21317.445428094172</v>
      </c>
      <c r="H284" s="173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93796.759883614359</v>
      </c>
      <c r="I284" s="173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54786.687448019155</v>
      </c>
      <c r="J284" s="76">
        <f t="shared" si="55"/>
        <v>54786.687448019155</v>
      </c>
    </row>
    <row r="285" spans="1:10" x14ac:dyDescent="0.25">
      <c r="A285" t="s">
        <v>25</v>
      </c>
      <c r="B285" s="1" t="str">
        <f>[1]Afgrødefordeling!$C$5</f>
        <v>Græs</v>
      </c>
      <c r="C285">
        <v>2050</v>
      </c>
      <c r="D285" t="s">
        <v>7</v>
      </c>
      <c r="E285" s="173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24386.060205130583</v>
      </c>
      <c r="H285" s="173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1210036.3073785796</v>
      </c>
      <c r="I285" s="173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1210036.3073785796</v>
      </c>
    </row>
    <row r="286" spans="1:10" x14ac:dyDescent="0.25">
      <c r="A286" t="s">
        <v>25</v>
      </c>
      <c r="B286" s="1" t="str">
        <f>[1]Afgrødefordeling!$C$6</f>
        <v>Grøntsager</v>
      </c>
      <c r="C286">
        <v>2050</v>
      </c>
      <c r="D286" t="s">
        <v>7</v>
      </c>
      <c r="E286" s="173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3186.4575588718167</v>
      </c>
      <c r="H286" s="173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66118.994346590203</v>
      </c>
      <c r="I286" s="173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66118.994346590203</v>
      </c>
    </row>
    <row r="287" spans="1:10" x14ac:dyDescent="0.25">
      <c r="A287" t="s">
        <v>25</v>
      </c>
      <c r="B287" s="1" t="str">
        <f>[1]Afgrødefordeling!$C$7</f>
        <v>Kartofler</v>
      </c>
      <c r="C287">
        <v>2050</v>
      </c>
      <c r="D287" t="s">
        <v>7</v>
      </c>
      <c r="E287" s="173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-2007.2095458849287</v>
      </c>
      <c r="H287" s="173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-85247.994840308587</v>
      </c>
      <c r="I287" s="173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-85247.994840308587</v>
      </c>
    </row>
    <row r="288" spans="1:10" x14ac:dyDescent="0.25">
      <c r="A288" t="s">
        <v>25</v>
      </c>
      <c r="B288" s="1" t="str">
        <f>[1]Afgrødefordeling!$C$8</f>
        <v>Roer</v>
      </c>
      <c r="C288">
        <v>2050</v>
      </c>
      <c r="D288" t="s">
        <v>7</v>
      </c>
      <c r="E288" s="173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21249.873898290862</v>
      </c>
      <c r="H288" s="173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1726631.5448103799</v>
      </c>
      <c r="I288" s="173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1726631.5448103799</v>
      </c>
    </row>
    <row r="289" spans="1:10" x14ac:dyDescent="0.25">
      <c r="A289" t="s">
        <v>25</v>
      </c>
      <c r="B289" s="1" t="str">
        <f>[1]Afgrødefordeling!$C$9</f>
        <v>Majs</v>
      </c>
      <c r="C289">
        <v>2050</v>
      </c>
      <c r="D289" t="s">
        <v>7</v>
      </c>
      <c r="E289" s="173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6010.2551167238944</v>
      </c>
      <c r="H289" s="173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267516.45524538058</v>
      </c>
      <c r="I289" s="173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267516.45524538058</v>
      </c>
    </row>
    <row r="290" spans="1:10" x14ac:dyDescent="0.25">
      <c r="A290" t="s">
        <v>25</v>
      </c>
      <c r="B290" s="1" t="str">
        <f>[1]Afgrødefordeling!$C$10</f>
        <v>Frugt</v>
      </c>
      <c r="C290">
        <v>2050</v>
      </c>
      <c r="D290" t="s">
        <v>7</v>
      </c>
      <c r="E290" s="173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1398.4735652908703</v>
      </c>
      <c r="H290" s="173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11873.040569319492</v>
      </c>
      <c r="I290" s="173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11873.040569319492</v>
      </c>
    </row>
    <row r="291" spans="1:10" x14ac:dyDescent="0.25">
      <c r="A291" t="s">
        <v>25</v>
      </c>
      <c r="B291" s="1" t="str">
        <f>[1]Afgrødefordeling!$C$11</f>
        <v>Øvrige</v>
      </c>
      <c r="C291">
        <v>2050</v>
      </c>
      <c r="D291" t="s">
        <v>7</v>
      </c>
      <c r="E291" s="173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5934.4496391993525</v>
      </c>
      <c r="H291" s="173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176822.52620176051</v>
      </c>
      <c r="I291" s="173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176822.52620176051</v>
      </c>
    </row>
    <row r="292" spans="1:10" x14ac:dyDescent="0.25">
      <c r="A292" t="s">
        <v>25</v>
      </c>
      <c r="B292" s="1" t="str">
        <f>[1]Afgrødefordeling!$C$12</f>
        <v>Frø</v>
      </c>
      <c r="C292">
        <v>2050</v>
      </c>
      <c r="D292" t="s">
        <v>7</v>
      </c>
      <c r="E292" s="173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30895.707345533239</v>
      </c>
      <c r="H292" s="173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441464.46032639028</v>
      </c>
      <c r="I292" s="173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80205.256269004283</v>
      </c>
      <c r="J292" s="76">
        <f t="shared" si="55"/>
        <v>80205.256269004283</v>
      </c>
    </row>
    <row r="293" spans="1:10" x14ac:dyDescent="0.25">
      <c r="A293" t="s">
        <v>25</v>
      </c>
      <c r="B293" s="1" t="str">
        <f>[1]Afgrødefordeling!$C$13</f>
        <v>Juletræer</v>
      </c>
      <c r="C293">
        <v>2050</v>
      </c>
      <c r="D293" t="s">
        <v>7</v>
      </c>
      <c r="E293" s="173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2191.4001186063351</v>
      </c>
      <c r="H293" s="173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109570.00593031675</v>
      </c>
      <c r="I293" s="173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109570.00593031675</v>
      </c>
    </row>
    <row r="294" spans="1:10" x14ac:dyDescent="0.25">
      <c r="A294" t="s">
        <v>25</v>
      </c>
      <c r="B294" s="1" t="str">
        <f>[1]Afgrødefordeling!$C$14</f>
        <v>Pil &amp; poppel</v>
      </c>
      <c r="C294">
        <v>2050</v>
      </c>
      <c r="D294" t="s">
        <v>7</v>
      </c>
      <c r="E294" s="173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1041.6514701135304</v>
      </c>
      <c r="H294" s="173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25406.133417403184</v>
      </c>
      <c r="I294" s="173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25406.133417403184</v>
      </c>
    </row>
    <row r="295" spans="1:10" x14ac:dyDescent="0.25">
      <c r="A295" t="s">
        <v>25</v>
      </c>
      <c r="B295" s="1" t="str">
        <f>[1]Afgrødefordeling!$C$15</f>
        <v>Permanent græs</v>
      </c>
      <c r="C295">
        <v>2050</v>
      </c>
      <c r="D295" t="s">
        <v>7</v>
      </c>
      <c r="E295" s="173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25944.630134419032</v>
      </c>
      <c r="H295" s="173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357776.44955363846</v>
      </c>
      <c r="I295" s="173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357776.44955363846</v>
      </c>
    </row>
    <row r="296" spans="1:10" x14ac:dyDescent="0.25">
      <c r="A296" t="s">
        <v>25</v>
      </c>
      <c r="B296" s="1" t="str">
        <f>[1]Afgrødefordeling!$C$2</f>
        <v>Korn</v>
      </c>
      <c r="C296">
        <v>2019</v>
      </c>
      <c r="D296" t="s">
        <v>8</v>
      </c>
      <c r="E296" s="173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3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3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25">
      <c r="A297" t="s">
        <v>25</v>
      </c>
      <c r="B297" s="1" t="str">
        <f>[1]Afgrødefordeling!$C$3</f>
        <v>Bælgsæd</v>
      </c>
      <c r="C297">
        <v>2019</v>
      </c>
      <c r="D297" t="s">
        <v>8</v>
      </c>
      <c r="E297" s="173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3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3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25">
      <c r="A298" t="s">
        <v>25</v>
      </c>
      <c r="B298" s="1" t="str">
        <f>[1]Afgrødefordeling!$C$4</f>
        <v>Raps</v>
      </c>
      <c r="C298">
        <v>2019</v>
      </c>
      <c r="D298" t="s">
        <v>8</v>
      </c>
      <c r="E298" s="173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3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3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25">
      <c r="A299" t="s">
        <v>25</v>
      </c>
      <c r="B299" s="1" t="str">
        <f>[1]Afgrødefordeling!$C$5</f>
        <v>Græs</v>
      </c>
      <c r="C299">
        <v>2019</v>
      </c>
      <c r="D299" t="s">
        <v>8</v>
      </c>
      <c r="E299" s="173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3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3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25">
      <c r="A300" t="s">
        <v>25</v>
      </c>
      <c r="B300" s="1" t="str">
        <f>[1]Afgrødefordeling!$C$6</f>
        <v>Grøntsager</v>
      </c>
      <c r="C300">
        <v>2019</v>
      </c>
      <c r="D300" t="s">
        <v>8</v>
      </c>
      <c r="E300" s="173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3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3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25">
      <c r="A301" t="s">
        <v>25</v>
      </c>
      <c r="B301" s="1" t="str">
        <f>[1]Afgrødefordeling!$C$7</f>
        <v>Kartofler</v>
      </c>
      <c r="C301">
        <v>2019</v>
      </c>
      <c r="D301" t="s">
        <v>8</v>
      </c>
      <c r="E301" s="173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3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3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25">
      <c r="A302" t="s">
        <v>25</v>
      </c>
      <c r="B302" s="1" t="str">
        <f>[1]Afgrødefordeling!$C$8</f>
        <v>Roer</v>
      </c>
      <c r="C302">
        <v>2019</v>
      </c>
      <c r="D302" t="s">
        <v>8</v>
      </c>
      <c r="E302" s="173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3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3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25">
      <c r="A303" t="s">
        <v>25</v>
      </c>
      <c r="B303" s="1" t="str">
        <f>[1]Afgrødefordeling!$C$9</f>
        <v>Majs</v>
      </c>
      <c r="C303">
        <v>2019</v>
      </c>
      <c r="D303" t="s">
        <v>8</v>
      </c>
      <c r="E303" s="173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3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3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25">
      <c r="A304" t="s">
        <v>25</v>
      </c>
      <c r="B304" s="1" t="str">
        <f>[1]Afgrødefordeling!$C$10</f>
        <v>Frugt</v>
      </c>
      <c r="C304">
        <v>2019</v>
      </c>
      <c r="D304" t="s">
        <v>8</v>
      </c>
      <c r="E304" s="173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3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3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25">
      <c r="A305" t="s">
        <v>25</v>
      </c>
      <c r="B305" s="1" t="str">
        <f>[1]Afgrødefordeling!$C$11</f>
        <v>Øvrige</v>
      </c>
      <c r="C305">
        <v>2019</v>
      </c>
      <c r="D305" t="s">
        <v>8</v>
      </c>
      <c r="E305" s="173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3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3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25">
      <c r="A306" t="s">
        <v>25</v>
      </c>
      <c r="B306" s="1" t="str">
        <f>[1]Afgrødefordeling!$C$12</f>
        <v>Frø</v>
      </c>
      <c r="C306">
        <v>2019</v>
      </c>
      <c r="D306" t="s">
        <v>8</v>
      </c>
      <c r="E306" s="173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3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3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25">
      <c r="A307" t="s">
        <v>25</v>
      </c>
      <c r="B307" s="1" t="str">
        <f>[1]Afgrødefordeling!$C$13</f>
        <v>Juletræer</v>
      </c>
      <c r="C307">
        <v>2019</v>
      </c>
      <c r="D307" t="s">
        <v>8</v>
      </c>
      <c r="E307" s="173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3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3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25">
      <c r="A308" t="s">
        <v>25</v>
      </c>
      <c r="B308" s="1" t="str">
        <f>[1]Afgrødefordeling!$C$14</f>
        <v>Pil &amp; poppel</v>
      </c>
      <c r="C308">
        <v>2019</v>
      </c>
      <c r="D308" t="s">
        <v>8</v>
      </c>
      <c r="E308" s="173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3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3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25">
      <c r="A309" t="s">
        <v>25</v>
      </c>
      <c r="B309" s="1" t="str">
        <f>[1]Afgrødefordeling!$C$15</f>
        <v>Permanent græs</v>
      </c>
      <c r="C309">
        <v>2019</v>
      </c>
      <c r="D309" t="s">
        <v>8</v>
      </c>
      <c r="E309" s="173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3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3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25">
      <c r="A310" t="s">
        <v>25</v>
      </c>
      <c r="B310" s="1" t="str">
        <f>[1]Afgrødefordeling!$C$2</f>
        <v>Korn</v>
      </c>
      <c r="C310">
        <v>2030</v>
      </c>
      <c r="D310" t="s">
        <v>8</v>
      </c>
      <c r="E310" s="173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41918.746829667056</v>
      </c>
      <c r="H310" s="173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196879.7782348973</v>
      </c>
      <c r="I310" s="173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68359.612199829862</v>
      </c>
      <c r="J310" s="76">
        <f t="shared" si="55"/>
        <v>68359.612199829862</v>
      </c>
    </row>
    <row r="311" spans="1:10" x14ac:dyDescent="0.25">
      <c r="A311" t="s">
        <v>25</v>
      </c>
      <c r="B311" s="1" t="str">
        <f>[1]Afgrødefordeling!$C$3</f>
        <v>Bælgsæd</v>
      </c>
      <c r="C311">
        <v>2030</v>
      </c>
      <c r="D311" t="s">
        <v>8</v>
      </c>
      <c r="E311" s="173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869.93957610266511</v>
      </c>
      <c r="H311" s="173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1914.0410553410836</v>
      </c>
      <c r="I311" s="173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604.48009904541732</v>
      </c>
      <c r="J311" s="76">
        <f t="shared" si="55"/>
        <v>604.48009904541732</v>
      </c>
    </row>
    <row r="312" spans="1:10" x14ac:dyDescent="0.25">
      <c r="A312" t="s">
        <v>25</v>
      </c>
      <c r="B312" s="1" t="str">
        <f>[1]Afgrødefordeling!$C$4</f>
        <v>Raps</v>
      </c>
      <c r="C312">
        <v>2030</v>
      </c>
      <c r="D312" t="s">
        <v>8</v>
      </c>
      <c r="E312" s="173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3514.5718253087812</v>
      </c>
      <c r="H312" s="173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8505.2638172472525</v>
      </c>
      <c r="I312" s="173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4832.4357430453701</v>
      </c>
      <c r="J312" s="76">
        <f t="shared" si="55"/>
        <v>4832.4357430453701</v>
      </c>
    </row>
    <row r="313" spans="1:10" x14ac:dyDescent="0.25">
      <c r="A313" t="s">
        <v>25</v>
      </c>
      <c r="B313" s="1" t="str">
        <f>[1]Afgrødefordeling!$C$5</f>
        <v>Græs</v>
      </c>
      <c r="C313">
        <v>2030</v>
      </c>
      <c r="D313" t="s">
        <v>8</v>
      </c>
      <c r="E313" s="173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3352.5532161566757</v>
      </c>
      <c r="H313" s="173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129755.87865684152</v>
      </c>
      <c r="I313" s="173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129755.87865684152</v>
      </c>
    </row>
    <row r="314" spans="1:10" x14ac:dyDescent="0.25">
      <c r="A314" t="s">
        <v>25</v>
      </c>
      <c r="B314" s="1" t="str">
        <f>[1]Afgrødefordeling!$C$6</f>
        <v>Grøntsager</v>
      </c>
      <c r="C314">
        <v>2030</v>
      </c>
      <c r="D314" t="s">
        <v>8</v>
      </c>
      <c r="E314" s="173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525.34596590048841</v>
      </c>
      <c r="H314" s="173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6213.5294116880268</v>
      </c>
      <c r="I314" s="173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6213.5294116880268</v>
      </c>
    </row>
    <row r="315" spans="1:10" x14ac:dyDescent="0.25">
      <c r="A315" t="s">
        <v>25</v>
      </c>
      <c r="B315" s="1" t="str">
        <f>[1]Afgrødefordeling!$C$7</f>
        <v>Kartofler</v>
      </c>
      <c r="C315">
        <v>2030</v>
      </c>
      <c r="D315" t="s">
        <v>8</v>
      </c>
      <c r="E315" s="173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-330.92530440635869</v>
      </c>
      <c r="H315" s="173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-8011.17634141698</v>
      </c>
      <c r="I315" s="173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-8011.17634141698</v>
      </c>
    </row>
    <row r="316" spans="1:10" x14ac:dyDescent="0.25">
      <c r="A316" t="s">
        <v>25</v>
      </c>
      <c r="B316" s="1" t="str">
        <f>[1]Afgrødefordeling!$C$8</f>
        <v>Roer</v>
      </c>
      <c r="C316">
        <v>2030</v>
      </c>
      <c r="D316" t="s">
        <v>8</v>
      </c>
      <c r="E316" s="173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3503.4314194078588</v>
      </c>
      <c r="H316" s="173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162260.11893934532</v>
      </c>
      <c r="I316" s="173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162260.11893934532</v>
      </c>
    </row>
    <row r="317" spans="1:10" x14ac:dyDescent="0.25">
      <c r="A317" t="s">
        <v>25</v>
      </c>
      <c r="B317" s="1" t="str">
        <f>[1]Afgrødefordeling!$C$9</f>
        <v>Majs</v>
      </c>
      <c r="C317">
        <v>2030</v>
      </c>
      <c r="D317" t="s">
        <v>8</v>
      </c>
      <c r="E317" s="173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990.90077971149412</v>
      </c>
      <c r="H317" s="173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36607.144775115645</v>
      </c>
      <c r="I317" s="173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36607.144775115645</v>
      </c>
    </row>
    <row r="318" spans="1:10" x14ac:dyDescent="0.25">
      <c r="A318" t="s">
        <v>25</v>
      </c>
      <c r="B318" s="1" t="str">
        <f>[1]Afgrødefordeling!$C$10</f>
        <v>Frugt</v>
      </c>
      <c r="C318">
        <v>2030</v>
      </c>
      <c r="D318" t="s">
        <v>8</v>
      </c>
      <c r="E318" s="173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230.56401422906458</v>
      </c>
      <c r="H318" s="173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1115.7684340587123</v>
      </c>
      <c r="I318" s="173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1115.7684340587123</v>
      </c>
    </row>
    <row r="319" spans="1:10" x14ac:dyDescent="0.25">
      <c r="A319" t="s">
        <v>25</v>
      </c>
      <c r="B319" s="1" t="str">
        <f>[1]Afgrødefordeling!$C$11</f>
        <v>Øvrige</v>
      </c>
      <c r="C319">
        <v>2030</v>
      </c>
      <c r="D319" t="s">
        <v>8</v>
      </c>
      <c r="E319" s="173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978.40285652409761</v>
      </c>
      <c r="H319" s="173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16616.888657506872</v>
      </c>
      <c r="I319" s="173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16616.888657506872</v>
      </c>
    </row>
    <row r="320" spans="1:10" x14ac:dyDescent="0.25">
      <c r="A320" t="s">
        <v>25</v>
      </c>
      <c r="B320" s="1" t="str">
        <f>[1]Afgrødefordeling!$C$12</f>
        <v>Frø</v>
      </c>
      <c r="C320">
        <v>2030</v>
      </c>
      <c r="D320" t="s">
        <v>8</v>
      </c>
      <c r="E320" s="173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5093.7239607749952</v>
      </c>
      <c r="H320" s="173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41486.602081001991</v>
      </c>
      <c r="I320" s="173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7331.7228950769395</v>
      </c>
      <c r="J320" s="76">
        <f t="shared" si="55"/>
        <v>7331.7228950769395</v>
      </c>
    </row>
    <row r="321" spans="1:10" x14ac:dyDescent="0.25">
      <c r="A321" t="s">
        <v>25</v>
      </c>
      <c r="B321" s="1" t="str">
        <f>[1]Afgrødefordeling!$C$13</f>
        <v>Juletræer</v>
      </c>
      <c r="C321">
        <v>2030</v>
      </c>
      <c r="D321" t="s">
        <v>8</v>
      </c>
      <c r="E321" s="173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361.29249824099151</v>
      </c>
      <c r="H321" s="173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10296.836199868258</v>
      </c>
      <c r="I321" s="173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10296.836199868258</v>
      </c>
    </row>
    <row r="322" spans="1:10" x14ac:dyDescent="0.25">
      <c r="A322" t="s">
        <v>25</v>
      </c>
      <c r="B322" s="1" t="str">
        <f>[1]Afgrødefordeling!$C$14</f>
        <v>Pil &amp; poppel</v>
      </c>
      <c r="C322">
        <v>2030</v>
      </c>
      <c r="D322" t="s">
        <v>8</v>
      </c>
      <c r="E322" s="173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171.73534798066015</v>
      </c>
      <c r="H322" s="173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2387.5402036335681</v>
      </c>
      <c r="I322" s="173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2387.5402036335681</v>
      </c>
    </row>
    <row r="323" spans="1:10" x14ac:dyDescent="0.25">
      <c r="A323" t="s">
        <v>25</v>
      </c>
      <c r="B323" s="1" t="str">
        <f>[1]Afgrødefordeling!$C$15</f>
        <v>Permanent græs</v>
      </c>
      <c r="C323">
        <v>2030</v>
      </c>
      <c r="D323" t="s">
        <v>8</v>
      </c>
      <c r="E323" s="173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5613.320145989579</v>
      </c>
      <c r="H323" s="173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77407.684813196291</v>
      </c>
      <c r="I323" s="173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77407.684813196291</v>
      </c>
    </row>
    <row r="324" spans="1:10" x14ac:dyDescent="0.25">
      <c r="A324" t="s">
        <v>25</v>
      </c>
      <c r="B324" s="1" t="str">
        <f>[1]Afgrødefordeling!$C$2</f>
        <v>Korn</v>
      </c>
      <c r="C324">
        <v>2050</v>
      </c>
      <c r="D324" t="s">
        <v>8</v>
      </c>
      <c r="E324" s="173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54792.441219670778</v>
      </c>
      <c r="H324" s="173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257343.65867642776</v>
      </c>
      <c r="I324" s="173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91858.818964550897</v>
      </c>
      <c r="J324" s="76">
        <f t="shared" si="55"/>
        <v>91858.818964550897</v>
      </c>
    </row>
    <row r="325" spans="1:10" x14ac:dyDescent="0.25">
      <c r="A325" t="s">
        <v>25</v>
      </c>
      <c r="B325" s="1" t="str">
        <f>[1]Afgrødefordeling!$C$3</f>
        <v>Bælgsæd</v>
      </c>
      <c r="C325">
        <v>2050</v>
      </c>
      <c r="D325" t="s">
        <v>8</v>
      </c>
      <c r="E325" s="173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1119.27273706357</v>
      </c>
      <c r="H325" s="173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2462.623876087267</v>
      </c>
      <c r="I325" s="173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799.53550035393982</v>
      </c>
      <c r="J325" s="76">
        <f t="shared" si="55"/>
        <v>799.53550035393982</v>
      </c>
    </row>
    <row r="326" spans="1:10" x14ac:dyDescent="0.25">
      <c r="A326" t="s">
        <v>25</v>
      </c>
      <c r="B326" s="1" t="str">
        <f>[1]Afgrødefordeling!$C$4</f>
        <v>Raps</v>
      </c>
      <c r="C326">
        <v>2050</v>
      </c>
      <c r="D326" t="s">
        <v>8</v>
      </c>
      <c r="E326" s="173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4521.8823635351273</v>
      </c>
      <c r="H326" s="173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10942.95531975501</v>
      </c>
      <c r="I326" s="173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6391.780202268902</v>
      </c>
      <c r="J326" s="76">
        <f t="shared" si="55"/>
        <v>6391.780202268902</v>
      </c>
    </row>
    <row r="327" spans="1:10" x14ac:dyDescent="0.25">
      <c r="A327" t="s">
        <v>25</v>
      </c>
      <c r="B327" s="1" t="str">
        <f>[1]Afgrødefordeling!$C$5</f>
        <v>Græs</v>
      </c>
      <c r="C327">
        <v>2050</v>
      </c>
      <c r="D327" t="s">
        <v>8</v>
      </c>
      <c r="E327" s="173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5172.8006495731543</v>
      </c>
      <c r="H327" s="173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200206.00722081953</v>
      </c>
      <c r="I327" s="173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200206.00722081953</v>
      </c>
    </row>
    <row r="328" spans="1:10" x14ac:dyDescent="0.25">
      <c r="A328" t="s">
        <v>25</v>
      </c>
      <c r="B328" s="1" t="str">
        <f>[1]Afgrødefordeling!$C$6</f>
        <v>Grøntsager</v>
      </c>
      <c r="C328">
        <v>2050</v>
      </c>
      <c r="D328" t="s">
        <v>8</v>
      </c>
      <c r="E328" s="173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675.91523976068834</v>
      </c>
      <c r="H328" s="173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7994.3874982695415</v>
      </c>
      <c r="I328" s="173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7994.3874982695415</v>
      </c>
    </row>
    <row r="329" spans="1:10" x14ac:dyDescent="0.25">
      <c r="A329" t="s">
        <v>25</v>
      </c>
      <c r="B329" s="1" t="str">
        <f>[1]Afgrødefordeling!$C$7</f>
        <v>Kartofler</v>
      </c>
      <c r="C329">
        <v>2050</v>
      </c>
      <c r="D329" t="s">
        <v>8</v>
      </c>
      <c r="E329" s="173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-425.77172185437882</v>
      </c>
      <c r="H329" s="173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-10307.257557964584</v>
      </c>
      <c r="I329" s="173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-10307.257557964584</v>
      </c>
    </row>
    <row r="330" spans="1:10" x14ac:dyDescent="0.25">
      <c r="A330" t="s">
        <v>25</v>
      </c>
      <c r="B330" s="1" t="str">
        <f>[1]Afgrødefordeling!$C$8</f>
        <v>Roer</v>
      </c>
      <c r="C330">
        <v>2050</v>
      </c>
      <c r="D330" t="s">
        <v>8</v>
      </c>
      <c r="E330" s="173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4507.5490087283642</v>
      </c>
      <c r="H330" s="173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208765.45041798227</v>
      </c>
      <c r="I330" s="173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208765.45041798227</v>
      </c>
    </row>
    <row r="331" spans="1:10" x14ac:dyDescent="0.25">
      <c r="A331" t="s">
        <v>25</v>
      </c>
      <c r="B331" s="1" t="str">
        <f>[1]Afgrødefordeling!$C$9</f>
        <v>Majs</v>
      </c>
      <c r="C331">
        <v>2050</v>
      </c>
      <c r="D331" t="s">
        <v>8</v>
      </c>
      <c r="E331" s="173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1274.9026005171897</v>
      </c>
      <c r="H331" s="173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47099.109241686703</v>
      </c>
      <c r="I331" s="173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47099.109241686703</v>
      </c>
    </row>
    <row r="332" spans="1:10" x14ac:dyDescent="0.25">
      <c r="A332" t="s">
        <v>25</v>
      </c>
      <c r="B332" s="1" t="str">
        <f>[1]Afgrødefordeling!$C$10</f>
        <v>Frugt</v>
      </c>
      <c r="C332">
        <v>2050</v>
      </c>
      <c r="D332" t="s">
        <v>8</v>
      </c>
      <c r="E332" s="173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296.64590778897252</v>
      </c>
      <c r="H332" s="173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1435.5585415631747</v>
      </c>
      <c r="I332" s="173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1435.5585415631747</v>
      </c>
    </row>
    <row r="333" spans="1:10" x14ac:dyDescent="0.25">
      <c r="A333" t="s">
        <v>25</v>
      </c>
      <c r="B333" s="1" t="str">
        <f>[1]Afgrødefordeling!$C$11</f>
        <v>Øvrige</v>
      </c>
      <c r="C333">
        <v>2050</v>
      </c>
      <c r="D333" t="s">
        <v>8</v>
      </c>
      <c r="E333" s="173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1258.8226507392565</v>
      </c>
      <c r="H333" s="173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21379.450895303766</v>
      </c>
      <c r="I333" s="173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21379.450895303766</v>
      </c>
    </row>
    <row r="334" spans="1:10" x14ac:dyDescent="0.25">
      <c r="A334" t="s">
        <v>25</v>
      </c>
      <c r="B334" s="1" t="str">
        <f>[1]Afgrødefordeling!$C$12</f>
        <v>Frø</v>
      </c>
      <c r="C334">
        <v>2050</v>
      </c>
      <c r="D334" t="s">
        <v>8</v>
      </c>
      <c r="E334" s="173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6553.6348914767477</v>
      </c>
      <c r="H334" s="173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53377.066566736263</v>
      </c>
      <c r="I334" s="173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9697.5446216159708</v>
      </c>
      <c r="J334" s="76">
        <f t="shared" si="55"/>
        <v>9697.5446216159708</v>
      </c>
    </row>
    <row r="335" spans="1:10" x14ac:dyDescent="0.25">
      <c r="A335" t="s">
        <v>25</v>
      </c>
      <c r="B335" s="1" t="str">
        <f>[1]Afgrødefordeling!$C$13</f>
        <v>Juletræer</v>
      </c>
      <c r="C335">
        <v>2050</v>
      </c>
      <c r="D335" t="s">
        <v>8</v>
      </c>
      <c r="E335" s="173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464.84244940134386</v>
      </c>
      <c r="H335" s="173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13248.009807938301</v>
      </c>
      <c r="I335" s="173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13248.009807938301</v>
      </c>
    </row>
    <row r="336" spans="1:10" x14ac:dyDescent="0.25">
      <c r="A336" t="s">
        <v>25</v>
      </c>
      <c r="B336" s="1" t="str">
        <f>[1]Afgrødefordeling!$C$14</f>
        <v>Pil &amp; poppel</v>
      </c>
      <c r="C336">
        <v>2050</v>
      </c>
      <c r="D336" t="s">
        <v>8</v>
      </c>
      <c r="E336" s="173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220.95637244832463</v>
      </c>
      <c r="H336" s="173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3071.8324950132937</v>
      </c>
      <c r="I336" s="173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3071.8324950132937</v>
      </c>
    </row>
    <row r="337" spans="1:10" x14ac:dyDescent="0.25">
      <c r="A337" t="s">
        <v>25</v>
      </c>
      <c r="B337" s="1" t="str">
        <f>[1]Afgrødefordeling!$C$15</f>
        <v>Permanent græs</v>
      </c>
      <c r="C337">
        <v>2050</v>
      </c>
      <c r="D337" t="s">
        <v>8</v>
      </c>
      <c r="E337" s="173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5503.4063921494917</v>
      </c>
      <c r="H337" s="173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75891.974147741494</v>
      </c>
      <c r="I337" s="173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75891.974147741494</v>
      </c>
    </row>
    <row r="338" spans="1:10" x14ac:dyDescent="0.25">
      <c r="A338" t="s">
        <v>25</v>
      </c>
      <c r="B338" s="1" t="str">
        <f>[1]Afgrødefordeling!$C$2</f>
        <v>Korn</v>
      </c>
      <c r="C338">
        <v>2019</v>
      </c>
      <c r="D338" t="s">
        <v>7</v>
      </c>
      <c r="E338" s="173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3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3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25">
      <c r="A339" t="s">
        <v>25</v>
      </c>
      <c r="B339" s="1" t="str">
        <f>[1]Afgrødefordeling!$C$3</f>
        <v>Bælgsæd</v>
      </c>
      <c r="C339">
        <v>2019</v>
      </c>
      <c r="D339" t="s">
        <v>7</v>
      </c>
      <c r="E339" s="173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3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3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25">
      <c r="A340" t="s">
        <v>25</v>
      </c>
      <c r="B340" s="1" t="str">
        <f>[1]Afgrødefordeling!$C$4</f>
        <v>Raps</v>
      </c>
      <c r="C340">
        <v>2019</v>
      </c>
      <c r="D340" t="s">
        <v>7</v>
      </c>
      <c r="E340" s="173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3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3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25">
      <c r="A341" t="s">
        <v>25</v>
      </c>
      <c r="B341" s="1" t="str">
        <f>[1]Afgrødefordeling!$C$5</f>
        <v>Græs</v>
      </c>
      <c r="C341">
        <v>2019</v>
      </c>
      <c r="D341" t="s">
        <v>7</v>
      </c>
      <c r="E341" s="173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3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3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25">
      <c r="A342" t="s">
        <v>25</v>
      </c>
      <c r="B342" s="1" t="str">
        <f>[1]Afgrødefordeling!$C$6</f>
        <v>Grøntsager</v>
      </c>
      <c r="C342">
        <v>2019</v>
      </c>
      <c r="D342" t="s">
        <v>7</v>
      </c>
      <c r="E342" s="173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3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3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25">
      <c r="A343" t="s">
        <v>25</v>
      </c>
      <c r="B343" s="1" t="str">
        <f>[1]Afgrødefordeling!$C$7</f>
        <v>Kartofler</v>
      </c>
      <c r="C343">
        <v>2019</v>
      </c>
      <c r="D343" t="s">
        <v>7</v>
      </c>
      <c r="E343" s="173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3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3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25">
      <c r="A344" t="s">
        <v>25</v>
      </c>
      <c r="B344" s="1" t="str">
        <f>[1]Afgrødefordeling!$C$8</f>
        <v>Roer</v>
      </c>
      <c r="C344">
        <v>2019</v>
      </c>
      <c r="D344" t="s">
        <v>7</v>
      </c>
      <c r="E344" s="173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3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3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25">
      <c r="A345" t="s">
        <v>25</v>
      </c>
      <c r="B345" s="1" t="str">
        <f>[1]Afgrødefordeling!$C$9</f>
        <v>Majs</v>
      </c>
      <c r="C345">
        <v>2019</v>
      </c>
      <c r="D345" t="s">
        <v>7</v>
      </c>
      <c r="E345" s="173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3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3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25">
      <c r="A346" t="s">
        <v>25</v>
      </c>
      <c r="B346" s="1" t="str">
        <f>[1]Afgrødefordeling!$C$10</f>
        <v>Frugt</v>
      </c>
      <c r="C346">
        <v>2019</v>
      </c>
      <c r="D346" t="s">
        <v>7</v>
      </c>
      <c r="E346" s="173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3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3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25">
      <c r="A347" t="s">
        <v>25</v>
      </c>
      <c r="B347" s="1" t="str">
        <f>[1]Afgrødefordeling!$C$11</f>
        <v>Øvrige</v>
      </c>
      <c r="C347">
        <v>2019</v>
      </c>
      <c r="D347" t="s">
        <v>7</v>
      </c>
      <c r="E347" s="173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3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3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25">
      <c r="A348" t="s">
        <v>25</v>
      </c>
      <c r="B348" s="1" t="str">
        <f>[1]Afgrødefordeling!$C$12</f>
        <v>Frø</v>
      </c>
      <c r="C348">
        <v>2019</v>
      </c>
      <c r="D348" t="s">
        <v>7</v>
      </c>
      <c r="E348" s="173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3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3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25">
      <c r="A349" t="s">
        <v>25</v>
      </c>
      <c r="B349" s="1" t="str">
        <f>[1]Afgrødefordeling!$C$13</f>
        <v>Juletræer</v>
      </c>
      <c r="C349">
        <v>2019</v>
      </c>
      <c r="D349" t="s">
        <v>7</v>
      </c>
      <c r="E349" s="173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3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3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25">
      <c r="A350" t="s">
        <v>25</v>
      </c>
      <c r="B350" s="1" t="str">
        <f>[1]Afgrødefordeling!$C$14</f>
        <v>Pil &amp; poppel</v>
      </c>
      <c r="C350">
        <v>2019</v>
      </c>
      <c r="D350" t="s">
        <v>7</v>
      </c>
      <c r="E350" s="173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3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3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25">
      <c r="A351" t="s">
        <v>25</v>
      </c>
      <c r="B351" s="1" t="str">
        <f>[1]Afgrødefordeling!$C$15</f>
        <v>Permanent græs</v>
      </c>
      <c r="C351">
        <v>2019</v>
      </c>
      <c r="D351" t="s">
        <v>7</v>
      </c>
      <c r="E351" s="173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3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3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25">
      <c r="A352" t="s">
        <v>25</v>
      </c>
      <c r="B352" s="1" t="str">
        <f>[1]Afgrødefordeling!$C$2</f>
        <v>Korn</v>
      </c>
      <c r="C352">
        <v>2030</v>
      </c>
      <c r="D352" t="s">
        <v>7</v>
      </c>
      <c r="E352" s="173" t="str">
        <f t="shared" si="59"/>
        <v>OC6</v>
      </c>
      <c r="F352" t="str">
        <f t="shared" si="58"/>
        <v>Korn</v>
      </c>
      <c r="G352" s="76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0</v>
      </c>
      <c r="H352" s="173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0</v>
      </c>
      <c r="I352" s="173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0</v>
      </c>
      <c r="J352" s="76">
        <f t="shared" si="60"/>
        <v>0</v>
      </c>
    </row>
    <row r="353" spans="1:10" x14ac:dyDescent="0.25">
      <c r="A353" t="s">
        <v>25</v>
      </c>
      <c r="B353" s="1" t="str">
        <f>[1]Afgrødefordeling!$C$3</f>
        <v>Bælgsæd</v>
      </c>
      <c r="C353">
        <v>2030</v>
      </c>
      <c r="D353" t="s">
        <v>7</v>
      </c>
      <c r="E353" s="173" t="str">
        <f t="shared" si="59"/>
        <v>OC6</v>
      </c>
      <c r="F353" t="str">
        <f t="shared" si="58"/>
        <v>Bælgsæd</v>
      </c>
      <c r="G353" s="76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0</v>
      </c>
      <c r="H353" s="173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0</v>
      </c>
      <c r="I353" s="173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0</v>
      </c>
      <c r="J353" s="76">
        <f t="shared" si="60"/>
        <v>0</v>
      </c>
    </row>
    <row r="354" spans="1:10" x14ac:dyDescent="0.25">
      <c r="A354" t="s">
        <v>25</v>
      </c>
      <c r="B354" s="1" t="str">
        <f>[1]Afgrødefordeling!$C$4</f>
        <v>Raps</v>
      </c>
      <c r="C354">
        <v>2030</v>
      </c>
      <c r="D354" t="s">
        <v>7</v>
      </c>
      <c r="E354" s="173" t="str">
        <f t="shared" si="59"/>
        <v>OC6</v>
      </c>
      <c r="F354" t="str">
        <f t="shared" si="58"/>
        <v>Raps</v>
      </c>
      <c r="G354" s="76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0</v>
      </c>
      <c r="H354" s="173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0</v>
      </c>
      <c r="I354" s="173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0</v>
      </c>
      <c r="J354" s="76">
        <f t="shared" si="60"/>
        <v>0</v>
      </c>
    </row>
    <row r="355" spans="1:10" x14ac:dyDescent="0.25">
      <c r="A355" t="s">
        <v>25</v>
      </c>
      <c r="B355" s="1" t="str">
        <f>[1]Afgrødefordeling!$C$5</f>
        <v>Græs</v>
      </c>
      <c r="C355">
        <v>2030</v>
      </c>
      <c r="D355" t="s">
        <v>7</v>
      </c>
      <c r="E355" s="173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0</v>
      </c>
      <c r="H355" s="173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0</v>
      </c>
      <c r="I355" s="173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0</v>
      </c>
    </row>
    <row r="356" spans="1:10" x14ac:dyDescent="0.25">
      <c r="A356" t="s">
        <v>25</v>
      </c>
      <c r="B356" s="1" t="str">
        <f>[1]Afgrødefordeling!$C$6</f>
        <v>Grøntsager</v>
      </c>
      <c r="C356">
        <v>2030</v>
      </c>
      <c r="D356" t="s">
        <v>7</v>
      </c>
      <c r="E356" s="173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0</v>
      </c>
      <c r="H356" s="173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0</v>
      </c>
      <c r="I356" s="173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0</v>
      </c>
    </row>
    <row r="357" spans="1:10" x14ac:dyDescent="0.25">
      <c r="A357" t="s">
        <v>25</v>
      </c>
      <c r="B357" s="1" t="str">
        <f>[1]Afgrødefordeling!$C$7</f>
        <v>Kartofler</v>
      </c>
      <c r="C357">
        <v>2030</v>
      </c>
      <c r="D357" t="s">
        <v>7</v>
      </c>
      <c r="E357" s="173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0</v>
      </c>
      <c r="H357" s="173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0</v>
      </c>
      <c r="I357" s="173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0</v>
      </c>
    </row>
    <row r="358" spans="1:10" x14ac:dyDescent="0.25">
      <c r="A358" t="s">
        <v>25</v>
      </c>
      <c r="B358" s="1" t="str">
        <f>[1]Afgrødefordeling!$C$8</f>
        <v>Roer</v>
      </c>
      <c r="C358">
        <v>2030</v>
      </c>
      <c r="D358" t="s">
        <v>7</v>
      </c>
      <c r="E358" s="173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0</v>
      </c>
      <c r="H358" s="173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0</v>
      </c>
      <c r="I358" s="173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0</v>
      </c>
    </row>
    <row r="359" spans="1:10" x14ac:dyDescent="0.25">
      <c r="A359" t="s">
        <v>25</v>
      </c>
      <c r="B359" s="1" t="str">
        <f>[1]Afgrødefordeling!$C$9</f>
        <v>Majs</v>
      </c>
      <c r="C359">
        <v>2030</v>
      </c>
      <c r="D359" t="s">
        <v>7</v>
      </c>
      <c r="E359" s="173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0</v>
      </c>
      <c r="H359" s="173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0</v>
      </c>
      <c r="I359" s="173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0</v>
      </c>
    </row>
    <row r="360" spans="1:10" x14ac:dyDescent="0.25">
      <c r="A360" t="s">
        <v>25</v>
      </c>
      <c r="B360" s="1" t="str">
        <f>[1]Afgrødefordeling!$C$10</f>
        <v>Frugt</v>
      </c>
      <c r="C360">
        <v>2030</v>
      </c>
      <c r="D360" t="s">
        <v>7</v>
      </c>
      <c r="E360" s="173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0</v>
      </c>
      <c r="H360" s="173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0</v>
      </c>
      <c r="I360" s="173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0</v>
      </c>
    </row>
    <row r="361" spans="1:10" x14ac:dyDescent="0.25">
      <c r="A361" t="s">
        <v>25</v>
      </c>
      <c r="B361" s="1" t="str">
        <f>[1]Afgrødefordeling!$C$11</f>
        <v>Øvrige</v>
      </c>
      <c r="C361">
        <v>2030</v>
      </c>
      <c r="D361" t="s">
        <v>7</v>
      </c>
      <c r="E361" s="173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0</v>
      </c>
      <c r="H361" s="173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0</v>
      </c>
      <c r="I361" s="173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0</v>
      </c>
    </row>
    <row r="362" spans="1:10" x14ac:dyDescent="0.25">
      <c r="A362" t="s">
        <v>25</v>
      </c>
      <c r="B362" s="1" t="str">
        <f>[1]Afgrødefordeling!$C$12</f>
        <v>Frø</v>
      </c>
      <c r="C362">
        <v>2030</v>
      </c>
      <c r="D362" t="s">
        <v>7</v>
      </c>
      <c r="E362" s="173" t="str">
        <f t="shared" si="59"/>
        <v>OC6</v>
      </c>
      <c r="F362" t="str">
        <f t="shared" si="58"/>
        <v>Frø</v>
      </c>
      <c r="G362" s="76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0</v>
      </c>
      <c r="H362" s="173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0</v>
      </c>
      <c r="I362" s="173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0</v>
      </c>
      <c r="J362" s="76">
        <f t="shared" si="60"/>
        <v>0</v>
      </c>
    </row>
    <row r="363" spans="1:10" x14ac:dyDescent="0.25">
      <c r="A363" t="s">
        <v>25</v>
      </c>
      <c r="B363" s="1" t="str">
        <f>[1]Afgrødefordeling!$C$13</f>
        <v>Juletræer</v>
      </c>
      <c r="C363">
        <v>2030</v>
      </c>
      <c r="D363" t="s">
        <v>7</v>
      </c>
      <c r="E363" s="173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0</v>
      </c>
      <c r="H363" s="173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0</v>
      </c>
      <c r="I363" s="173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0</v>
      </c>
    </row>
    <row r="364" spans="1:10" x14ac:dyDescent="0.25">
      <c r="A364" t="s">
        <v>25</v>
      </c>
      <c r="B364" s="1" t="str">
        <f>[1]Afgrødefordeling!$C$14</f>
        <v>Pil &amp; poppel</v>
      </c>
      <c r="C364">
        <v>2030</v>
      </c>
      <c r="D364" t="s">
        <v>7</v>
      </c>
      <c r="E364" s="173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0</v>
      </c>
      <c r="H364" s="173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0</v>
      </c>
      <c r="I364" s="173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0</v>
      </c>
    </row>
    <row r="365" spans="1:10" x14ac:dyDescent="0.25">
      <c r="A365" t="s">
        <v>25</v>
      </c>
      <c r="B365" s="1" t="str">
        <f>[1]Afgrødefordeling!$C$15</f>
        <v>Permanent græs</v>
      </c>
      <c r="C365">
        <v>2030</v>
      </c>
      <c r="D365" t="s">
        <v>7</v>
      </c>
      <c r="E365" s="173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0</v>
      </c>
      <c r="H365" s="173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0</v>
      </c>
      <c r="I365" s="173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0</v>
      </c>
    </row>
    <row r="366" spans="1:10" x14ac:dyDescent="0.25">
      <c r="A366" t="s">
        <v>25</v>
      </c>
      <c r="B366" s="1" t="str">
        <f>[1]Afgrødefordeling!$C$2</f>
        <v>Korn</v>
      </c>
      <c r="C366">
        <v>2050</v>
      </c>
      <c r="D366" t="s">
        <v>7</v>
      </c>
      <c r="E366" s="173" t="str">
        <f t="shared" si="59"/>
        <v>OC6</v>
      </c>
      <c r="F366" t="str">
        <f t="shared" si="58"/>
        <v>Korn</v>
      </c>
      <c r="G366" s="76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0</v>
      </c>
      <c r="H366" s="173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0</v>
      </c>
      <c r="I366" s="173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0</v>
      </c>
      <c r="J366" s="76">
        <f t="shared" si="60"/>
        <v>0</v>
      </c>
    </row>
    <row r="367" spans="1:10" x14ac:dyDescent="0.25">
      <c r="A367" t="s">
        <v>25</v>
      </c>
      <c r="B367" s="1" t="str">
        <f>[1]Afgrødefordeling!$C$3</f>
        <v>Bælgsæd</v>
      </c>
      <c r="C367">
        <v>2050</v>
      </c>
      <c r="D367" t="s">
        <v>7</v>
      </c>
      <c r="E367" s="173" t="str">
        <f t="shared" si="59"/>
        <v>OC6</v>
      </c>
      <c r="F367" t="str">
        <f t="shared" si="58"/>
        <v>Bælgsæd</v>
      </c>
      <c r="G367" s="76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0</v>
      </c>
      <c r="H367" s="173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0</v>
      </c>
      <c r="I367" s="173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0</v>
      </c>
      <c r="J367" s="76">
        <f t="shared" si="60"/>
        <v>0</v>
      </c>
    </row>
    <row r="368" spans="1:10" x14ac:dyDescent="0.25">
      <c r="A368" t="s">
        <v>25</v>
      </c>
      <c r="B368" s="1" t="str">
        <f>[1]Afgrødefordeling!$C$4</f>
        <v>Raps</v>
      </c>
      <c r="C368">
        <v>2050</v>
      </c>
      <c r="D368" t="s">
        <v>7</v>
      </c>
      <c r="E368" s="173" t="str">
        <f t="shared" si="59"/>
        <v>OC6</v>
      </c>
      <c r="F368" t="str">
        <f t="shared" si="58"/>
        <v>Raps</v>
      </c>
      <c r="G368" s="76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0</v>
      </c>
      <c r="H368" s="173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0</v>
      </c>
      <c r="I368" s="173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0</v>
      </c>
      <c r="J368" s="76">
        <f t="shared" si="60"/>
        <v>0</v>
      </c>
    </row>
    <row r="369" spans="1:10" x14ac:dyDescent="0.25">
      <c r="A369" t="s">
        <v>25</v>
      </c>
      <c r="B369" s="1" t="str">
        <f>[1]Afgrødefordeling!$C$5</f>
        <v>Græs</v>
      </c>
      <c r="C369">
        <v>2050</v>
      </c>
      <c r="D369" t="s">
        <v>7</v>
      </c>
      <c r="E369" s="173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0</v>
      </c>
      <c r="H369" s="173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0</v>
      </c>
      <c r="I369" s="173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0</v>
      </c>
    </row>
    <row r="370" spans="1:10" x14ac:dyDescent="0.25">
      <c r="A370" t="s">
        <v>25</v>
      </c>
      <c r="B370" s="1" t="str">
        <f>[1]Afgrødefordeling!$C$6</f>
        <v>Grøntsager</v>
      </c>
      <c r="C370">
        <v>2050</v>
      </c>
      <c r="D370" t="s">
        <v>7</v>
      </c>
      <c r="E370" s="173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0</v>
      </c>
      <c r="H370" s="173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0</v>
      </c>
      <c r="I370" s="173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0</v>
      </c>
    </row>
    <row r="371" spans="1:10" x14ac:dyDescent="0.25">
      <c r="A371" t="s">
        <v>25</v>
      </c>
      <c r="B371" s="1" t="str">
        <f>[1]Afgrødefordeling!$C$7</f>
        <v>Kartofler</v>
      </c>
      <c r="C371">
        <v>2050</v>
      </c>
      <c r="D371" t="s">
        <v>7</v>
      </c>
      <c r="E371" s="173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0</v>
      </c>
      <c r="H371" s="173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0</v>
      </c>
      <c r="I371" s="173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0</v>
      </c>
    </row>
    <row r="372" spans="1:10" x14ac:dyDescent="0.25">
      <c r="A372" t="s">
        <v>25</v>
      </c>
      <c r="B372" s="1" t="str">
        <f>[1]Afgrødefordeling!$C$8</f>
        <v>Roer</v>
      </c>
      <c r="C372">
        <v>2050</v>
      </c>
      <c r="D372" t="s">
        <v>7</v>
      </c>
      <c r="E372" s="173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0</v>
      </c>
      <c r="H372" s="173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0</v>
      </c>
      <c r="I372" s="173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0</v>
      </c>
    </row>
    <row r="373" spans="1:10" x14ac:dyDescent="0.25">
      <c r="A373" t="s">
        <v>25</v>
      </c>
      <c r="B373" s="1" t="str">
        <f>[1]Afgrødefordeling!$C$9</f>
        <v>Majs</v>
      </c>
      <c r="C373">
        <v>2050</v>
      </c>
      <c r="D373" t="s">
        <v>7</v>
      </c>
      <c r="E373" s="173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0</v>
      </c>
      <c r="H373" s="173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0</v>
      </c>
      <c r="I373" s="173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0</v>
      </c>
    </row>
    <row r="374" spans="1:10" x14ac:dyDescent="0.25">
      <c r="A374" t="s">
        <v>25</v>
      </c>
      <c r="B374" s="1" t="str">
        <f>[1]Afgrødefordeling!$C$10</f>
        <v>Frugt</v>
      </c>
      <c r="C374">
        <v>2050</v>
      </c>
      <c r="D374" t="s">
        <v>7</v>
      </c>
      <c r="E374" s="173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0</v>
      </c>
      <c r="H374" s="173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0</v>
      </c>
      <c r="I374" s="173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0</v>
      </c>
    </row>
    <row r="375" spans="1:10" x14ac:dyDescent="0.25">
      <c r="A375" t="s">
        <v>25</v>
      </c>
      <c r="B375" s="1" t="str">
        <f>[1]Afgrødefordeling!$C$11</f>
        <v>Øvrige</v>
      </c>
      <c r="C375">
        <v>2050</v>
      </c>
      <c r="D375" t="s">
        <v>7</v>
      </c>
      <c r="E375" s="173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0</v>
      </c>
      <c r="H375" s="173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0</v>
      </c>
      <c r="I375" s="173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0</v>
      </c>
    </row>
    <row r="376" spans="1:10" x14ac:dyDescent="0.25">
      <c r="A376" t="s">
        <v>25</v>
      </c>
      <c r="B376" s="1" t="str">
        <f>[1]Afgrødefordeling!$C$12</f>
        <v>Frø</v>
      </c>
      <c r="C376">
        <v>2050</v>
      </c>
      <c r="D376" t="s">
        <v>7</v>
      </c>
      <c r="E376" s="173" t="str">
        <f t="shared" si="61"/>
        <v>OC6</v>
      </c>
      <c r="F376" t="str">
        <f t="shared" si="58"/>
        <v>Frø</v>
      </c>
      <c r="G376" s="76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0</v>
      </c>
      <c r="H376" s="173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0</v>
      </c>
      <c r="I376" s="173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0</v>
      </c>
      <c r="J376" s="76">
        <f t="shared" si="60"/>
        <v>0</v>
      </c>
    </row>
    <row r="377" spans="1:10" x14ac:dyDescent="0.25">
      <c r="A377" t="s">
        <v>25</v>
      </c>
      <c r="B377" s="1" t="str">
        <f>[1]Afgrødefordeling!$C$13</f>
        <v>Juletræer</v>
      </c>
      <c r="C377">
        <v>2050</v>
      </c>
      <c r="D377" t="s">
        <v>7</v>
      </c>
      <c r="E377" s="173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0</v>
      </c>
      <c r="H377" s="173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0</v>
      </c>
      <c r="I377" s="173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0</v>
      </c>
    </row>
    <row r="378" spans="1:10" x14ac:dyDescent="0.25">
      <c r="A378" t="s">
        <v>25</v>
      </c>
      <c r="B378" s="1" t="str">
        <f>[1]Afgrødefordeling!$C$14</f>
        <v>Pil &amp; poppel</v>
      </c>
      <c r="C378">
        <v>2050</v>
      </c>
      <c r="D378" t="s">
        <v>7</v>
      </c>
      <c r="E378" s="173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0</v>
      </c>
      <c r="H378" s="173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0</v>
      </c>
      <c r="I378" s="173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0</v>
      </c>
    </row>
    <row r="379" spans="1:10" x14ac:dyDescent="0.25">
      <c r="A379" t="s">
        <v>25</v>
      </c>
      <c r="B379" s="1" t="str">
        <f>[1]Afgrødefordeling!$C$15</f>
        <v>Permanent græs</v>
      </c>
      <c r="C379">
        <v>2050</v>
      </c>
      <c r="D379" t="s">
        <v>7</v>
      </c>
      <c r="E379" s="173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0</v>
      </c>
      <c r="H379" s="173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0</v>
      </c>
      <c r="I379" s="173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0</v>
      </c>
    </row>
    <row r="380" spans="1:10" x14ac:dyDescent="0.25">
      <c r="A380" t="s">
        <v>25</v>
      </c>
      <c r="B380" s="1" t="str">
        <f>[1]Afgrødefordeling!$C$2</f>
        <v>Korn</v>
      </c>
      <c r="C380">
        <v>2019</v>
      </c>
      <c r="D380" t="s">
        <v>8</v>
      </c>
      <c r="E380" s="173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3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3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25">
      <c r="A381" t="s">
        <v>25</v>
      </c>
      <c r="B381" s="1" t="str">
        <f>[1]Afgrødefordeling!$C$3</f>
        <v>Bælgsæd</v>
      </c>
      <c r="C381">
        <v>2019</v>
      </c>
      <c r="D381" t="s">
        <v>8</v>
      </c>
      <c r="E381" s="173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3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3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25">
      <c r="A382" t="s">
        <v>25</v>
      </c>
      <c r="B382" s="1" t="str">
        <f>[1]Afgrødefordeling!$C$4</f>
        <v>Raps</v>
      </c>
      <c r="C382">
        <v>2019</v>
      </c>
      <c r="D382" t="s">
        <v>8</v>
      </c>
      <c r="E382" s="173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3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3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25">
      <c r="A383" t="s">
        <v>25</v>
      </c>
      <c r="B383" s="1" t="str">
        <f>[1]Afgrødefordeling!$C$5</f>
        <v>Græs</v>
      </c>
      <c r="C383">
        <v>2019</v>
      </c>
      <c r="D383" t="s">
        <v>8</v>
      </c>
      <c r="E383" s="173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3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3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25">
      <c r="A384" t="s">
        <v>25</v>
      </c>
      <c r="B384" s="1" t="str">
        <f>[1]Afgrødefordeling!$C$6</f>
        <v>Grøntsager</v>
      </c>
      <c r="C384">
        <v>2019</v>
      </c>
      <c r="D384" t="s">
        <v>8</v>
      </c>
      <c r="E384" s="173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3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3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25">
      <c r="A385" t="s">
        <v>25</v>
      </c>
      <c r="B385" s="1" t="str">
        <f>[1]Afgrødefordeling!$C$7</f>
        <v>Kartofler</v>
      </c>
      <c r="C385">
        <v>2019</v>
      </c>
      <c r="D385" t="s">
        <v>8</v>
      </c>
      <c r="E385" s="173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3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3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25">
      <c r="A386" t="s">
        <v>25</v>
      </c>
      <c r="B386" s="1" t="str">
        <f>[1]Afgrødefordeling!$C$8</f>
        <v>Roer</v>
      </c>
      <c r="C386">
        <v>2019</v>
      </c>
      <c r="D386" t="s">
        <v>8</v>
      </c>
      <c r="E386" s="173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3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3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25">
      <c r="A387" t="s">
        <v>25</v>
      </c>
      <c r="B387" s="1" t="str">
        <f>[1]Afgrødefordeling!$C$9</f>
        <v>Majs</v>
      </c>
      <c r="C387">
        <v>2019</v>
      </c>
      <c r="D387" t="s">
        <v>8</v>
      </c>
      <c r="E387" s="173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3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3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25">
      <c r="A388" t="s">
        <v>25</v>
      </c>
      <c r="B388" s="1" t="str">
        <f>[1]Afgrødefordeling!$C$10</f>
        <v>Frugt</v>
      </c>
      <c r="C388">
        <v>2019</v>
      </c>
      <c r="D388" t="s">
        <v>8</v>
      </c>
      <c r="E388" s="173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3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3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25">
      <c r="A389" t="s">
        <v>25</v>
      </c>
      <c r="B389" s="1" t="str">
        <f>[1]Afgrødefordeling!$C$11</f>
        <v>Øvrige</v>
      </c>
      <c r="C389">
        <v>2019</v>
      </c>
      <c r="D389" t="s">
        <v>8</v>
      </c>
      <c r="E389" s="173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3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3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25">
      <c r="A390" t="s">
        <v>25</v>
      </c>
      <c r="B390" s="1" t="str">
        <f>[1]Afgrødefordeling!$C$12</f>
        <v>Frø</v>
      </c>
      <c r="C390">
        <v>2019</v>
      </c>
      <c r="D390" t="s">
        <v>8</v>
      </c>
      <c r="E390" s="173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3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3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25">
      <c r="A391" t="s">
        <v>25</v>
      </c>
      <c r="B391" s="1" t="str">
        <f>[1]Afgrødefordeling!$C$13</f>
        <v>Juletræer</v>
      </c>
      <c r="C391">
        <v>2019</v>
      </c>
      <c r="D391" t="s">
        <v>8</v>
      </c>
      <c r="E391" s="173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3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3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25">
      <c r="A392" t="s">
        <v>25</v>
      </c>
      <c r="B392" s="1" t="str">
        <f>[1]Afgrødefordeling!$C$14</f>
        <v>Pil &amp; poppel</v>
      </c>
      <c r="C392">
        <v>2019</v>
      </c>
      <c r="D392" t="s">
        <v>8</v>
      </c>
      <c r="E392" s="173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3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3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25">
      <c r="A393" t="s">
        <v>25</v>
      </c>
      <c r="B393" s="1" t="str">
        <f>[1]Afgrødefordeling!$C$15</f>
        <v>Permanent græs</v>
      </c>
      <c r="C393">
        <v>2019</v>
      </c>
      <c r="D393" t="s">
        <v>8</v>
      </c>
      <c r="E393" s="173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3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3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25">
      <c r="A394" t="s">
        <v>25</v>
      </c>
      <c r="B394" s="1" t="str">
        <f>[1]Afgrødefordeling!$C$2</f>
        <v>Korn</v>
      </c>
      <c r="C394">
        <v>2030</v>
      </c>
      <c r="D394" t="s">
        <v>8</v>
      </c>
      <c r="E394" s="173" t="str">
        <f t="shared" si="61"/>
        <v>OC6</v>
      </c>
      <c r="F394" t="str">
        <f t="shared" si="58"/>
        <v>Korn</v>
      </c>
      <c r="G394" s="76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0</v>
      </c>
      <c r="H394" s="173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0</v>
      </c>
      <c r="I394" s="173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0</v>
      </c>
      <c r="J394" s="76">
        <f t="shared" si="60"/>
        <v>0</v>
      </c>
    </row>
    <row r="395" spans="1:10" x14ac:dyDescent="0.25">
      <c r="A395" t="s">
        <v>25</v>
      </c>
      <c r="B395" s="1" t="str">
        <f>[1]Afgrødefordeling!$C$3</f>
        <v>Bælgsæd</v>
      </c>
      <c r="C395">
        <v>2030</v>
      </c>
      <c r="D395" t="s">
        <v>8</v>
      </c>
      <c r="E395" s="173" t="str">
        <f t="shared" si="61"/>
        <v>OC6</v>
      </c>
      <c r="F395" t="str">
        <f t="shared" si="58"/>
        <v>Bælgsæd</v>
      </c>
      <c r="G395" s="76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0</v>
      </c>
      <c r="H395" s="173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0</v>
      </c>
      <c r="I395" s="173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0</v>
      </c>
      <c r="J395" s="76">
        <f t="shared" si="60"/>
        <v>0</v>
      </c>
    </row>
    <row r="396" spans="1:10" x14ac:dyDescent="0.25">
      <c r="A396" t="s">
        <v>25</v>
      </c>
      <c r="B396" s="1" t="str">
        <f>[1]Afgrødefordeling!$C$4</f>
        <v>Raps</v>
      </c>
      <c r="C396">
        <v>2030</v>
      </c>
      <c r="D396" t="s">
        <v>8</v>
      </c>
      <c r="E396" s="173" t="str">
        <f t="shared" si="61"/>
        <v>OC6</v>
      </c>
      <c r="F396" t="str">
        <f t="shared" si="58"/>
        <v>Raps</v>
      </c>
      <c r="G396" s="76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0</v>
      </c>
      <c r="H396" s="173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0</v>
      </c>
      <c r="I396" s="173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0</v>
      </c>
      <c r="J396" s="76">
        <f t="shared" si="60"/>
        <v>0</v>
      </c>
    </row>
    <row r="397" spans="1:10" x14ac:dyDescent="0.25">
      <c r="A397" t="s">
        <v>25</v>
      </c>
      <c r="B397" s="1" t="str">
        <f>[1]Afgrødefordeling!$C$5</f>
        <v>Græs</v>
      </c>
      <c r="C397">
        <v>2030</v>
      </c>
      <c r="D397" t="s">
        <v>8</v>
      </c>
      <c r="E397" s="173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0</v>
      </c>
      <c r="H397" s="173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0</v>
      </c>
      <c r="I397" s="173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0</v>
      </c>
    </row>
    <row r="398" spans="1:10" x14ac:dyDescent="0.25">
      <c r="A398" t="s">
        <v>25</v>
      </c>
      <c r="B398" s="1" t="str">
        <f>[1]Afgrødefordeling!$C$6</f>
        <v>Grøntsager</v>
      </c>
      <c r="C398">
        <v>2030</v>
      </c>
      <c r="D398" t="s">
        <v>8</v>
      </c>
      <c r="E398" s="173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0</v>
      </c>
      <c r="H398" s="173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0</v>
      </c>
      <c r="I398" s="173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0</v>
      </c>
    </row>
    <row r="399" spans="1:10" x14ac:dyDescent="0.25">
      <c r="A399" t="s">
        <v>25</v>
      </c>
      <c r="B399" s="1" t="str">
        <f>[1]Afgrødefordeling!$C$7</f>
        <v>Kartofler</v>
      </c>
      <c r="C399">
        <v>2030</v>
      </c>
      <c r="D399" t="s">
        <v>8</v>
      </c>
      <c r="E399" s="173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0</v>
      </c>
      <c r="H399" s="173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0</v>
      </c>
      <c r="I399" s="173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0</v>
      </c>
    </row>
    <row r="400" spans="1:10" x14ac:dyDescent="0.25">
      <c r="A400" t="s">
        <v>25</v>
      </c>
      <c r="B400" s="1" t="str">
        <f>[1]Afgrødefordeling!$C$8</f>
        <v>Roer</v>
      </c>
      <c r="C400">
        <v>2030</v>
      </c>
      <c r="D400" t="s">
        <v>8</v>
      </c>
      <c r="E400" s="173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0</v>
      </c>
      <c r="H400" s="173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0</v>
      </c>
      <c r="I400" s="173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0</v>
      </c>
    </row>
    <row r="401" spans="1:10" x14ac:dyDescent="0.25">
      <c r="A401" t="s">
        <v>25</v>
      </c>
      <c r="B401" s="1" t="str">
        <f>[1]Afgrødefordeling!$C$9</f>
        <v>Majs</v>
      </c>
      <c r="C401">
        <v>2030</v>
      </c>
      <c r="D401" t="s">
        <v>8</v>
      </c>
      <c r="E401" s="173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0</v>
      </c>
      <c r="H401" s="173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0</v>
      </c>
      <c r="I401" s="173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0</v>
      </c>
    </row>
    <row r="402" spans="1:10" x14ac:dyDescent="0.25">
      <c r="A402" t="s">
        <v>25</v>
      </c>
      <c r="B402" s="1" t="str">
        <f>[1]Afgrødefordeling!$C$10</f>
        <v>Frugt</v>
      </c>
      <c r="C402">
        <v>2030</v>
      </c>
      <c r="D402" t="s">
        <v>8</v>
      </c>
      <c r="E402" s="173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0</v>
      </c>
      <c r="H402" s="173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0</v>
      </c>
      <c r="I402" s="173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0</v>
      </c>
    </row>
    <row r="403" spans="1:10" x14ac:dyDescent="0.25">
      <c r="A403" t="s">
        <v>25</v>
      </c>
      <c r="B403" s="1" t="str">
        <f>[1]Afgrødefordeling!$C$11</f>
        <v>Øvrige</v>
      </c>
      <c r="C403">
        <v>2030</v>
      </c>
      <c r="D403" t="s">
        <v>8</v>
      </c>
      <c r="E403" s="173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0</v>
      </c>
      <c r="H403" s="173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0</v>
      </c>
      <c r="I403" s="173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0</v>
      </c>
    </row>
    <row r="404" spans="1:10" x14ac:dyDescent="0.25">
      <c r="A404" t="s">
        <v>25</v>
      </c>
      <c r="B404" s="1" t="str">
        <f>[1]Afgrødefordeling!$C$12</f>
        <v>Frø</v>
      </c>
      <c r="C404">
        <v>2030</v>
      </c>
      <c r="D404" t="s">
        <v>8</v>
      </c>
      <c r="E404" s="173" t="str">
        <f t="shared" si="63"/>
        <v>OC6</v>
      </c>
      <c r="F404" t="str">
        <f t="shared" si="62"/>
        <v>Frø</v>
      </c>
      <c r="G404" s="76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0</v>
      </c>
      <c r="H404" s="173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0</v>
      </c>
      <c r="I404" s="173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0</v>
      </c>
      <c r="J404" s="76">
        <f t="shared" si="60"/>
        <v>0</v>
      </c>
    </row>
    <row r="405" spans="1:10" x14ac:dyDescent="0.25">
      <c r="A405" t="s">
        <v>25</v>
      </c>
      <c r="B405" s="1" t="str">
        <f>[1]Afgrødefordeling!$C$13</f>
        <v>Juletræer</v>
      </c>
      <c r="C405">
        <v>2030</v>
      </c>
      <c r="D405" t="s">
        <v>8</v>
      </c>
      <c r="E405" s="173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0</v>
      </c>
      <c r="H405" s="173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0</v>
      </c>
      <c r="I405" s="173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0</v>
      </c>
    </row>
    <row r="406" spans="1:10" x14ac:dyDescent="0.25">
      <c r="A406" t="s">
        <v>25</v>
      </c>
      <c r="B406" s="1" t="str">
        <f>[1]Afgrødefordeling!$C$14</f>
        <v>Pil &amp; poppel</v>
      </c>
      <c r="C406">
        <v>2030</v>
      </c>
      <c r="D406" t="s">
        <v>8</v>
      </c>
      <c r="E406" s="173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0</v>
      </c>
      <c r="H406" s="173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0</v>
      </c>
      <c r="I406" s="173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0</v>
      </c>
    </row>
    <row r="407" spans="1:10" x14ac:dyDescent="0.25">
      <c r="A407" t="s">
        <v>25</v>
      </c>
      <c r="B407" s="1" t="str">
        <f>[1]Afgrødefordeling!$C$15</f>
        <v>Permanent græs</v>
      </c>
      <c r="C407">
        <v>2030</v>
      </c>
      <c r="D407" t="s">
        <v>8</v>
      </c>
      <c r="E407" s="173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0</v>
      </c>
      <c r="H407" s="173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0</v>
      </c>
      <c r="I407" s="173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0</v>
      </c>
    </row>
    <row r="408" spans="1:10" x14ac:dyDescent="0.25">
      <c r="A408" t="s">
        <v>25</v>
      </c>
      <c r="B408" s="1" t="str">
        <f>[1]Afgrødefordeling!$C$2</f>
        <v>Korn</v>
      </c>
      <c r="C408">
        <v>2050</v>
      </c>
      <c r="D408" t="s">
        <v>8</v>
      </c>
      <c r="E408" s="173" t="str">
        <f t="shared" si="63"/>
        <v>OC6</v>
      </c>
      <c r="F408" t="str">
        <f t="shared" si="62"/>
        <v>Korn</v>
      </c>
      <c r="G408" s="76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0</v>
      </c>
      <c r="H408" s="173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0</v>
      </c>
      <c r="I408" s="173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0</v>
      </c>
      <c r="J408" s="76">
        <f t="shared" si="64"/>
        <v>0</v>
      </c>
    </row>
    <row r="409" spans="1:10" x14ac:dyDescent="0.25">
      <c r="A409" t="s">
        <v>25</v>
      </c>
      <c r="B409" s="1" t="str">
        <f>[1]Afgrødefordeling!$C$3</f>
        <v>Bælgsæd</v>
      </c>
      <c r="C409">
        <v>2050</v>
      </c>
      <c r="D409" t="s">
        <v>8</v>
      </c>
      <c r="E409" s="173" t="str">
        <f t="shared" si="63"/>
        <v>OC6</v>
      </c>
      <c r="F409" t="str">
        <f t="shared" si="62"/>
        <v>Bælgsæd</v>
      </c>
      <c r="G409" s="76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0</v>
      </c>
      <c r="H409" s="173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0</v>
      </c>
      <c r="I409" s="173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0</v>
      </c>
      <c r="J409" s="76">
        <f t="shared" si="64"/>
        <v>0</v>
      </c>
    </row>
    <row r="410" spans="1:10" x14ac:dyDescent="0.25">
      <c r="A410" t="s">
        <v>25</v>
      </c>
      <c r="B410" s="1" t="str">
        <f>[1]Afgrødefordeling!$C$4</f>
        <v>Raps</v>
      </c>
      <c r="C410">
        <v>2050</v>
      </c>
      <c r="D410" t="s">
        <v>8</v>
      </c>
      <c r="E410" s="173" t="str">
        <f t="shared" si="63"/>
        <v>OC6</v>
      </c>
      <c r="F410" t="str">
        <f t="shared" si="62"/>
        <v>Raps</v>
      </c>
      <c r="G410" s="76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0</v>
      </c>
      <c r="H410" s="173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0</v>
      </c>
      <c r="I410" s="173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0</v>
      </c>
      <c r="J410" s="76">
        <f t="shared" si="64"/>
        <v>0</v>
      </c>
    </row>
    <row r="411" spans="1:10" x14ac:dyDescent="0.25">
      <c r="A411" t="s">
        <v>25</v>
      </c>
      <c r="B411" s="1" t="str">
        <f>[1]Afgrødefordeling!$C$5</f>
        <v>Græs</v>
      </c>
      <c r="C411">
        <v>2050</v>
      </c>
      <c r="D411" t="s">
        <v>8</v>
      </c>
      <c r="E411" s="173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0</v>
      </c>
      <c r="H411" s="173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0</v>
      </c>
      <c r="I411" s="173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0</v>
      </c>
    </row>
    <row r="412" spans="1:10" x14ac:dyDescent="0.25">
      <c r="A412" t="s">
        <v>25</v>
      </c>
      <c r="B412" s="1" t="str">
        <f>[1]Afgrødefordeling!$C$6</f>
        <v>Grøntsager</v>
      </c>
      <c r="C412">
        <v>2050</v>
      </c>
      <c r="D412" t="s">
        <v>8</v>
      </c>
      <c r="E412" s="173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0</v>
      </c>
      <c r="H412" s="173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0</v>
      </c>
      <c r="I412" s="173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0</v>
      </c>
    </row>
    <row r="413" spans="1:10" x14ac:dyDescent="0.25">
      <c r="A413" t="s">
        <v>25</v>
      </c>
      <c r="B413" s="1" t="str">
        <f>[1]Afgrødefordeling!$C$7</f>
        <v>Kartofler</v>
      </c>
      <c r="C413">
        <v>2050</v>
      </c>
      <c r="D413" t="s">
        <v>8</v>
      </c>
      <c r="E413" s="173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0</v>
      </c>
      <c r="H413" s="173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0</v>
      </c>
      <c r="I413" s="173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0</v>
      </c>
    </row>
    <row r="414" spans="1:10" x14ac:dyDescent="0.25">
      <c r="A414" t="s">
        <v>25</v>
      </c>
      <c r="B414" s="1" t="str">
        <f>[1]Afgrødefordeling!$C$8</f>
        <v>Roer</v>
      </c>
      <c r="C414">
        <v>2050</v>
      </c>
      <c r="D414" t="s">
        <v>8</v>
      </c>
      <c r="E414" s="173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0</v>
      </c>
      <c r="H414" s="173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0</v>
      </c>
      <c r="I414" s="173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0</v>
      </c>
    </row>
    <row r="415" spans="1:10" x14ac:dyDescent="0.25">
      <c r="A415" t="s">
        <v>25</v>
      </c>
      <c r="B415" s="1" t="str">
        <f>[1]Afgrødefordeling!$C$9</f>
        <v>Majs</v>
      </c>
      <c r="C415">
        <v>2050</v>
      </c>
      <c r="D415" t="s">
        <v>8</v>
      </c>
      <c r="E415" s="173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0</v>
      </c>
      <c r="H415" s="173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0</v>
      </c>
      <c r="I415" s="173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0</v>
      </c>
    </row>
    <row r="416" spans="1:10" x14ac:dyDescent="0.25">
      <c r="A416" t="s">
        <v>25</v>
      </c>
      <c r="B416" s="1" t="str">
        <f>[1]Afgrødefordeling!$C$10</f>
        <v>Frugt</v>
      </c>
      <c r="C416">
        <v>2050</v>
      </c>
      <c r="D416" t="s">
        <v>8</v>
      </c>
      <c r="E416" s="173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0</v>
      </c>
      <c r="H416" s="173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0</v>
      </c>
      <c r="I416" s="173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0</v>
      </c>
    </row>
    <row r="417" spans="1:10" x14ac:dyDescent="0.25">
      <c r="A417" t="s">
        <v>25</v>
      </c>
      <c r="B417" s="1" t="str">
        <f>[1]Afgrødefordeling!$C$11</f>
        <v>Øvrige</v>
      </c>
      <c r="C417">
        <v>2050</v>
      </c>
      <c r="D417" t="s">
        <v>8</v>
      </c>
      <c r="E417" s="173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0</v>
      </c>
      <c r="H417" s="173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0</v>
      </c>
      <c r="I417" s="173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0</v>
      </c>
    </row>
    <row r="418" spans="1:10" x14ac:dyDescent="0.25">
      <c r="A418" t="s">
        <v>25</v>
      </c>
      <c r="B418" s="1" t="str">
        <f>[1]Afgrødefordeling!$C$12</f>
        <v>Frø</v>
      </c>
      <c r="C418">
        <v>2050</v>
      </c>
      <c r="D418" t="s">
        <v>8</v>
      </c>
      <c r="E418" s="173" t="str">
        <f t="shared" si="63"/>
        <v>OC6</v>
      </c>
      <c r="F418" t="str">
        <f t="shared" si="62"/>
        <v>Frø</v>
      </c>
      <c r="G418" s="76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0</v>
      </c>
      <c r="H418" s="173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0</v>
      </c>
      <c r="I418" s="173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0</v>
      </c>
      <c r="J418" s="76">
        <f t="shared" si="64"/>
        <v>0</v>
      </c>
    </row>
    <row r="419" spans="1:10" x14ac:dyDescent="0.25">
      <c r="A419" t="s">
        <v>25</v>
      </c>
      <c r="B419" s="1" t="str">
        <f>[1]Afgrødefordeling!$C$13</f>
        <v>Juletræer</v>
      </c>
      <c r="C419">
        <v>2050</v>
      </c>
      <c r="D419" t="s">
        <v>8</v>
      </c>
      <c r="E419" s="173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0</v>
      </c>
      <c r="H419" s="173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0</v>
      </c>
      <c r="I419" s="173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0</v>
      </c>
    </row>
    <row r="420" spans="1:10" x14ac:dyDescent="0.25">
      <c r="A420" t="s">
        <v>25</v>
      </c>
      <c r="B420" s="1" t="str">
        <f>[1]Afgrødefordeling!$C$14</f>
        <v>Pil &amp; poppel</v>
      </c>
      <c r="C420">
        <v>2050</v>
      </c>
      <c r="D420" t="s">
        <v>8</v>
      </c>
      <c r="E420" s="173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0</v>
      </c>
      <c r="H420" s="173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0</v>
      </c>
      <c r="I420" s="173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0</v>
      </c>
    </row>
    <row r="421" spans="1:10" x14ac:dyDescent="0.25">
      <c r="A421" t="s">
        <v>25</v>
      </c>
      <c r="B421" s="1" t="str">
        <f>[1]Afgrødefordeling!$C$15</f>
        <v>Permanent græs</v>
      </c>
      <c r="C421">
        <v>2050</v>
      </c>
      <c r="D421" t="s">
        <v>8</v>
      </c>
      <c r="E421" s="173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0</v>
      </c>
      <c r="H421" s="173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0</v>
      </c>
      <c r="I421" s="173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0</v>
      </c>
    </row>
    <row r="422" spans="1:10" x14ac:dyDescent="0.25">
      <c r="A422" t="s">
        <v>25</v>
      </c>
      <c r="B422" s="1" t="str">
        <f>[1]Afgrødefordeling!$C$2</f>
        <v>Korn</v>
      </c>
      <c r="C422">
        <v>2019</v>
      </c>
      <c r="D422" t="s">
        <v>7</v>
      </c>
      <c r="E422" s="173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3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3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25">
      <c r="A423" t="s">
        <v>25</v>
      </c>
      <c r="B423" s="1" t="str">
        <f>[1]Afgrødefordeling!$C$3</f>
        <v>Bælgsæd</v>
      </c>
      <c r="C423">
        <v>2019</v>
      </c>
      <c r="D423" t="s">
        <v>7</v>
      </c>
      <c r="E423" s="173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3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3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25">
      <c r="A424" t="s">
        <v>25</v>
      </c>
      <c r="B424" s="1" t="str">
        <f>[1]Afgrødefordeling!$C$4</f>
        <v>Raps</v>
      </c>
      <c r="C424">
        <v>2019</v>
      </c>
      <c r="D424" t="s">
        <v>7</v>
      </c>
      <c r="E424" s="173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3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3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25">
      <c r="A425" t="s">
        <v>25</v>
      </c>
      <c r="B425" s="1" t="str">
        <f>[1]Afgrødefordeling!$C$5</f>
        <v>Græs</v>
      </c>
      <c r="C425">
        <v>2019</v>
      </c>
      <c r="D425" t="s">
        <v>7</v>
      </c>
      <c r="E425" s="173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3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3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25">
      <c r="A426" t="s">
        <v>25</v>
      </c>
      <c r="B426" s="1" t="str">
        <f>[1]Afgrødefordeling!$C$6</f>
        <v>Grøntsager</v>
      </c>
      <c r="C426">
        <v>2019</v>
      </c>
      <c r="D426" t="s">
        <v>7</v>
      </c>
      <c r="E426" s="173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3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3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25">
      <c r="A427" t="s">
        <v>25</v>
      </c>
      <c r="B427" s="1" t="str">
        <f>[1]Afgrødefordeling!$C$7</f>
        <v>Kartofler</v>
      </c>
      <c r="C427">
        <v>2019</v>
      </c>
      <c r="D427" t="s">
        <v>7</v>
      </c>
      <c r="E427" s="173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3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3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25">
      <c r="A428" t="s">
        <v>25</v>
      </c>
      <c r="B428" s="1" t="str">
        <f>[1]Afgrødefordeling!$C$8</f>
        <v>Roer</v>
      </c>
      <c r="C428">
        <v>2019</v>
      </c>
      <c r="D428" t="s">
        <v>7</v>
      </c>
      <c r="E428" s="173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3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3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25">
      <c r="A429" t="s">
        <v>25</v>
      </c>
      <c r="B429" s="1" t="str">
        <f>[1]Afgrødefordeling!$C$9</f>
        <v>Majs</v>
      </c>
      <c r="C429">
        <v>2019</v>
      </c>
      <c r="D429" t="s">
        <v>7</v>
      </c>
      <c r="E429" s="173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3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3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25">
      <c r="A430" t="s">
        <v>25</v>
      </c>
      <c r="B430" s="1" t="str">
        <f>[1]Afgrødefordeling!$C$10</f>
        <v>Frugt</v>
      </c>
      <c r="C430">
        <v>2019</v>
      </c>
      <c r="D430" t="s">
        <v>7</v>
      </c>
      <c r="E430" s="173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3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3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25">
      <c r="A431" t="s">
        <v>25</v>
      </c>
      <c r="B431" s="1" t="str">
        <f>[1]Afgrødefordeling!$C$11</f>
        <v>Øvrige</v>
      </c>
      <c r="C431">
        <v>2019</v>
      </c>
      <c r="D431" t="s">
        <v>7</v>
      </c>
      <c r="E431" s="173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3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3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25">
      <c r="A432" t="s">
        <v>25</v>
      </c>
      <c r="B432" s="1" t="str">
        <f>[1]Afgrødefordeling!$C$12</f>
        <v>Frø</v>
      </c>
      <c r="C432">
        <v>2019</v>
      </c>
      <c r="D432" t="s">
        <v>7</v>
      </c>
      <c r="E432" s="173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3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3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25">
      <c r="A433" t="s">
        <v>25</v>
      </c>
      <c r="B433" s="1" t="str">
        <f>[1]Afgrødefordeling!$C$13</f>
        <v>Juletræer</v>
      </c>
      <c r="C433">
        <v>2019</v>
      </c>
      <c r="D433" t="s">
        <v>7</v>
      </c>
      <c r="E433" s="173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3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3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25">
      <c r="A434" t="s">
        <v>25</v>
      </c>
      <c r="B434" s="1" t="str">
        <f>[1]Afgrødefordeling!$C$14</f>
        <v>Pil &amp; poppel</v>
      </c>
      <c r="C434">
        <v>2019</v>
      </c>
      <c r="D434" t="s">
        <v>7</v>
      </c>
      <c r="E434" s="173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3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3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25">
      <c r="A435" t="s">
        <v>25</v>
      </c>
      <c r="B435" s="1" t="str">
        <f>[1]Afgrødefordeling!$C$15</f>
        <v>Permanent græs</v>
      </c>
      <c r="C435">
        <v>2019</v>
      </c>
      <c r="D435" t="s">
        <v>7</v>
      </c>
      <c r="E435" s="173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3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3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25">
      <c r="A436" t="s">
        <v>25</v>
      </c>
      <c r="B436" s="1" t="str">
        <f>[1]Afgrødefordeling!$C$2</f>
        <v>Korn</v>
      </c>
      <c r="C436">
        <v>2030</v>
      </c>
      <c r="D436" t="s">
        <v>7</v>
      </c>
      <c r="E436" s="173" t="str">
        <f t="shared" si="65"/>
        <v>OC12</v>
      </c>
      <c r="F436" t="str">
        <f t="shared" si="62"/>
        <v>Korn</v>
      </c>
      <c r="G436" s="76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0</v>
      </c>
      <c r="H436" s="173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0</v>
      </c>
      <c r="I436" s="173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0</v>
      </c>
      <c r="J436" s="76">
        <f t="shared" si="64"/>
        <v>0</v>
      </c>
    </row>
    <row r="437" spans="1:10" x14ac:dyDescent="0.25">
      <c r="A437" t="s">
        <v>25</v>
      </c>
      <c r="B437" s="1" t="str">
        <f>[1]Afgrødefordeling!$C$3</f>
        <v>Bælgsæd</v>
      </c>
      <c r="C437">
        <v>2030</v>
      </c>
      <c r="D437" t="s">
        <v>7</v>
      </c>
      <c r="E437" s="173" t="str">
        <f t="shared" si="65"/>
        <v>OC12</v>
      </c>
      <c r="F437" t="str">
        <f t="shared" si="62"/>
        <v>Bælgsæd</v>
      </c>
      <c r="G437" s="76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0</v>
      </c>
      <c r="H437" s="173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0</v>
      </c>
      <c r="I437" s="173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0</v>
      </c>
      <c r="J437" s="76">
        <f t="shared" si="64"/>
        <v>0</v>
      </c>
    </row>
    <row r="438" spans="1:10" x14ac:dyDescent="0.25">
      <c r="A438" t="s">
        <v>25</v>
      </c>
      <c r="B438" s="1" t="str">
        <f>[1]Afgrødefordeling!$C$4</f>
        <v>Raps</v>
      </c>
      <c r="C438">
        <v>2030</v>
      </c>
      <c r="D438" t="s">
        <v>7</v>
      </c>
      <c r="E438" s="173" t="str">
        <f t="shared" si="65"/>
        <v>OC12</v>
      </c>
      <c r="F438" t="str">
        <f t="shared" si="62"/>
        <v>Raps</v>
      </c>
      <c r="G438" s="76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0</v>
      </c>
      <c r="H438" s="173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0</v>
      </c>
      <c r="I438" s="173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0</v>
      </c>
      <c r="J438" s="76">
        <f t="shared" si="64"/>
        <v>0</v>
      </c>
    </row>
    <row r="439" spans="1:10" x14ac:dyDescent="0.25">
      <c r="A439" t="s">
        <v>25</v>
      </c>
      <c r="B439" s="1" t="str">
        <f>[1]Afgrødefordeling!$C$5</f>
        <v>Græs</v>
      </c>
      <c r="C439">
        <v>2030</v>
      </c>
      <c r="D439" t="s">
        <v>7</v>
      </c>
      <c r="E439" s="173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0</v>
      </c>
      <c r="H439" s="173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0</v>
      </c>
      <c r="I439" s="173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0</v>
      </c>
    </row>
    <row r="440" spans="1:10" x14ac:dyDescent="0.25">
      <c r="A440" t="s">
        <v>25</v>
      </c>
      <c r="B440" s="1" t="str">
        <f>[1]Afgrødefordeling!$C$6</f>
        <v>Grøntsager</v>
      </c>
      <c r="C440">
        <v>2030</v>
      </c>
      <c r="D440" t="s">
        <v>7</v>
      </c>
      <c r="E440" s="173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0</v>
      </c>
      <c r="H440" s="173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0</v>
      </c>
      <c r="I440" s="173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0</v>
      </c>
    </row>
    <row r="441" spans="1:10" x14ac:dyDescent="0.25">
      <c r="A441" t="s">
        <v>25</v>
      </c>
      <c r="B441" s="1" t="str">
        <f>[1]Afgrødefordeling!$C$7</f>
        <v>Kartofler</v>
      </c>
      <c r="C441">
        <v>2030</v>
      </c>
      <c r="D441" t="s">
        <v>7</v>
      </c>
      <c r="E441" s="173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0</v>
      </c>
      <c r="H441" s="173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0</v>
      </c>
      <c r="I441" s="173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0</v>
      </c>
    </row>
    <row r="442" spans="1:10" x14ac:dyDescent="0.25">
      <c r="A442" t="s">
        <v>25</v>
      </c>
      <c r="B442" s="1" t="str">
        <f>[1]Afgrødefordeling!$C$8</f>
        <v>Roer</v>
      </c>
      <c r="C442">
        <v>2030</v>
      </c>
      <c r="D442" t="s">
        <v>7</v>
      </c>
      <c r="E442" s="173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0</v>
      </c>
      <c r="H442" s="173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0</v>
      </c>
      <c r="I442" s="173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0</v>
      </c>
    </row>
    <row r="443" spans="1:10" x14ac:dyDescent="0.25">
      <c r="A443" t="s">
        <v>25</v>
      </c>
      <c r="B443" s="1" t="str">
        <f>[1]Afgrødefordeling!$C$9</f>
        <v>Majs</v>
      </c>
      <c r="C443">
        <v>2030</v>
      </c>
      <c r="D443" t="s">
        <v>7</v>
      </c>
      <c r="E443" s="173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0</v>
      </c>
      <c r="H443" s="173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0</v>
      </c>
      <c r="I443" s="173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0</v>
      </c>
    </row>
    <row r="444" spans="1:10" x14ac:dyDescent="0.25">
      <c r="A444" t="s">
        <v>25</v>
      </c>
      <c r="B444" s="1" t="str">
        <f>[1]Afgrødefordeling!$C$10</f>
        <v>Frugt</v>
      </c>
      <c r="C444">
        <v>2030</v>
      </c>
      <c r="D444" t="s">
        <v>7</v>
      </c>
      <c r="E444" s="173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0</v>
      </c>
      <c r="H444" s="173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0</v>
      </c>
      <c r="I444" s="173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0</v>
      </c>
    </row>
    <row r="445" spans="1:10" x14ac:dyDescent="0.25">
      <c r="A445" t="s">
        <v>25</v>
      </c>
      <c r="B445" s="1" t="str">
        <f>[1]Afgrødefordeling!$C$11</f>
        <v>Øvrige</v>
      </c>
      <c r="C445">
        <v>2030</v>
      </c>
      <c r="D445" t="s">
        <v>7</v>
      </c>
      <c r="E445" s="173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0</v>
      </c>
      <c r="H445" s="173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0</v>
      </c>
      <c r="I445" s="173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0</v>
      </c>
    </row>
    <row r="446" spans="1:10" x14ac:dyDescent="0.25">
      <c r="A446" t="s">
        <v>25</v>
      </c>
      <c r="B446" s="1" t="str">
        <f>[1]Afgrødefordeling!$C$12</f>
        <v>Frø</v>
      </c>
      <c r="C446">
        <v>2030</v>
      </c>
      <c r="D446" t="s">
        <v>7</v>
      </c>
      <c r="E446" s="173" t="str">
        <f t="shared" si="65"/>
        <v>OC12</v>
      </c>
      <c r="F446" t="str">
        <f t="shared" si="62"/>
        <v>Frø</v>
      </c>
      <c r="G446" s="76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0</v>
      </c>
      <c r="H446" s="173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0</v>
      </c>
      <c r="I446" s="173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0</v>
      </c>
      <c r="J446" s="76">
        <f t="shared" si="64"/>
        <v>0</v>
      </c>
    </row>
    <row r="447" spans="1:10" x14ac:dyDescent="0.25">
      <c r="A447" t="s">
        <v>25</v>
      </c>
      <c r="B447" s="1" t="str">
        <f>[1]Afgrødefordeling!$C$13</f>
        <v>Juletræer</v>
      </c>
      <c r="C447">
        <v>2030</v>
      </c>
      <c r="D447" t="s">
        <v>7</v>
      </c>
      <c r="E447" s="173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0</v>
      </c>
      <c r="H447" s="173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0</v>
      </c>
      <c r="I447" s="173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0</v>
      </c>
    </row>
    <row r="448" spans="1:10" x14ac:dyDescent="0.25">
      <c r="A448" t="s">
        <v>25</v>
      </c>
      <c r="B448" s="1" t="str">
        <f>[1]Afgrødefordeling!$C$14</f>
        <v>Pil &amp; poppel</v>
      </c>
      <c r="C448">
        <v>2030</v>
      </c>
      <c r="D448" t="s">
        <v>7</v>
      </c>
      <c r="E448" s="173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0</v>
      </c>
      <c r="H448" s="173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0</v>
      </c>
      <c r="I448" s="173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0</v>
      </c>
    </row>
    <row r="449" spans="1:10" x14ac:dyDescent="0.25">
      <c r="A449" t="s">
        <v>25</v>
      </c>
      <c r="B449" s="1" t="str">
        <f>[1]Afgrødefordeling!$C$15</f>
        <v>Permanent græs</v>
      </c>
      <c r="C449">
        <v>2030</v>
      </c>
      <c r="D449" t="s">
        <v>7</v>
      </c>
      <c r="E449" s="173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0</v>
      </c>
      <c r="H449" s="173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0</v>
      </c>
      <c r="I449" s="173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0</v>
      </c>
    </row>
    <row r="450" spans="1:10" x14ac:dyDescent="0.25">
      <c r="A450" t="s">
        <v>25</v>
      </c>
      <c r="B450" s="1" t="str">
        <f>[1]Afgrødefordeling!$C$2</f>
        <v>Korn</v>
      </c>
      <c r="C450">
        <v>2050</v>
      </c>
      <c r="D450" t="s">
        <v>7</v>
      </c>
      <c r="E450" s="173" t="str">
        <f t="shared" si="65"/>
        <v>OC12</v>
      </c>
      <c r="F450" t="str">
        <f t="shared" si="62"/>
        <v>Korn</v>
      </c>
      <c r="G450" s="76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0</v>
      </c>
      <c r="H450" s="173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0</v>
      </c>
      <c r="I450" s="173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0</v>
      </c>
      <c r="J450" s="76">
        <f t="shared" si="64"/>
        <v>0</v>
      </c>
    </row>
    <row r="451" spans="1:10" x14ac:dyDescent="0.25">
      <c r="A451" t="s">
        <v>25</v>
      </c>
      <c r="B451" s="1" t="str">
        <f>[1]Afgrødefordeling!$C$3</f>
        <v>Bælgsæd</v>
      </c>
      <c r="C451">
        <v>2050</v>
      </c>
      <c r="D451" t="s">
        <v>7</v>
      </c>
      <c r="E451" s="173" t="str">
        <f t="shared" si="65"/>
        <v>OC12</v>
      </c>
      <c r="F451" t="str">
        <f t="shared" si="62"/>
        <v>Bælgsæd</v>
      </c>
      <c r="G451" s="76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0</v>
      </c>
      <c r="H451" s="173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0</v>
      </c>
      <c r="I451" s="173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0</v>
      </c>
      <c r="J451" s="76">
        <f t="shared" si="64"/>
        <v>0</v>
      </c>
    </row>
    <row r="452" spans="1:10" x14ac:dyDescent="0.25">
      <c r="A452" t="s">
        <v>25</v>
      </c>
      <c r="B452" s="1" t="str">
        <f>[1]Afgrødefordeling!$C$4</f>
        <v>Raps</v>
      </c>
      <c r="C452">
        <v>2050</v>
      </c>
      <c r="D452" t="s">
        <v>7</v>
      </c>
      <c r="E452" s="173" t="str">
        <f t="shared" si="65"/>
        <v>OC12</v>
      </c>
      <c r="F452" t="str">
        <f t="shared" si="62"/>
        <v>Raps</v>
      </c>
      <c r="G452" s="76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0</v>
      </c>
      <c r="H452" s="173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0</v>
      </c>
      <c r="I452" s="173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0</v>
      </c>
      <c r="J452" s="76">
        <f t="shared" si="64"/>
        <v>0</v>
      </c>
    </row>
    <row r="453" spans="1:10" x14ac:dyDescent="0.25">
      <c r="A453" t="s">
        <v>25</v>
      </c>
      <c r="B453" s="1" t="str">
        <f>[1]Afgrødefordeling!$C$5</f>
        <v>Græs</v>
      </c>
      <c r="C453">
        <v>2050</v>
      </c>
      <c r="D453" t="s">
        <v>7</v>
      </c>
      <c r="E453" s="173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0</v>
      </c>
      <c r="H453" s="173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0</v>
      </c>
      <c r="I453" s="173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0</v>
      </c>
    </row>
    <row r="454" spans="1:10" x14ac:dyDescent="0.25">
      <c r="A454" t="s">
        <v>25</v>
      </c>
      <c r="B454" s="1" t="str">
        <f>[1]Afgrødefordeling!$C$6</f>
        <v>Grøntsager</v>
      </c>
      <c r="C454">
        <v>2050</v>
      </c>
      <c r="D454" t="s">
        <v>7</v>
      </c>
      <c r="E454" s="173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0</v>
      </c>
      <c r="H454" s="173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0</v>
      </c>
      <c r="I454" s="173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0</v>
      </c>
    </row>
    <row r="455" spans="1:10" x14ac:dyDescent="0.25">
      <c r="A455" t="s">
        <v>25</v>
      </c>
      <c r="B455" s="1" t="str">
        <f>[1]Afgrødefordeling!$C$7</f>
        <v>Kartofler</v>
      </c>
      <c r="C455">
        <v>2050</v>
      </c>
      <c r="D455" t="s">
        <v>7</v>
      </c>
      <c r="E455" s="173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0</v>
      </c>
      <c r="H455" s="173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0</v>
      </c>
      <c r="I455" s="173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0</v>
      </c>
    </row>
    <row r="456" spans="1:10" x14ac:dyDescent="0.25">
      <c r="A456" t="s">
        <v>25</v>
      </c>
      <c r="B456" s="1" t="str">
        <f>[1]Afgrødefordeling!$C$8</f>
        <v>Roer</v>
      </c>
      <c r="C456">
        <v>2050</v>
      </c>
      <c r="D456" t="s">
        <v>7</v>
      </c>
      <c r="E456" s="173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0</v>
      </c>
      <c r="H456" s="173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0</v>
      </c>
      <c r="I456" s="173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0</v>
      </c>
    </row>
    <row r="457" spans="1:10" x14ac:dyDescent="0.25">
      <c r="A457" t="s">
        <v>25</v>
      </c>
      <c r="B457" s="1" t="str">
        <f>[1]Afgrødefordeling!$C$9</f>
        <v>Majs</v>
      </c>
      <c r="C457">
        <v>2050</v>
      </c>
      <c r="D457" t="s">
        <v>7</v>
      </c>
      <c r="E457" s="173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0</v>
      </c>
      <c r="H457" s="173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0</v>
      </c>
      <c r="I457" s="173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0</v>
      </c>
    </row>
    <row r="458" spans="1:10" x14ac:dyDescent="0.25">
      <c r="A458" t="s">
        <v>25</v>
      </c>
      <c r="B458" s="1" t="str">
        <f>[1]Afgrødefordeling!$C$10</f>
        <v>Frugt</v>
      </c>
      <c r="C458">
        <v>2050</v>
      </c>
      <c r="D458" t="s">
        <v>7</v>
      </c>
      <c r="E458" s="173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0</v>
      </c>
      <c r="H458" s="173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0</v>
      </c>
      <c r="I458" s="173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0</v>
      </c>
    </row>
    <row r="459" spans="1:10" x14ac:dyDescent="0.25">
      <c r="A459" t="s">
        <v>25</v>
      </c>
      <c r="B459" s="1" t="str">
        <f>[1]Afgrødefordeling!$C$11</f>
        <v>Øvrige</v>
      </c>
      <c r="C459">
        <v>2050</v>
      </c>
      <c r="D459" t="s">
        <v>7</v>
      </c>
      <c r="E459" s="173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0</v>
      </c>
      <c r="H459" s="173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0</v>
      </c>
      <c r="I459" s="173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0</v>
      </c>
    </row>
    <row r="460" spans="1:10" x14ac:dyDescent="0.25">
      <c r="A460" t="s">
        <v>25</v>
      </c>
      <c r="B460" s="1" t="str">
        <f>[1]Afgrødefordeling!$C$12</f>
        <v>Frø</v>
      </c>
      <c r="C460">
        <v>2050</v>
      </c>
      <c r="D460" t="s">
        <v>7</v>
      </c>
      <c r="E460" s="173" t="str">
        <f t="shared" si="66"/>
        <v>OC12</v>
      </c>
      <c r="F460" t="str">
        <f t="shared" si="62"/>
        <v>Frø</v>
      </c>
      <c r="G460" s="76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0</v>
      </c>
      <c r="H460" s="173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0</v>
      </c>
      <c r="I460" s="173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0</v>
      </c>
      <c r="J460" s="76">
        <f t="shared" si="64"/>
        <v>0</v>
      </c>
    </row>
    <row r="461" spans="1:10" x14ac:dyDescent="0.25">
      <c r="A461" t="s">
        <v>25</v>
      </c>
      <c r="B461" s="1" t="str">
        <f>[1]Afgrødefordeling!$C$13</f>
        <v>Juletræer</v>
      </c>
      <c r="C461">
        <v>2050</v>
      </c>
      <c r="D461" t="s">
        <v>7</v>
      </c>
      <c r="E461" s="173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0</v>
      </c>
      <c r="H461" s="173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0</v>
      </c>
      <c r="I461" s="173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0</v>
      </c>
    </row>
    <row r="462" spans="1:10" x14ac:dyDescent="0.25">
      <c r="A462" t="s">
        <v>25</v>
      </c>
      <c r="B462" s="1" t="str">
        <f>[1]Afgrødefordeling!$C$14</f>
        <v>Pil &amp; poppel</v>
      </c>
      <c r="C462">
        <v>2050</v>
      </c>
      <c r="D462" t="s">
        <v>7</v>
      </c>
      <c r="E462" s="173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0</v>
      </c>
      <c r="H462" s="173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0</v>
      </c>
      <c r="I462" s="173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0</v>
      </c>
    </row>
    <row r="463" spans="1:10" x14ac:dyDescent="0.25">
      <c r="A463" t="s">
        <v>25</v>
      </c>
      <c r="B463" s="1" t="str">
        <f>[1]Afgrødefordeling!$C$15</f>
        <v>Permanent græs</v>
      </c>
      <c r="C463">
        <v>2050</v>
      </c>
      <c r="D463" t="s">
        <v>7</v>
      </c>
      <c r="E463" s="173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0</v>
      </c>
      <c r="H463" s="173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0</v>
      </c>
      <c r="I463" s="173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0</v>
      </c>
    </row>
    <row r="464" spans="1:10" x14ac:dyDescent="0.25">
      <c r="A464" t="s">
        <v>25</v>
      </c>
      <c r="B464" s="1" t="str">
        <f>[1]Afgrødefordeling!$C$2</f>
        <v>Korn</v>
      </c>
      <c r="C464">
        <v>2019</v>
      </c>
      <c r="D464" t="s">
        <v>8</v>
      </c>
      <c r="E464" s="173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3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3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25">
      <c r="A465" t="s">
        <v>25</v>
      </c>
      <c r="B465" s="1" t="str">
        <f>[1]Afgrødefordeling!$C$3</f>
        <v>Bælgsæd</v>
      </c>
      <c r="C465">
        <v>2019</v>
      </c>
      <c r="D465" t="s">
        <v>8</v>
      </c>
      <c r="E465" s="173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3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3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25">
      <c r="A466" t="s">
        <v>25</v>
      </c>
      <c r="B466" s="1" t="str">
        <f>[1]Afgrødefordeling!$C$4</f>
        <v>Raps</v>
      </c>
      <c r="C466">
        <v>2019</v>
      </c>
      <c r="D466" t="s">
        <v>8</v>
      </c>
      <c r="E466" s="173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3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3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25">
      <c r="A467" t="s">
        <v>25</v>
      </c>
      <c r="B467" s="1" t="str">
        <f>[1]Afgrødefordeling!$C$5</f>
        <v>Græs</v>
      </c>
      <c r="C467">
        <v>2019</v>
      </c>
      <c r="D467" t="s">
        <v>8</v>
      </c>
      <c r="E467" s="173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3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3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25">
      <c r="A468" t="s">
        <v>25</v>
      </c>
      <c r="B468" s="1" t="str">
        <f>[1]Afgrødefordeling!$C$6</f>
        <v>Grøntsager</v>
      </c>
      <c r="C468">
        <v>2019</v>
      </c>
      <c r="D468" t="s">
        <v>8</v>
      </c>
      <c r="E468" s="173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3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3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25">
      <c r="A469" t="s">
        <v>25</v>
      </c>
      <c r="B469" s="1" t="str">
        <f>[1]Afgrødefordeling!$C$7</f>
        <v>Kartofler</v>
      </c>
      <c r="C469">
        <v>2019</v>
      </c>
      <c r="D469" t="s">
        <v>8</v>
      </c>
      <c r="E469" s="173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3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3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25">
      <c r="A470" t="s">
        <v>25</v>
      </c>
      <c r="B470" s="1" t="str">
        <f>[1]Afgrødefordeling!$C$8</f>
        <v>Roer</v>
      </c>
      <c r="C470">
        <v>2019</v>
      </c>
      <c r="D470" t="s">
        <v>8</v>
      </c>
      <c r="E470" s="173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3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3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25">
      <c r="A471" t="s">
        <v>25</v>
      </c>
      <c r="B471" s="1" t="str">
        <f>[1]Afgrødefordeling!$C$9</f>
        <v>Majs</v>
      </c>
      <c r="C471">
        <v>2019</v>
      </c>
      <c r="D471" t="s">
        <v>8</v>
      </c>
      <c r="E471" s="173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3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3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25">
      <c r="A472" t="s">
        <v>25</v>
      </c>
      <c r="B472" s="1" t="str">
        <f>[1]Afgrødefordeling!$C$10</f>
        <v>Frugt</v>
      </c>
      <c r="C472">
        <v>2019</v>
      </c>
      <c r="D472" t="s">
        <v>8</v>
      </c>
      <c r="E472" s="173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3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3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25">
      <c r="A473" t="s">
        <v>25</v>
      </c>
      <c r="B473" s="1" t="str">
        <f>[1]Afgrødefordeling!$C$11</f>
        <v>Øvrige</v>
      </c>
      <c r="C473">
        <v>2019</v>
      </c>
      <c r="D473" t="s">
        <v>8</v>
      </c>
      <c r="E473" s="173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3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3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25">
      <c r="A474" t="s">
        <v>25</v>
      </c>
      <c r="B474" s="1" t="str">
        <f>[1]Afgrødefordeling!$C$12</f>
        <v>Frø</v>
      </c>
      <c r="C474">
        <v>2019</v>
      </c>
      <c r="D474" t="s">
        <v>8</v>
      </c>
      <c r="E474" s="173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3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3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25">
      <c r="A475" t="s">
        <v>25</v>
      </c>
      <c r="B475" s="1" t="str">
        <f>[1]Afgrødefordeling!$C$13</f>
        <v>Juletræer</v>
      </c>
      <c r="C475">
        <v>2019</v>
      </c>
      <c r="D475" t="s">
        <v>8</v>
      </c>
      <c r="E475" s="173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3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3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25">
      <c r="A476" t="s">
        <v>25</v>
      </c>
      <c r="B476" s="1" t="str">
        <f>[1]Afgrødefordeling!$C$14</f>
        <v>Pil &amp; poppel</v>
      </c>
      <c r="C476">
        <v>2019</v>
      </c>
      <c r="D476" t="s">
        <v>8</v>
      </c>
      <c r="E476" s="173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3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3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25">
      <c r="A477" t="s">
        <v>25</v>
      </c>
      <c r="B477" s="1" t="str">
        <f>[1]Afgrødefordeling!$C$15</f>
        <v>Permanent græs</v>
      </c>
      <c r="C477">
        <v>2019</v>
      </c>
      <c r="D477" t="s">
        <v>8</v>
      </c>
      <c r="E477" s="173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3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3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25">
      <c r="A478" t="s">
        <v>25</v>
      </c>
      <c r="B478" s="1" t="str">
        <f>[1]Afgrødefordeling!$C$2</f>
        <v>Korn</v>
      </c>
      <c r="C478">
        <v>2030</v>
      </c>
      <c r="D478" t="s">
        <v>8</v>
      </c>
      <c r="E478" s="173" t="str">
        <f t="shared" si="66"/>
        <v>OC12</v>
      </c>
      <c r="F478" t="str">
        <f t="shared" si="67"/>
        <v>Korn</v>
      </c>
      <c r="G478" s="76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0</v>
      </c>
      <c r="H478" s="173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0</v>
      </c>
      <c r="I478" s="173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0</v>
      </c>
      <c r="J478" s="76">
        <f t="shared" si="68"/>
        <v>0</v>
      </c>
    </row>
    <row r="479" spans="1:10" x14ac:dyDescent="0.25">
      <c r="A479" t="s">
        <v>25</v>
      </c>
      <c r="B479" s="1" t="str">
        <f>[1]Afgrødefordeling!$C$3</f>
        <v>Bælgsæd</v>
      </c>
      <c r="C479">
        <v>2030</v>
      </c>
      <c r="D479" t="s">
        <v>8</v>
      </c>
      <c r="E479" s="173" t="str">
        <f t="shared" si="66"/>
        <v>OC12</v>
      </c>
      <c r="F479" t="str">
        <f t="shared" si="67"/>
        <v>Bælgsæd</v>
      </c>
      <c r="G479" s="76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0</v>
      </c>
      <c r="H479" s="173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0</v>
      </c>
      <c r="I479" s="173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0</v>
      </c>
      <c r="J479" s="76">
        <f t="shared" si="68"/>
        <v>0</v>
      </c>
    </row>
    <row r="480" spans="1:10" x14ac:dyDescent="0.25">
      <c r="A480" t="s">
        <v>25</v>
      </c>
      <c r="B480" s="1" t="str">
        <f>[1]Afgrødefordeling!$C$4</f>
        <v>Raps</v>
      </c>
      <c r="C480">
        <v>2030</v>
      </c>
      <c r="D480" t="s">
        <v>8</v>
      </c>
      <c r="E480" s="173" t="str">
        <f t="shared" si="66"/>
        <v>OC12</v>
      </c>
      <c r="F480" t="str">
        <f t="shared" si="67"/>
        <v>Raps</v>
      </c>
      <c r="G480" s="76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0</v>
      </c>
      <c r="H480" s="173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0</v>
      </c>
      <c r="I480" s="173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0</v>
      </c>
      <c r="J480" s="76">
        <f t="shared" si="68"/>
        <v>0</v>
      </c>
    </row>
    <row r="481" spans="1:10" x14ac:dyDescent="0.25">
      <c r="A481" t="s">
        <v>25</v>
      </c>
      <c r="B481" s="1" t="str">
        <f>[1]Afgrødefordeling!$C$5</f>
        <v>Græs</v>
      </c>
      <c r="C481">
        <v>2030</v>
      </c>
      <c r="D481" t="s">
        <v>8</v>
      </c>
      <c r="E481" s="173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0</v>
      </c>
      <c r="H481" s="173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0</v>
      </c>
      <c r="I481" s="173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0</v>
      </c>
    </row>
    <row r="482" spans="1:10" x14ac:dyDescent="0.25">
      <c r="A482" t="s">
        <v>25</v>
      </c>
      <c r="B482" s="1" t="str">
        <f>[1]Afgrødefordeling!$C$6</f>
        <v>Grøntsager</v>
      </c>
      <c r="C482">
        <v>2030</v>
      </c>
      <c r="D482" t="s">
        <v>8</v>
      </c>
      <c r="E482" s="173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</v>
      </c>
      <c r="H482" s="173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0</v>
      </c>
      <c r="I482" s="173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0</v>
      </c>
    </row>
    <row r="483" spans="1:10" x14ac:dyDescent="0.25">
      <c r="A483" t="s">
        <v>25</v>
      </c>
      <c r="B483" s="1" t="str">
        <f>[1]Afgrødefordeling!$C$7</f>
        <v>Kartofler</v>
      </c>
      <c r="C483">
        <v>2030</v>
      </c>
      <c r="D483" t="s">
        <v>8</v>
      </c>
      <c r="E483" s="173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0</v>
      </c>
      <c r="H483" s="173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0</v>
      </c>
      <c r="I483" s="173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0</v>
      </c>
    </row>
    <row r="484" spans="1:10" x14ac:dyDescent="0.25">
      <c r="A484" t="s">
        <v>25</v>
      </c>
      <c r="B484" s="1" t="str">
        <f>[1]Afgrødefordeling!$C$8</f>
        <v>Roer</v>
      </c>
      <c r="C484">
        <v>2030</v>
      </c>
      <c r="D484" t="s">
        <v>8</v>
      </c>
      <c r="E484" s="173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0</v>
      </c>
      <c r="H484" s="173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0</v>
      </c>
      <c r="I484" s="173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0</v>
      </c>
    </row>
    <row r="485" spans="1:10" x14ac:dyDescent="0.25">
      <c r="A485" t="s">
        <v>25</v>
      </c>
      <c r="B485" s="1" t="str">
        <f>[1]Afgrødefordeling!$C$9</f>
        <v>Majs</v>
      </c>
      <c r="C485">
        <v>2030</v>
      </c>
      <c r="D485" t="s">
        <v>8</v>
      </c>
      <c r="E485" s="173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0</v>
      </c>
      <c r="H485" s="173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0</v>
      </c>
      <c r="I485" s="173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0</v>
      </c>
    </row>
    <row r="486" spans="1:10" x14ac:dyDescent="0.25">
      <c r="A486" t="s">
        <v>25</v>
      </c>
      <c r="B486" s="1" t="str">
        <f>[1]Afgrødefordeling!$C$10</f>
        <v>Frugt</v>
      </c>
      <c r="C486">
        <v>2030</v>
      </c>
      <c r="D486" t="s">
        <v>8</v>
      </c>
      <c r="E486" s="173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0</v>
      </c>
      <c r="H486" s="173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0</v>
      </c>
      <c r="I486" s="173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0</v>
      </c>
    </row>
    <row r="487" spans="1:10" x14ac:dyDescent="0.25">
      <c r="A487" t="s">
        <v>25</v>
      </c>
      <c r="B487" s="1" t="str">
        <f>[1]Afgrødefordeling!$C$11</f>
        <v>Øvrige</v>
      </c>
      <c r="C487">
        <v>2030</v>
      </c>
      <c r="D487" t="s">
        <v>8</v>
      </c>
      <c r="E487" s="173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0</v>
      </c>
      <c r="H487" s="173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0</v>
      </c>
      <c r="I487" s="173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0</v>
      </c>
    </row>
    <row r="488" spans="1:10" x14ac:dyDescent="0.25">
      <c r="A488" t="s">
        <v>25</v>
      </c>
      <c r="B488" s="1" t="str">
        <f>[1]Afgrødefordeling!$C$12</f>
        <v>Frø</v>
      </c>
      <c r="C488">
        <v>2030</v>
      </c>
      <c r="D488" t="s">
        <v>8</v>
      </c>
      <c r="E488" s="173" t="str">
        <f t="shared" si="69"/>
        <v>OC12</v>
      </c>
      <c r="F488" t="str">
        <f t="shared" si="67"/>
        <v>Frø</v>
      </c>
      <c r="G488" s="76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0</v>
      </c>
      <c r="H488" s="173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0</v>
      </c>
      <c r="I488" s="173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0</v>
      </c>
      <c r="J488" s="76">
        <f t="shared" ref="J488:J505" si="70">IF(I488&lt;&gt;0,I488,H488)</f>
        <v>0</v>
      </c>
    </row>
    <row r="489" spans="1:10" x14ac:dyDescent="0.25">
      <c r="A489" t="s">
        <v>25</v>
      </c>
      <c r="B489" s="1" t="str">
        <f>[1]Afgrødefordeling!$C$13</f>
        <v>Juletræer</v>
      </c>
      <c r="C489">
        <v>2030</v>
      </c>
      <c r="D489" t="s">
        <v>8</v>
      </c>
      <c r="E489" s="173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0</v>
      </c>
      <c r="H489" s="173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0</v>
      </c>
      <c r="I489" s="173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0</v>
      </c>
    </row>
    <row r="490" spans="1:10" x14ac:dyDescent="0.25">
      <c r="A490" t="s">
        <v>25</v>
      </c>
      <c r="B490" s="1" t="str">
        <f>[1]Afgrødefordeling!$C$14</f>
        <v>Pil &amp; poppel</v>
      </c>
      <c r="C490">
        <v>2030</v>
      </c>
      <c r="D490" t="s">
        <v>8</v>
      </c>
      <c r="E490" s="173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0</v>
      </c>
      <c r="H490" s="173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0</v>
      </c>
      <c r="I490" s="173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0</v>
      </c>
    </row>
    <row r="491" spans="1:10" x14ac:dyDescent="0.25">
      <c r="A491" t="s">
        <v>25</v>
      </c>
      <c r="B491" s="1" t="str">
        <f>[1]Afgrødefordeling!$C$15</f>
        <v>Permanent græs</v>
      </c>
      <c r="C491">
        <v>2030</v>
      </c>
      <c r="D491" t="s">
        <v>8</v>
      </c>
      <c r="E491" s="173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0</v>
      </c>
      <c r="H491" s="173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0</v>
      </c>
      <c r="I491" s="173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0</v>
      </c>
    </row>
    <row r="492" spans="1:10" x14ac:dyDescent="0.25">
      <c r="A492" t="s">
        <v>25</v>
      </c>
      <c r="B492" s="1" t="str">
        <f>[1]Afgrødefordeling!$C$2</f>
        <v>Korn</v>
      </c>
      <c r="C492">
        <v>2050</v>
      </c>
      <c r="D492" t="s">
        <v>8</v>
      </c>
      <c r="E492" s="173" t="str">
        <f t="shared" si="69"/>
        <v>OC12</v>
      </c>
      <c r="F492" t="str">
        <f t="shared" si="67"/>
        <v>Korn</v>
      </c>
      <c r="G492" s="76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0</v>
      </c>
      <c r="H492" s="173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0</v>
      </c>
      <c r="I492" s="173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0</v>
      </c>
      <c r="J492" s="76">
        <f t="shared" si="70"/>
        <v>0</v>
      </c>
    </row>
    <row r="493" spans="1:10" x14ac:dyDescent="0.25">
      <c r="A493" t="s">
        <v>25</v>
      </c>
      <c r="B493" s="1" t="str">
        <f>[1]Afgrødefordeling!$C$3</f>
        <v>Bælgsæd</v>
      </c>
      <c r="C493">
        <v>2050</v>
      </c>
      <c r="D493" t="s">
        <v>8</v>
      </c>
      <c r="E493" s="173" t="str">
        <f t="shared" si="69"/>
        <v>OC12</v>
      </c>
      <c r="F493" t="str">
        <f t="shared" si="67"/>
        <v>Bælgsæd</v>
      </c>
      <c r="G493" s="76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0</v>
      </c>
      <c r="H493" s="173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0</v>
      </c>
      <c r="I493" s="173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0</v>
      </c>
      <c r="J493" s="76">
        <f t="shared" si="70"/>
        <v>0</v>
      </c>
    </row>
    <row r="494" spans="1:10" x14ac:dyDescent="0.25">
      <c r="A494" t="s">
        <v>25</v>
      </c>
      <c r="B494" s="1" t="str">
        <f>[1]Afgrødefordeling!$C$4</f>
        <v>Raps</v>
      </c>
      <c r="C494">
        <v>2050</v>
      </c>
      <c r="D494" t="s">
        <v>8</v>
      </c>
      <c r="E494" s="173" t="str">
        <f t="shared" si="69"/>
        <v>OC12</v>
      </c>
      <c r="F494" t="str">
        <f t="shared" si="67"/>
        <v>Raps</v>
      </c>
      <c r="G494" s="76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0</v>
      </c>
      <c r="H494" s="173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0</v>
      </c>
      <c r="I494" s="173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0</v>
      </c>
      <c r="J494" s="76">
        <f t="shared" si="70"/>
        <v>0</v>
      </c>
    </row>
    <row r="495" spans="1:10" x14ac:dyDescent="0.25">
      <c r="A495" t="s">
        <v>25</v>
      </c>
      <c r="B495" s="1" t="str">
        <f>[1]Afgrødefordeling!$C$5</f>
        <v>Græs</v>
      </c>
      <c r="C495">
        <v>2050</v>
      </c>
      <c r="D495" t="s">
        <v>8</v>
      </c>
      <c r="E495" s="173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0</v>
      </c>
      <c r="H495" s="173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0</v>
      </c>
      <c r="I495" s="173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0</v>
      </c>
    </row>
    <row r="496" spans="1:10" x14ac:dyDescent="0.25">
      <c r="A496" t="s">
        <v>25</v>
      </c>
      <c r="B496" s="1" t="str">
        <f>[1]Afgrødefordeling!$C$6</f>
        <v>Grøntsager</v>
      </c>
      <c r="C496">
        <v>2050</v>
      </c>
      <c r="D496" t="s">
        <v>8</v>
      </c>
      <c r="E496" s="173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0</v>
      </c>
      <c r="H496" s="173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0</v>
      </c>
      <c r="I496" s="173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0</v>
      </c>
    </row>
    <row r="497" spans="1:10" x14ac:dyDescent="0.25">
      <c r="A497" t="s">
        <v>25</v>
      </c>
      <c r="B497" s="1" t="str">
        <f>[1]Afgrødefordeling!$C$7</f>
        <v>Kartofler</v>
      </c>
      <c r="C497">
        <v>2050</v>
      </c>
      <c r="D497" t="s">
        <v>8</v>
      </c>
      <c r="E497" s="173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0</v>
      </c>
      <c r="H497" s="173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0</v>
      </c>
      <c r="I497" s="173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0</v>
      </c>
    </row>
    <row r="498" spans="1:10" x14ac:dyDescent="0.25">
      <c r="A498" t="s">
        <v>25</v>
      </c>
      <c r="B498" s="1" t="str">
        <f>[1]Afgrødefordeling!$C$8</f>
        <v>Roer</v>
      </c>
      <c r="C498">
        <v>2050</v>
      </c>
      <c r="D498" t="s">
        <v>8</v>
      </c>
      <c r="E498" s="173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0</v>
      </c>
      <c r="H498" s="173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0</v>
      </c>
      <c r="I498" s="173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0</v>
      </c>
    </row>
    <row r="499" spans="1:10" x14ac:dyDescent="0.25">
      <c r="A499" t="s">
        <v>25</v>
      </c>
      <c r="B499" s="1" t="str">
        <f>[1]Afgrødefordeling!$C$9</f>
        <v>Majs</v>
      </c>
      <c r="C499">
        <v>2050</v>
      </c>
      <c r="D499" t="s">
        <v>8</v>
      </c>
      <c r="E499" s="173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0</v>
      </c>
      <c r="H499" s="173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0</v>
      </c>
      <c r="I499" s="173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0</v>
      </c>
    </row>
    <row r="500" spans="1:10" x14ac:dyDescent="0.25">
      <c r="A500" t="s">
        <v>25</v>
      </c>
      <c r="B500" s="1" t="str">
        <f>[1]Afgrødefordeling!$C$10</f>
        <v>Frugt</v>
      </c>
      <c r="C500">
        <v>2050</v>
      </c>
      <c r="D500" t="s">
        <v>8</v>
      </c>
      <c r="E500" s="173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0</v>
      </c>
      <c r="H500" s="173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0</v>
      </c>
      <c r="I500" s="173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0</v>
      </c>
    </row>
    <row r="501" spans="1:10" x14ac:dyDescent="0.25">
      <c r="A501" t="s">
        <v>25</v>
      </c>
      <c r="B501" s="1" t="str">
        <f>[1]Afgrødefordeling!$C$11</f>
        <v>Øvrige</v>
      </c>
      <c r="C501">
        <v>2050</v>
      </c>
      <c r="D501" t="s">
        <v>8</v>
      </c>
      <c r="E501" s="173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0</v>
      </c>
      <c r="H501" s="173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0</v>
      </c>
      <c r="I501" s="173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0</v>
      </c>
    </row>
    <row r="502" spans="1:10" x14ac:dyDescent="0.25">
      <c r="A502" t="s">
        <v>25</v>
      </c>
      <c r="B502" s="1" t="str">
        <f>[1]Afgrødefordeling!$C$12</f>
        <v>Frø</v>
      </c>
      <c r="C502">
        <v>2050</v>
      </c>
      <c r="D502" t="s">
        <v>8</v>
      </c>
      <c r="E502" s="173" t="str">
        <f t="shared" si="69"/>
        <v>OC12</v>
      </c>
      <c r="F502" t="str">
        <f t="shared" si="67"/>
        <v>Frø</v>
      </c>
      <c r="G502" s="76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0</v>
      </c>
      <c r="H502" s="173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0</v>
      </c>
      <c r="I502" s="173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0</v>
      </c>
      <c r="J502" s="76">
        <f t="shared" si="70"/>
        <v>0</v>
      </c>
    </row>
    <row r="503" spans="1:10" x14ac:dyDescent="0.25">
      <c r="A503" t="s">
        <v>25</v>
      </c>
      <c r="B503" s="1" t="str">
        <f>[1]Afgrødefordeling!$C$13</f>
        <v>Juletræer</v>
      </c>
      <c r="C503">
        <v>2050</v>
      </c>
      <c r="D503" t="s">
        <v>8</v>
      </c>
      <c r="E503" s="173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0</v>
      </c>
      <c r="H503" s="173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0</v>
      </c>
      <c r="I503" s="173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0</v>
      </c>
    </row>
    <row r="504" spans="1:10" x14ac:dyDescent="0.25">
      <c r="A504" t="s">
        <v>25</v>
      </c>
      <c r="B504" s="1" t="str">
        <f>[1]Afgrødefordeling!$C$14</f>
        <v>Pil &amp; poppel</v>
      </c>
      <c r="C504">
        <v>2050</v>
      </c>
      <c r="D504" t="s">
        <v>8</v>
      </c>
      <c r="E504" s="173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0</v>
      </c>
      <c r="H504" s="173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0</v>
      </c>
      <c r="I504" s="173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0</v>
      </c>
    </row>
    <row r="505" spans="1:10" x14ac:dyDescent="0.25">
      <c r="A505" t="s">
        <v>25</v>
      </c>
      <c r="B505" s="1" t="str">
        <f>[1]Afgrødefordeling!$C$15</f>
        <v>Permanent græs</v>
      </c>
      <c r="C505">
        <v>2050</v>
      </c>
      <c r="D505" t="s">
        <v>8</v>
      </c>
      <c r="E505" s="173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0</v>
      </c>
      <c r="H505" s="173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0</v>
      </c>
      <c r="I505" s="173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0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Alexandra Freltoft</cp:lastModifiedBy>
  <dcterms:created xsi:type="dcterms:W3CDTF">2020-09-21T06:52:26Z</dcterms:created>
  <dcterms:modified xsi:type="dcterms:W3CDTF">2021-09-08T19:23:33Z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998775184154510</vt:r8>
  </property>
</Properties>
</file>