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3CF9B63A-9F45-4D73-A2F4-9B13D28BAFE8}" xr6:coauthVersionLast="47" xr6:coauthVersionMax="47" xr10:uidLastSave="{00000000-0000-0000-0000-000000000000}"/>
  <bookViews>
    <workbookView xWindow="-120" yWindow="-120" windowWidth="29040" windowHeight="15840" tabRatio="945" activeTab="3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580" r:id="rId37"/>
    <pivotCache cacheId="1584" r:id="rId38"/>
    <pivotCache cacheId="1589" r:id="rId39"/>
    <pivotCache cacheId="1594" r:id="rId40"/>
    <pivotCache cacheId="1600" r:id="rId41"/>
    <pivotCache cacheId="1605" r:id="rId42"/>
    <pivotCache cacheId="1610" r:id="rId43"/>
    <pivotCache cacheId="161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5" i="38" l="1"/>
  <c r="C341" i="38"/>
  <c r="C299" i="38"/>
  <c r="C311" i="38" s="1"/>
  <c r="C323" i="38" s="1"/>
  <c r="C293" i="38"/>
  <c r="C305" i="38" s="1"/>
  <c r="C317" i="38" s="1"/>
  <c r="C329" i="38" s="1"/>
  <c r="D14" i="34"/>
  <c r="B59" i="26"/>
  <c r="B60" i="26"/>
  <c r="C60" i="26" s="1"/>
  <c r="D60" i="26" s="1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347" i="38" l="1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C282" i="38" s="1"/>
  <c r="C288" i="38" s="1"/>
  <c r="C294" i="38" s="1"/>
  <c r="C300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B54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A99" i="41" l="1"/>
  <c r="A91" i="41"/>
  <c r="A83" i="41"/>
  <c r="A59" i="41"/>
  <c r="A51" i="41"/>
  <c r="A43" i="41"/>
  <c r="H48" i="26"/>
  <c r="B58" i="26"/>
  <c r="D299" i="38"/>
  <c r="D287" i="38"/>
  <c r="H50" i="26"/>
  <c r="A413" i="41"/>
  <c r="A404" i="41"/>
  <c r="A402" i="41"/>
  <c r="A400" i="41"/>
  <c r="A398" i="41"/>
  <c r="A396" i="41"/>
  <c r="A394" i="41"/>
  <c r="A392" i="41"/>
  <c r="A390" i="41"/>
  <c r="A388" i="41"/>
  <c r="A386" i="41"/>
  <c r="A384" i="41"/>
  <c r="A382" i="41"/>
  <c r="A380" i="41"/>
  <c r="A378" i="41"/>
  <c r="A376" i="41"/>
  <c r="A374" i="41"/>
  <c r="A372" i="41"/>
  <c r="A370" i="41"/>
  <c r="A368" i="41"/>
  <c r="A366" i="41"/>
  <c r="A364" i="41"/>
  <c r="A362" i="41"/>
  <c r="A360" i="41"/>
  <c r="A358" i="41"/>
  <c r="A356" i="41"/>
  <c r="A354" i="41"/>
  <c r="A352" i="41"/>
  <c r="A350" i="41"/>
  <c r="A348" i="41"/>
  <c r="A346" i="41"/>
  <c r="A344" i="41"/>
  <c r="A342" i="41"/>
  <c r="A340" i="41"/>
  <c r="A338" i="41"/>
  <c r="A336" i="41"/>
  <c r="A334" i="41"/>
  <c r="A332" i="41"/>
  <c r="A330" i="41"/>
  <c r="A328" i="41"/>
  <c r="A326" i="41"/>
  <c r="A324" i="41"/>
  <c r="A322" i="41"/>
  <c r="A320" i="41"/>
  <c r="A318" i="41"/>
  <c r="A316" i="41"/>
  <c r="A314" i="41"/>
  <c r="A312" i="41"/>
  <c r="A310" i="41"/>
  <c r="A308" i="41"/>
  <c r="A306" i="41"/>
  <c r="A304" i="41"/>
  <c r="A302" i="41"/>
  <c r="A300" i="41"/>
  <c r="A298" i="41"/>
  <c r="A296" i="41"/>
  <c r="A294" i="41"/>
  <c r="A292" i="41"/>
  <c r="A290" i="41"/>
  <c r="A288" i="41"/>
  <c r="A286" i="41"/>
  <c r="A284" i="41"/>
  <c r="A282" i="41"/>
  <c r="A280" i="41"/>
  <c r="A278" i="41"/>
  <c r="A276" i="41"/>
  <c r="A274" i="41"/>
  <c r="A272" i="41"/>
  <c r="A270" i="41"/>
  <c r="A268" i="41"/>
  <c r="A266" i="41"/>
  <c r="A264" i="41"/>
  <c r="A262" i="41"/>
  <c r="A260" i="41"/>
  <c r="A258" i="41"/>
  <c r="A256" i="41"/>
  <c r="A254" i="41"/>
  <c r="A252" i="41"/>
  <c r="A250" i="41"/>
  <c r="A248" i="41"/>
  <c r="A246" i="41"/>
  <c r="A244" i="41"/>
  <c r="A242" i="41"/>
  <c r="A240" i="41"/>
  <c r="A238" i="41"/>
  <c r="A236" i="41"/>
  <c r="A234" i="41"/>
  <c r="A232" i="41"/>
  <c r="A230" i="41"/>
  <c r="A228" i="41"/>
  <c r="A226" i="41"/>
  <c r="A224" i="41"/>
  <c r="A222" i="41"/>
  <c r="A220" i="41"/>
  <c r="A218" i="41"/>
  <c r="A216" i="41"/>
  <c r="A214" i="41"/>
  <c r="A212" i="41"/>
  <c r="A210" i="41"/>
  <c r="A208" i="41"/>
  <c r="A206" i="41"/>
  <c r="A204" i="41"/>
  <c r="A202" i="41"/>
  <c r="A200" i="41"/>
  <c r="A198" i="41"/>
  <c r="A196" i="41"/>
  <c r="A194" i="41"/>
  <c r="A192" i="41"/>
  <c r="A190" i="41"/>
  <c r="A188" i="41"/>
  <c r="A186" i="41"/>
  <c r="A184" i="41"/>
  <c r="A182" i="41"/>
  <c r="A180" i="41"/>
  <c r="A178" i="41"/>
  <c r="A176" i="41"/>
  <c r="A174" i="41"/>
  <c r="A172" i="41"/>
  <c r="A170" i="41"/>
  <c r="A168" i="41"/>
  <c r="A118" i="41"/>
  <c r="A110" i="41"/>
  <c r="A102" i="41"/>
  <c r="A94" i="41"/>
  <c r="A86" i="41"/>
  <c r="A78" i="41"/>
  <c r="A70" i="41"/>
  <c r="A62" i="41"/>
  <c r="A54" i="41"/>
  <c r="A46" i="41"/>
  <c r="A38" i="41"/>
  <c r="A30" i="41"/>
  <c r="A22" i="41"/>
  <c r="A14" i="41"/>
  <c r="A165" i="41"/>
  <c r="A115" i="41"/>
  <c r="A107" i="41"/>
  <c r="A67" i="41"/>
  <c r="A27" i="41"/>
  <c r="A410" i="41"/>
  <c r="A163" i="41"/>
  <c r="A113" i="41"/>
  <c r="A105" i="41"/>
  <c r="A97" i="41"/>
  <c r="A89" i="41"/>
  <c r="A81" i="41"/>
  <c r="A73" i="41"/>
  <c r="A65" i="41"/>
  <c r="A57" i="41"/>
  <c r="A49" i="41"/>
  <c r="A41" i="41"/>
  <c r="A33" i="41"/>
  <c r="A25" i="41"/>
  <c r="A17" i="41"/>
  <c r="A9" i="41"/>
  <c r="A7" i="41"/>
  <c r="A75" i="41"/>
  <c r="A35" i="41"/>
  <c r="A19" i="41"/>
  <c r="A11" i="41"/>
  <c r="A415" i="41"/>
  <c r="A407" i="41"/>
  <c r="A166" i="41"/>
  <c r="A161" i="41"/>
  <c r="A159" i="41"/>
  <c r="A157" i="41"/>
  <c r="A155" i="41"/>
  <c r="A153" i="41"/>
  <c r="A151" i="41"/>
  <c r="A149" i="41"/>
  <c r="A147" i="41"/>
  <c r="A145" i="41"/>
  <c r="A143" i="41"/>
  <c r="A141" i="41"/>
  <c r="A139" i="41"/>
  <c r="A137" i="41"/>
  <c r="A135" i="41"/>
  <c r="A133" i="41"/>
  <c r="A131" i="41"/>
  <c r="A129" i="41"/>
  <c r="A127" i="41"/>
  <c r="A125" i="41"/>
  <c r="A123" i="41"/>
  <c r="A121" i="41"/>
  <c r="A116" i="41"/>
  <c r="A108" i="41"/>
  <c r="A100" i="41"/>
  <c r="A92" i="41"/>
  <c r="A84" i="41"/>
  <c r="A76" i="41"/>
  <c r="A68" i="41"/>
  <c r="A60" i="41"/>
  <c r="A52" i="41"/>
  <c r="A44" i="41"/>
  <c r="A36" i="41"/>
  <c r="A28" i="41"/>
  <c r="A20" i="41"/>
  <c r="A12" i="41"/>
  <c r="J48" i="26"/>
  <c r="D335" i="38"/>
  <c r="D58" i="26"/>
  <c r="D347" i="38"/>
  <c r="A408" i="41"/>
  <c r="A79" i="41"/>
  <c r="A31" i="41"/>
  <c r="A3" i="41"/>
  <c r="H54" i="26"/>
  <c r="A417" i="41"/>
  <c r="A409" i="41"/>
  <c r="A403" i="41"/>
  <c r="A401" i="41"/>
  <c r="A399" i="41"/>
  <c r="A397" i="41"/>
  <c r="A395" i="41"/>
  <c r="A393" i="41"/>
  <c r="A391" i="41"/>
  <c r="A389" i="41"/>
  <c r="A387" i="41"/>
  <c r="A385" i="41"/>
  <c r="A383" i="41"/>
  <c r="A381" i="41"/>
  <c r="A379" i="41"/>
  <c r="A377" i="41"/>
  <c r="A375" i="41"/>
  <c r="A373" i="41"/>
  <c r="A371" i="41"/>
  <c r="A369" i="41"/>
  <c r="A367" i="41"/>
  <c r="A365" i="41"/>
  <c r="A363" i="41"/>
  <c r="A361" i="41"/>
  <c r="A359" i="41"/>
  <c r="A357" i="41"/>
  <c r="A355" i="41"/>
  <c r="A353" i="41"/>
  <c r="A351" i="41"/>
  <c r="A349" i="41"/>
  <c r="A347" i="41"/>
  <c r="A345" i="41"/>
  <c r="A343" i="41"/>
  <c r="A341" i="41"/>
  <c r="A339" i="41"/>
  <c r="A337" i="41"/>
  <c r="A335" i="41"/>
  <c r="A333" i="41"/>
  <c r="A331" i="41"/>
  <c r="A329" i="41"/>
  <c r="A327" i="41"/>
  <c r="A325" i="41"/>
  <c r="A323" i="41"/>
  <c r="A321" i="41"/>
  <c r="A319" i="41"/>
  <c r="A317" i="41"/>
  <c r="A315" i="41"/>
  <c r="A313" i="41"/>
  <c r="A311" i="41"/>
  <c r="A309" i="41"/>
  <c r="A307" i="41"/>
  <c r="A305" i="41"/>
  <c r="A303" i="41"/>
  <c r="A301" i="41"/>
  <c r="A299" i="41"/>
  <c r="A297" i="41"/>
  <c r="A295" i="41"/>
  <c r="A293" i="41"/>
  <c r="A291" i="41"/>
  <c r="A289" i="41"/>
  <c r="A287" i="41"/>
  <c r="A285" i="41"/>
  <c r="A283" i="41"/>
  <c r="A281" i="41"/>
  <c r="A279" i="41"/>
  <c r="A277" i="41"/>
  <c r="A275" i="41"/>
  <c r="A273" i="41"/>
  <c r="A271" i="41"/>
  <c r="A269" i="41"/>
  <c r="A267" i="41"/>
  <c r="A265" i="41"/>
  <c r="A263" i="41"/>
  <c r="A261" i="41"/>
  <c r="A259" i="41"/>
  <c r="A257" i="41"/>
  <c r="A255" i="41"/>
  <c r="A253" i="41"/>
  <c r="A251" i="41"/>
  <c r="A249" i="41"/>
  <c r="A247" i="41"/>
  <c r="A245" i="41"/>
  <c r="A243" i="41"/>
  <c r="A241" i="41"/>
  <c r="A239" i="41"/>
  <c r="A237" i="41"/>
  <c r="A235" i="41"/>
  <c r="A233" i="41"/>
  <c r="A231" i="41"/>
  <c r="A229" i="41"/>
  <c r="A227" i="41"/>
  <c r="A225" i="41"/>
  <c r="A223" i="41"/>
  <c r="A221" i="41"/>
  <c r="A219" i="41"/>
  <c r="A217" i="41"/>
  <c r="A215" i="41"/>
  <c r="A213" i="41"/>
  <c r="A211" i="41"/>
  <c r="A209" i="41"/>
  <c r="A207" i="41"/>
  <c r="A205" i="41"/>
  <c r="A203" i="41"/>
  <c r="A201" i="41"/>
  <c r="A199" i="41"/>
  <c r="A197" i="41"/>
  <c r="A195" i="41"/>
  <c r="A193" i="41"/>
  <c r="A191" i="41"/>
  <c r="A189" i="41"/>
  <c r="A187" i="41"/>
  <c r="A185" i="41"/>
  <c r="A183" i="41"/>
  <c r="A181" i="41"/>
  <c r="A179" i="41"/>
  <c r="A177" i="41"/>
  <c r="A175" i="41"/>
  <c r="A173" i="41"/>
  <c r="A171" i="41"/>
  <c r="A169" i="41"/>
  <c r="A164" i="41"/>
  <c r="A114" i="41"/>
  <c r="A106" i="41"/>
  <c r="A98" i="41"/>
  <c r="A90" i="41"/>
  <c r="A82" i="41"/>
  <c r="A74" i="41"/>
  <c r="A66" i="41"/>
  <c r="A58" i="41"/>
  <c r="A50" i="41"/>
  <c r="A42" i="41"/>
  <c r="A34" i="41"/>
  <c r="A26" i="41"/>
  <c r="A18" i="41"/>
  <c r="A10" i="41"/>
  <c r="A412" i="41"/>
  <c r="A119" i="41"/>
  <c r="A103" i="41"/>
  <c r="A95" i="41"/>
  <c r="A87" i="41"/>
  <c r="A71" i="41"/>
  <c r="A63" i="41"/>
  <c r="A55" i="41"/>
  <c r="A47" i="41"/>
  <c r="A39" i="41"/>
  <c r="A15" i="41"/>
  <c r="H53" i="26"/>
  <c r="A414" i="41"/>
  <c r="A405" i="41"/>
  <c r="C37" i="66" s="1"/>
  <c r="O37" i="66" s="1"/>
  <c r="A167" i="41"/>
  <c r="A117" i="41"/>
  <c r="A109" i="41"/>
  <c r="A101" i="41"/>
  <c r="A93" i="41"/>
  <c r="A85" i="41"/>
  <c r="A77" i="41"/>
  <c r="A69" i="41"/>
  <c r="A61" i="41"/>
  <c r="A53" i="41"/>
  <c r="A45" i="41"/>
  <c r="A37" i="41"/>
  <c r="A29" i="41"/>
  <c r="A21" i="41"/>
  <c r="A13" i="41"/>
  <c r="A8" i="41"/>
  <c r="A5" i="41"/>
  <c r="A416" i="41"/>
  <c r="A111" i="41"/>
  <c r="A23" i="41"/>
  <c r="A411" i="41"/>
  <c r="A162" i="41"/>
  <c r="A160" i="41"/>
  <c r="A158" i="41"/>
  <c r="A156" i="41"/>
  <c r="A154" i="41"/>
  <c r="A152" i="41"/>
  <c r="A150" i="41"/>
  <c r="A148" i="41"/>
  <c r="A146" i="41"/>
  <c r="A144" i="41"/>
  <c r="A142" i="41"/>
  <c r="A140" i="41"/>
  <c r="A138" i="41"/>
  <c r="A136" i="41"/>
  <c r="A134" i="41"/>
  <c r="A132" i="41"/>
  <c r="A130" i="41"/>
  <c r="A128" i="41"/>
  <c r="A126" i="41"/>
  <c r="A124" i="41"/>
  <c r="A122" i="41"/>
  <c r="A120" i="41"/>
  <c r="A112" i="41"/>
  <c r="A104" i="41"/>
  <c r="A96" i="41"/>
  <c r="A88" i="41"/>
  <c r="A80" i="41"/>
  <c r="A72" i="41"/>
  <c r="A64" i="41"/>
  <c r="A56" i="41"/>
  <c r="A48" i="41"/>
  <c r="A40" i="41"/>
  <c r="A32" i="41"/>
  <c r="A24" i="41"/>
  <c r="A16" i="41"/>
  <c r="D323" i="38"/>
  <c r="D311" i="38"/>
  <c r="C58" i="26"/>
  <c r="C306" i="38"/>
  <c r="C312" i="38" s="1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E17" i="34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29" i="66" l="1"/>
  <c r="O229" i="66" s="1"/>
  <c r="U229" i="66" s="1"/>
  <c r="C85" i="66"/>
  <c r="O85" i="66" s="1"/>
  <c r="C181" i="66"/>
  <c r="O181" i="66" s="1"/>
  <c r="U181" i="66" s="1"/>
  <c r="C246" i="66"/>
  <c r="I8" i="37"/>
  <c r="I5" i="37"/>
  <c r="J5" i="37"/>
  <c r="H8" i="37"/>
  <c r="I3" i="37"/>
  <c r="I6" i="37"/>
  <c r="J6" i="37"/>
  <c r="H6" i="37"/>
  <c r="J9" i="37"/>
  <c r="I7" i="37"/>
  <c r="H9" i="37"/>
  <c r="J10" i="37"/>
  <c r="H3" i="37"/>
  <c r="J7" i="37"/>
  <c r="H5" i="37"/>
  <c r="I10" i="37"/>
  <c r="J3" i="37"/>
  <c r="H7" i="37"/>
  <c r="H10" i="37"/>
  <c r="J8" i="37"/>
  <c r="I9" i="37"/>
  <c r="C318" i="38"/>
  <c r="C324" i="38" s="1"/>
  <c r="C307" i="38"/>
  <c r="C313" i="38" s="1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U55" i="66"/>
  <c r="A23" i="53"/>
  <c r="C304" i="38"/>
  <c r="C310" i="38" s="1"/>
  <c r="J39" i="9"/>
  <c r="A12" i="53"/>
  <c r="C274" i="38"/>
  <c r="U51" i="66"/>
  <c r="C271" i="38"/>
  <c r="E2" i="22"/>
  <c r="C315" i="38"/>
  <c r="C321" i="38" s="1"/>
  <c r="C254" i="38"/>
  <c r="A8" i="53"/>
  <c r="J35" i="9"/>
  <c r="J5" i="9" s="1"/>
  <c r="C319" i="38" l="1"/>
  <c r="C325" i="38" s="1"/>
  <c r="C330" i="38"/>
  <c r="C336" i="38" s="1"/>
  <c r="C342" i="38" s="1"/>
  <c r="C348" i="38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C331" i="38" l="1"/>
  <c r="C337" i="38" s="1"/>
  <c r="C343" i="38" s="1"/>
  <c r="C349" i="38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333" i="38" s="1"/>
  <c r="C235" i="38"/>
  <c r="C245" i="38"/>
  <c r="H25" i="20"/>
  <c r="E25" i="20"/>
  <c r="H52" i="20"/>
  <c r="H206" i="35"/>
  <c r="F49" i="26"/>
  <c r="I49" i="26" s="1"/>
  <c r="C316" i="38"/>
  <c r="C322" i="38" s="1"/>
  <c r="C296" i="38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C302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C308" i="38" l="1"/>
  <c r="Z5" i="20"/>
  <c r="P28" i="18"/>
  <c r="P26" i="18"/>
  <c r="Z3" i="20"/>
  <c r="Z4" i="20"/>
  <c r="C265" i="38"/>
  <c r="C339" i="38"/>
  <c r="C268" i="38"/>
  <c r="D10" i="53" s="1"/>
  <c r="A32" i="53"/>
  <c r="A36" i="53"/>
  <c r="C275" i="38"/>
  <c r="C328" i="38"/>
  <c r="C334" i="38" s="1"/>
  <c r="D11" i="53" l="1"/>
  <c r="D34" i="53"/>
  <c r="D9" i="53"/>
  <c r="D23" i="53"/>
  <c r="D22" i="53"/>
  <c r="D35" i="53"/>
  <c r="D33" i="53"/>
  <c r="D21" i="53"/>
  <c r="C314" i="38"/>
  <c r="C345" i="38"/>
  <c r="C320" i="38" l="1"/>
  <c r="C340" i="38"/>
  <c r="C326" i="38" l="1"/>
  <c r="C346" i="38"/>
  <c r="C332" i="38" l="1"/>
  <c r="C338" i="38" s="1"/>
  <c r="C344" i="38" l="1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E4" i="34"/>
  <c r="E5" i="34"/>
  <c r="E6" i="34"/>
  <c r="E7" i="34"/>
  <c r="E8" i="34"/>
  <c r="E9" i="34"/>
  <c r="E10" i="34"/>
  <c r="E11" i="34"/>
  <c r="E12" i="34"/>
  <c r="E13" i="34"/>
  <c r="E16" i="34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8" i="37" l="1"/>
  <c r="H117" i="37"/>
  <c r="H119" i="37"/>
  <c r="H113" i="37"/>
  <c r="H115" i="37"/>
  <c r="H114" i="37"/>
  <c r="H112" i="37"/>
  <c r="H116" i="37"/>
  <c r="H99" i="37"/>
  <c r="H96" i="37"/>
  <c r="H101" i="37"/>
  <c r="H103" i="37"/>
  <c r="H102" i="37"/>
  <c r="H98" i="37"/>
  <c r="H97" i="37"/>
  <c r="H100" i="37"/>
  <c r="H83" i="37"/>
  <c r="H85" i="37"/>
  <c r="H82" i="37"/>
  <c r="H87" i="37"/>
  <c r="H86" i="37"/>
  <c r="H84" i="37"/>
  <c r="H81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75" i="37" l="1"/>
  <c r="H76" i="37"/>
  <c r="H78" i="37"/>
  <c r="H74" i="37"/>
  <c r="H80" i="37"/>
  <c r="H79" i="37"/>
  <c r="H77" i="37"/>
  <c r="H91" i="37"/>
  <c r="H94" i="37"/>
  <c r="H93" i="37"/>
  <c r="H92" i="37"/>
  <c r="H88" i="37"/>
  <c r="H90" i="37"/>
  <c r="H95" i="37"/>
  <c r="H89" i="37"/>
  <c r="H110" i="37"/>
  <c r="H107" i="37"/>
  <c r="H111" i="37"/>
  <c r="H109" i="37"/>
  <c r="H108" i="37"/>
  <c r="H104" i="37"/>
  <c r="H106" i="37"/>
  <c r="H105" i="37"/>
  <c r="I181" i="35"/>
  <c r="H181" i="35"/>
  <c r="I179" i="35"/>
  <c r="H179" i="35"/>
  <c r="I180" i="35"/>
  <c r="I182" i="35"/>
  <c r="J117" i="58" s="1"/>
  <c r="H182" i="35"/>
  <c r="I113" i="58" s="1"/>
  <c r="H180" i="35"/>
  <c r="I178" i="35"/>
  <c r="J99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H172" i="35"/>
  <c r="I78" i="58" s="1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J80" i="58"/>
  <c r="H117" i="58"/>
  <c r="H8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8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J79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I110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85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113" i="58" l="1"/>
  <c r="J118" i="58"/>
  <c r="I80" i="58"/>
  <c r="I117" i="58"/>
  <c r="I118" i="58"/>
  <c r="J112" i="58"/>
  <c r="I115" i="58"/>
  <c r="I116" i="58"/>
  <c r="J114" i="58"/>
  <c r="I112" i="58"/>
  <c r="J98" i="58"/>
  <c r="J93" i="37"/>
  <c r="J93" i="41" s="1"/>
  <c r="J88" i="37"/>
  <c r="J90" i="37"/>
  <c r="J92" i="37"/>
  <c r="J89" i="37"/>
  <c r="J94" i="37"/>
  <c r="J91" i="37"/>
  <c r="J95" i="37"/>
  <c r="J77" i="37"/>
  <c r="J76" i="37"/>
  <c r="J74" i="37"/>
  <c r="J75" i="37"/>
  <c r="J79" i="37"/>
  <c r="J79" i="41" s="1"/>
  <c r="J80" i="37"/>
  <c r="J80" i="41" s="1"/>
  <c r="J78" i="37"/>
  <c r="J78" i="41" s="1"/>
  <c r="I81" i="37"/>
  <c r="I81" i="41" s="1"/>
  <c r="I85" i="37"/>
  <c r="I83" i="37"/>
  <c r="I84" i="37"/>
  <c r="I82" i="37"/>
  <c r="I86" i="37"/>
  <c r="I87" i="37"/>
  <c r="J97" i="58"/>
  <c r="J101" i="58"/>
  <c r="E277" i="38" s="1"/>
  <c r="J86" i="37"/>
  <c r="J86" i="41" s="1"/>
  <c r="J87" i="37"/>
  <c r="J84" i="37"/>
  <c r="J82" i="37"/>
  <c r="J81" i="37"/>
  <c r="J85" i="37"/>
  <c r="J85" i="41" s="1"/>
  <c r="J83" i="37"/>
  <c r="H417" i="37"/>
  <c r="H416" i="37"/>
  <c r="H404" i="37"/>
  <c r="H407" i="37"/>
  <c r="H406" i="37"/>
  <c r="H405" i="37"/>
  <c r="I77" i="37"/>
  <c r="I76" i="37"/>
  <c r="I75" i="37"/>
  <c r="I74" i="37"/>
  <c r="I78" i="37"/>
  <c r="I80" i="37"/>
  <c r="I79" i="37"/>
  <c r="H413" i="37"/>
  <c r="H415" i="37"/>
  <c r="H412" i="37"/>
  <c r="H414" i="37"/>
  <c r="H410" i="37"/>
  <c r="H408" i="37"/>
  <c r="H409" i="37"/>
  <c r="H411" i="37"/>
  <c r="J119" i="37"/>
  <c r="J117" i="37"/>
  <c r="J117" i="41" s="1"/>
  <c r="J113" i="37"/>
  <c r="J113" i="41" s="1"/>
  <c r="J114" i="37"/>
  <c r="J115" i="37"/>
  <c r="J118" i="37"/>
  <c r="J116" i="37"/>
  <c r="J112" i="37"/>
  <c r="J96" i="58"/>
  <c r="I103" i="37"/>
  <c r="I99" i="37"/>
  <c r="I99" i="41" s="1"/>
  <c r="I98" i="37"/>
  <c r="I98" i="41" s="1"/>
  <c r="I101" i="37"/>
  <c r="I101" i="41" s="1"/>
  <c r="I102" i="37"/>
  <c r="I102" i="41" s="1"/>
  <c r="I96" i="37"/>
  <c r="I96" i="41" s="1"/>
  <c r="I100" i="37"/>
  <c r="I97" i="37"/>
  <c r="I97" i="41" s="1"/>
  <c r="I111" i="37"/>
  <c r="I107" i="37"/>
  <c r="I109" i="37"/>
  <c r="I110" i="37"/>
  <c r="I110" i="41" s="1"/>
  <c r="I105" i="37"/>
  <c r="I106" i="37"/>
  <c r="I108" i="37"/>
  <c r="I104" i="37"/>
  <c r="J96" i="37"/>
  <c r="J98" i="37"/>
  <c r="J97" i="37"/>
  <c r="J102" i="37"/>
  <c r="J103" i="37"/>
  <c r="J101" i="37"/>
  <c r="J99" i="37"/>
  <c r="J99" i="41" s="1"/>
  <c r="J100" i="37"/>
  <c r="J106" i="37"/>
  <c r="J107" i="37"/>
  <c r="J109" i="37"/>
  <c r="J109" i="41" s="1"/>
  <c r="J108" i="37"/>
  <c r="J108" i="41" s="1"/>
  <c r="J105" i="37"/>
  <c r="J110" i="37"/>
  <c r="J104" i="37"/>
  <c r="J111" i="37"/>
  <c r="J111" i="41" s="1"/>
  <c r="I95" i="37"/>
  <c r="I93" i="37"/>
  <c r="I88" i="37"/>
  <c r="I94" i="37"/>
  <c r="I94" i="41" s="1"/>
  <c r="I92" i="37"/>
  <c r="I90" i="37"/>
  <c r="I89" i="37"/>
  <c r="I91" i="37"/>
  <c r="I119" i="37"/>
  <c r="I118" i="37"/>
  <c r="I118" i="41" s="1"/>
  <c r="I112" i="37"/>
  <c r="I117" i="37"/>
  <c r="I117" i="41" s="1"/>
  <c r="I114" i="37"/>
  <c r="I113" i="37"/>
  <c r="I113" i="41" s="1"/>
  <c r="I116" i="37"/>
  <c r="I115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H117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112" i="41" l="1"/>
  <c r="I116" i="41"/>
  <c r="I80" i="41"/>
  <c r="I115" i="41"/>
  <c r="I82" i="41"/>
  <c r="J98" i="41"/>
  <c r="J101" i="41"/>
  <c r="J114" i="41"/>
  <c r="I112" i="41"/>
  <c r="I85" i="41"/>
  <c r="J96" i="41"/>
  <c r="J81" i="41"/>
  <c r="J83" i="41"/>
  <c r="I93" i="41"/>
  <c r="J97" i="41"/>
  <c r="I415" i="37"/>
  <c r="I414" i="37"/>
  <c r="I413" i="37"/>
  <c r="I412" i="37"/>
  <c r="I404" i="37"/>
  <c r="I405" i="37"/>
  <c r="I407" i="37"/>
  <c r="I406" i="37"/>
  <c r="J417" i="37"/>
  <c r="J416" i="37"/>
  <c r="J413" i="37"/>
  <c r="J415" i="37"/>
  <c r="J412" i="37"/>
  <c r="J414" i="37"/>
  <c r="J409" i="37"/>
  <c r="J410" i="37"/>
  <c r="J411" i="37"/>
  <c r="J408" i="37"/>
  <c r="J404" i="37"/>
  <c r="J407" i="37"/>
  <c r="J405" i="37"/>
  <c r="J406" i="37"/>
  <c r="I417" i="37"/>
  <c r="I416" i="37"/>
  <c r="I410" i="37"/>
  <c r="I408" i="37"/>
  <c r="I409" i="37"/>
  <c r="I411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O12" i="39" l="1"/>
  <c r="H438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1" i="26" s="1"/>
  <c r="P29" i="9" a="1"/>
  <c r="P29" i="9" s="1"/>
  <c r="E36" i="22" s="1"/>
  <c r="R27" i="9" a="1"/>
  <c r="R27" i="9" s="1"/>
  <c r="R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44" i="22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5" i="26"/>
  <c r="R40" i="9"/>
  <c r="E39" i="26"/>
  <c r="I202" i="35" s="1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321" i="37" l="1"/>
  <c r="O10" i="9"/>
  <c r="H209" i="37"/>
  <c r="H309" i="37"/>
  <c r="H213" i="37"/>
  <c r="H345" i="37"/>
  <c r="H137" i="37"/>
  <c r="H305" i="37"/>
  <c r="H141" i="37"/>
  <c r="H221" i="37"/>
  <c r="H329" i="37"/>
  <c r="H125" i="37"/>
  <c r="H225" i="37"/>
  <c r="H341" i="37"/>
  <c r="H333" i="37"/>
  <c r="H129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H121" i="37" l="1"/>
  <c r="J129" i="37"/>
  <c r="I321" i="37"/>
  <c r="J309" i="37"/>
  <c r="I317" i="37"/>
  <c r="J329" i="37"/>
  <c r="I125" i="37"/>
  <c r="H165" i="37"/>
  <c r="H167" i="37"/>
  <c r="H166" i="37"/>
  <c r="H313" i="37"/>
  <c r="J221" i="37"/>
  <c r="H325" i="37"/>
  <c r="J333" i="37"/>
  <c r="H205" i="37"/>
  <c r="I213" i="37"/>
  <c r="I137" i="37"/>
  <c r="I329" i="37"/>
  <c r="I141" i="37"/>
  <c r="J225" i="37"/>
  <c r="H337" i="37"/>
  <c r="J341" i="37"/>
  <c r="J209" i="37"/>
  <c r="I305" i="37"/>
  <c r="J213" i="37"/>
  <c r="J137" i="37"/>
  <c r="J305" i="37"/>
  <c r="I209" i="37"/>
  <c r="I345" i="37"/>
  <c r="J321" i="37"/>
  <c r="J345" i="37"/>
  <c r="J317" i="37"/>
  <c r="I309" i="37"/>
  <c r="H301" i="37"/>
  <c r="I341" i="37"/>
  <c r="I221" i="37"/>
  <c r="I225" i="37"/>
  <c r="H133" i="37"/>
  <c r="I333" i="37"/>
  <c r="J125" i="37"/>
  <c r="H162" i="37"/>
  <c r="H164" i="37"/>
  <c r="H163" i="37"/>
  <c r="I129" i="37"/>
  <c r="J141" i="37"/>
  <c r="H217" i="37"/>
  <c r="E28" i="17"/>
  <c r="J53" i="26"/>
  <c r="J50" i="26"/>
  <c r="J52" i="26"/>
  <c r="J51" i="26"/>
  <c r="J54" i="26"/>
  <c r="D28" i="17"/>
  <c r="E48" i="17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R47" i="20"/>
  <c r="I284" i="18"/>
  <c r="H284" i="18"/>
  <c r="H310" i="18"/>
  <c r="I310" i="18"/>
  <c r="H132" i="35" a="1"/>
  <c r="H132" i="35" s="1"/>
  <c r="H290" i="18"/>
  <c r="I290" i="18"/>
  <c r="I321" i="18"/>
  <c r="H321" i="18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4" i="18" l="1" a="1"/>
  <c r="G64" i="18" s="1"/>
  <c r="H49" i="35" a="1"/>
  <c r="H49" i="35" s="1"/>
  <c r="I165" i="37" s="1"/>
  <c r="G63" i="18" a="1"/>
  <c r="G63" i="18" s="1"/>
  <c r="H63" i="18" s="1"/>
  <c r="H51" i="35" a="1"/>
  <c r="H51" i="35" s="1"/>
  <c r="H55" i="35" a="1"/>
  <c r="H55" i="35" s="1"/>
  <c r="G69" i="18" a="1"/>
  <c r="G69" i="18" s="1"/>
  <c r="H69" i="18" s="1"/>
  <c r="G61" i="18" a="1"/>
  <c r="G61" i="18" s="1"/>
  <c r="H61" i="18" s="1"/>
  <c r="G16" i="18" a="1"/>
  <c r="G16" i="18" s="1"/>
  <c r="H16" i="18" s="1"/>
  <c r="G62" i="18" a="1"/>
  <c r="G62" i="18" s="1"/>
  <c r="I62" i="18" s="1"/>
  <c r="O20" i="20"/>
  <c r="G70" i="18" a="1"/>
  <c r="G70" i="18" s="1"/>
  <c r="H70" i="18" s="1"/>
  <c r="H57" i="35" a="1"/>
  <c r="H57" i="35" s="1"/>
  <c r="G68" i="18" a="1"/>
  <c r="G68" i="18" s="1"/>
  <c r="I68" i="18" s="1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F323" i="18"/>
  <c r="J335" i="18"/>
  <c r="F335" i="18"/>
  <c r="F280" i="18"/>
  <c r="F279" i="18"/>
  <c r="I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F269" i="18"/>
  <c r="J269" i="18"/>
  <c r="I329" i="18"/>
  <c r="H329" i="18"/>
  <c r="I292" i="18"/>
  <c r="H292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I69" i="18" l="1"/>
  <c r="J69" i="18" s="1"/>
  <c r="I63" i="18"/>
  <c r="I70" i="18"/>
  <c r="J70" i="18" s="1"/>
  <c r="I59" i="18"/>
  <c r="I166" i="37"/>
  <c r="H62" i="18"/>
  <c r="I167" i="37"/>
  <c r="I205" i="37"/>
  <c r="I121" i="37"/>
  <c r="J164" i="37"/>
  <c r="J162" i="37"/>
  <c r="J163" i="37"/>
  <c r="I133" i="37"/>
  <c r="I313" i="37"/>
  <c r="I162" i="37"/>
  <c r="I163" i="37"/>
  <c r="I164" i="37"/>
  <c r="I337" i="37"/>
  <c r="I325" i="37"/>
  <c r="I16" i="18"/>
  <c r="J16" i="18" s="1"/>
  <c r="I217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J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F59" i="18"/>
  <c r="J5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F70" i="18"/>
  <c r="J334" i="18"/>
  <c r="F334" i="18"/>
  <c r="F331" i="18"/>
  <c r="J331" i="18"/>
  <c r="F322" i="18"/>
  <c r="J322" i="18"/>
  <c r="I429" i="41"/>
  <c r="F69" i="18" l="1"/>
  <c r="F25" i="18"/>
  <c r="F27" i="18"/>
  <c r="F18" i="18"/>
  <c r="F16" i="18"/>
  <c r="J313" i="37"/>
  <c r="J314" i="37"/>
  <c r="J217" i="37"/>
  <c r="J386" i="37"/>
  <c r="J300" i="37"/>
  <c r="J301" i="37"/>
  <c r="J178" i="37"/>
  <c r="J265" i="37"/>
  <c r="J257" i="37"/>
  <c r="J121" i="37"/>
  <c r="J375" i="37"/>
  <c r="J133" i="37"/>
  <c r="F71" i="18"/>
  <c r="J338" i="37"/>
  <c r="J337" i="37"/>
  <c r="J205" i="37"/>
  <c r="J167" i="37"/>
  <c r="J165" i="37"/>
  <c r="J166" i="37"/>
  <c r="J154" i="37"/>
  <c r="J274" i="37"/>
  <c r="J291" i="37"/>
  <c r="J325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G256" i="37"/>
  <c r="J256" i="37" s="1"/>
  <c r="G256" i="58"/>
  <c r="G248" i="58"/>
  <c r="G248" i="37"/>
  <c r="J248" i="37" s="1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J186" i="37" s="1"/>
  <c r="G186" i="58"/>
  <c r="G178" i="58"/>
  <c r="G178" i="37"/>
  <c r="G170" i="58"/>
  <c r="G170" i="37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J195" i="37" s="1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J336" i="37" s="1"/>
  <c r="G336" i="58"/>
  <c r="G326" i="37"/>
  <c r="G326" i="58"/>
  <c r="G315" i="58"/>
  <c r="G315" i="37"/>
  <c r="J315" i="37" s="1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J255" i="37" s="1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G169" i="58"/>
  <c r="G169" i="37"/>
  <c r="G155" i="58"/>
  <c r="G155" i="37"/>
  <c r="J155" i="37" s="1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J312" i="37" s="1"/>
  <c r="G312" i="58"/>
  <c r="G302" i="37"/>
  <c r="G302" i="58"/>
  <c r="G293" i="37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G153" i="58"/>
  <c r="G145" i="58"/>
  <c r="G145" i="37"/>
  <c r="G135" i="37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G168" i="58"/>
  <c r="G168" i="37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J393" i="37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G367" i="58"/>
  <c r="G359" i="58"/>
  <c r="G359" i="37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J283" i="37" s="1"/>
  <c r="G283" i="58"/>
  <c r="G275" i="37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J394" i="37" s="1"/>
  <c r="G346" i="58"/>
  <c r="G346" i="37"/>
  <c r="G303" i="58"/>
  <c r="G303" i="37"/>
  <c r="J303" i="37" s="1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J350" i="37" s="1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G266" i="37"/>
  <c r="J266" i="37" s="1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G196" i="58"/>
  <c r="G188" i="58"/>
  <c r="G188" i="37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36" i="41" l="1"/>
  <c r="H36" i="37"/>
  <c r="I36" i="37"/>
  <c r="J36" i="37"/>
  <c r="G168" i="41"/>
  <c r="H168" i="37"/>
  <c r="I168" i="37"/>
  <c r="G185" i="41"/>
  <c r="H185" i="37"/>
  <c r="J185" i="37"/>
  <c r="I185" i="37"/>
  <c r="G326" i="41"/>
  <c r="H326" i="37"/>
  <c r="I326" i="37"/>
  <c r="G139" i="41"/>
  <c r="H139" i="37"/>
  <c r="J139" i="37"/>
  <c r="I139" i="37"/>
  <c r="G212" i="41"/>
  <c r="H212" i="37"/>
  <c r="I212" i="37"/>
  <c r="J212" i="37"/>
  <c r="G280" i="41"/>
  <c r="H280" i="37"/>
  <c r="J280" i="37"/>
  <c r="I280" i="37"/>
  <c r="G16" i="41"/>
  <c r="H16" i="37"/>
  <c r="J16" i="37"/>
  <c r="I16" i="37"/>
  <c r="G48" i="41"/>
  <c r="I48" i="37"/>
  <c r="H48" i="37"/>
  <c r="J48" i="37"/>
  <c r="G131" i="41"/>
  <c r="H131" i="37"/>
  <c r="I131" i="37"/>
  <c r="J131" i="37"/>
  <c r="G242" i="41"/>
  <c r="H242" i="37"/>
  <c r="I242" i="37"/>
  <c r="J242" i="37"/>
  <c r="G382" i="41"/>
  <c r="H382" i="37"/>
  <c r="J382" i="37"/>
  <c r="I382" i="37"/>
  <c r="G151" i="41"/>
  <c r="H151" i="37"/>
  <c r="I151" i="37"/>
  <c r="J151" i="37"/>
  <c r="G259" i="41"/>
  <c r="H259" i="37"/>
  <c r="I259" i="37"/>
  <c r="J259" i="37"/>
  <c r="G367" i="41"/>
  <c r="H367" i="37"/>
  <c r="I367" i="37"/>
  <c r="G399" i="41"/>
  <c r="H399" i="37"/>
  <c r="J399" i="37"/>
  <c r="I399" i="37"/>
  <c r="G18" i="41"/>
  <c r="H18" i="37"/>
  <c r="I18" i="37"/>
  <c r="J18" i="37"/>
  <c r="G335" i="41"/>
  <c r="H335" i="37"/>
  <c r="I335" i="37"/>
  <c r="J335" i="37"/>
  <c r="G21" i="41"/>
  <c r="I21" i="37"/>
  <c r="H21" i="37"/>
  <c r="J21" i="37"/>
  <c r="G144" i="41"/>
  <c r="H144" i="37"/>
  <c r="I144" i="37"/>
  <c r="J144" i="37"/>
  <c r="G218" i="41"/>
  <c r="H218" i="37"/>
  <c r="I218" i="37"/>
  <c r="G252" i="41"/>
  <c r="H252" i="37"/>
  <c r="J252" i="37"/>
  <c r="I252" i="37"/>
  <c r="G284" i="41"/>
  <c r="H284" i="37"/>
  <c r="I284" i="37"/>
  <c r="G322" i="41"/>
  <c r="H322" i="37"/>
  <c r="J322" i="37"/>
  <c r="I322" i="37"/>
  <c r="G360" i="41"/>
  <c r="H360" i="37"/>
  <c r="J360" i="37"/>
  <c r="I360" i="37"/>
  <c r="G392" i="41"/>
  <c r="H392" i="37"/>
  <c r="I392" i="37"/>
  <c r="J392" i="37"/>
  <c r="G377" i="41"/>
  <c r="H377" i="37"/>
  <c r="I377" i="37"/>
  <c r="G370" i="41"/>
  <c r="H370" i="37"/>
  <c r="J370" i="37"/>
  <c r="I370" i="37"/>
  <c r="G261" i="41"/>
  <c r="H261" i="37"/>
  <c r="J261" i="37"/>
  <c r="I261" i="37"/>
  <c r="G58" i="41"/>
  <c r="H58" i="37"/>
  <c r="I58" i="37"/>
  <c r="J58" i="37"/>
  <c r="G127" i="41"/>
  <c r="H127" i="37"/>
  <c r="J127" i="37"/>
  <c r="I127" i="37"/>
  <c r="G169" i="41"/>
  <c r="H169" i="37"/>
  <c r="I169" i="37"/>
  <c r="G201" i="41"/>
  <c r="H201" i="37"/>
  <c r="J201" i="37"/>
  <c r="I201" i="37"/>
  <c r="G239" i="41"/>
  <c r="H239" i="37"/>
  <c r="I239" i="37"/>
  <c r="G271" i="41"/>
  <c r="H271" i="37"/>
  <c r="I271" i="37"/>
  <c r="J271" i="37"/>
  <c r="G149" i="41"/>
  <c r="H149" i="37"/>
  <c r="J149" i="37"/>
  <c r="I149" i="37"/>
  <c r="G241" i="41"/>
  <c r="H241" i="37"/>
  <c r="I241" i="37"/>
  <c r="J241" i="37"/>
  <c r="G328" i="41"/>
  <c r="H328" i="37"/>
  <c r="I328" i="37"/>
  <c r="J328" i="37"/>
  <c r="G262" i="41"/>
  <c r="H262" i="37"/>
  <c r="J262" i="37"/>
  <c r="I262" i="37"/>
  <c r="G156" i="41"/>
  <c r="H156" i="37"/>
  <c r="J156" i="37"/>
  <c r="I156" i="37"/>
  <c r="G194" i="41"/>
  <c r="H194" i="37"/>
  <c r="J194" i="37"/>
  <c r="I194" i="37"/>
  <c r="G264" i="41"/>
  <c r="H264" i="37"/>
  <c r="I264" i="37"/>
  <c r="G157" i="41"/>
  <c r="H157" i="37"/>
  <c r="I157" i="37"/>
  <c r="J157" i="37"/>
  <c r="G273" i="41"/>
  <c r="H273" i="37"/>
  <c r="I273" i="37"/>
  <c r="G365" i="41"/>
  <c r="H365" i="37"/>
  <c r="I365" i="37"/>
  <c r="J365" i="37"/>
  <c r="J239" i="37"/>
  <c r="G254" i="41"/>
  <c r="H254" i="37"/>
  <c r="I254" i="37"/>
  <c r="J254" i="37"/>
  <c r="G25" i="41"/>
  <c r="I25" i="37"/>
  <c r="H25" i="37"/>
  <c r="J25" i="37"/>
  <c r="G73" i="41"/>
  <c r="I73" i="37"/>
  <c r="H73" i="37"/>
  <c r="J73" i="37"/>
  <c r="G190" i="41"/>
  <c r="H190" i="37"/>
  <c r="J190" i="37"/>
  <c r="I190" i="37"/>
  <c r="G260" i="41"/>
  <c r="H260" i="37"/>
  <c r="J260" i="37"/>
  <c r="I260" i="37"/>
  <c r="G332" i="41"/>
  <c r="H332" i="37"/>
  <c r="I332" i="37"/>
  <c r="J332" i="37"/>
  <c r="H12" i="37"/>
  <c r="I12" i="37"/>
  <c r="J12" i="37"/>
  <c r="G44" i="41"/>
  <c r="I44" i="37"/>
  <c r="H44" i="37"/>
  <c r="J44" i="37"/>
  <c r="G158" i="41"/>
  <c r="H158" i="37"/>
  <c r="I158" i="37"/>
  <c r="J158" i="37"/>
  <c r="G234" i="41"/>
  <c r="H234" i="37"/>
  <c r="J234" i="37"/>
  <c r="I234" i="37"/>
  <c r="G298" i="41"/>
  <c r="H298" i="37"/>
  <c r="J298" i="37"/>
  <c r="I298" i="37"/>
  <c r="G401" i="41"/>
  <c r="H401" i="37"/>
  <c r="J401" i="37"/>
  <c r="I401" i="37"/>
  <c r="G346" i="41"/>
  <c r="H346" i="37"/>
  <c r="J346" i="37"/>
  <c r="I346" i="37"/>
  <c r="G61" i="41"/>
  <c r="I61" i="37"/>
  <c r="H61" i="37"/>
  <c r="J61" i="37"/>
  <c r="G343" i="41"/>
  <c r="H343" i="37"/>
  <c r="I343" i="37"/>
  <c r="J343" i="37"/>
  <c r="G376" i="41"/>
  <c r="H376" i="37"/>
  <c r="I376" i="37"/>
  <c r="G68" i="41"/>
  <c r="H68" i="37"/>
  <c r="I68" i="37"/>
  <c r="J68" i="37"/>
  <c r="G142" i="41"/>
  <c r="H142" i="37"/>
  <c r="I142" i="37"/>
  <c r="J142" i="37"/>
  <c r="G215" i="41"/>
  <c r="H215" i="37"/>
  <c r="J215" i="37"/>
  <c r="I215" i="37"/>
  <c r="G282" i="41"/>
  <c r="H282" i="37"/>
  <c r="I282" i="37"/>
  <c r="G319" i="41"/>
  <c r="H319" i="37"/>
  <c r="I319" i="37"/>
  <c r="J319" i="37"/>
  <c r="G390" i="41"/>
  <c r="H390" i="37"/>
  <c r="I390" i="37"/>
  <c r="J390" i="37"/>
  <c r="G122" i="41"/>
  <c r="H122" i="37"/>
  <c r="I122" i="37"/>
  <c r="G159" i="41"/>
  <c r="H159" i="37"/>
  <c r="J159" i="37"/>
  <c r="I159" i="37"/>
  <c r="G197" i="41"/>
  <c r="H197" i="37"/>
  <c r="I197" i="37"/>
  <c r="G235" i="41"/>
  <c r="H235" i="37"/>
  <c r="I235" i="37"/>
  <c r="J235" i="37"/>
  <c r="G267" i="41"/>
  <c r="H267" i="37"/>
  <c r="J267" i="37"/>
  <c r="I267" i="37"/>
  <c r="G375" i="41"/>
  <c r="H375" i="37"/>
  <c r="I375" i="37"/>
  <c r="G393" i="41"/>
  <c r="H393" i="37"/>
  <c r="I393" i="37"/>
  <c r="I70" i="37"/>
  <c r="H70" i="37"/>
  <c r="J70" i="37"/>
  <c r="G37" i="41"/>
  <c r="H37" i="37"/>
  <c r="I37" i="37"/>
  <c r="J37" i="37"/>
  <c r="G53" i="41"/>
  <c r="H53" i="37"/>
  <c r="J53" i="37"/>
  <c r="I53" i="37"/>
  <c r="G69" i="41"/>
  <c r="I69" i="37"/>
  <c r="H69" i="37"/>
  <c r="J69" i="37"/>
  <c r="G182" i="41"/>
  <c r="H182" i="37"/>
  <c r="I182" i="37"/>
  <c r="J182" i="37"/>
  <c r="G34" i="41"/>
  <c r="I34" i="37"/>
  <c r="H34" i="37"/>
  <c r="J34" i="37"/>
  <c r="G153" i="41"/>
  <c r="H153" i="37"/>
  <c r="I153" i="37"/>
  <c r="G191" i="41"/>
  <c r="H191" i="37"/>
  <c r="J191" i="37"/>
  <c r="I191" i="37"/>
  <c r="G229" i="41"/>
  <c r="H229" i="37"/>
  <c r="I229" i="37"/>
  <c r="G293" i="41"/>
  <c r="H293" i="37"/>
  <c r="I293" i="37"/>
  <c r="G334" i="41"/>
  <c r="H334" i="37"/>
  <c r="J334" i="37"/>
  <c r="I334" i="37"/>
  <c r="G385" i="41"/>
  <c r="H385" i="37"/>
  <c r="I385" i="37"/>
  <c r="G62" i="41"/>
  <c r="H62" i="37"/>
  <c r="J62" i="37"/>
  <c r="I62" i="37"/>
  <c r="G230" i="41"/>
  <c r="H230" i="37"/>
  <c r="I230" i="37"/>
  <c r="G304" i="41"/>
  <c r="H304" i="37"/>
  <c r="J304" i="37"/>
  <c r="I304" i="37"/>
  <c r="G347" i="41"/>
  <c r="H347" i="37"/>
  <c r="I347" i="37"/>
  <c r="J347" i="37"/>
  <c r="G379" i="41"/>
  <c r="H379" i="37"/>
  <c r="I379" i="37"/>
  <c r="J379" i="37"/>
  <c r="H11" i="37"/>
  <c r="I11" i="37"/>
  <c r="J11" i="37"/>
  <c r="G27" i="41"/>
  <c r="H27" i="37"/>
  <c r="J27" i="37"/>
  <c r="I27" i="37"/>
  <c r="G43" i="41"/>
  <c r="H43" i="37"/>
  <c r="I43" i="37"/>
  <c r="J43" i="37"/>
  <c r="G59" i="41"/>
  <c r="H59" i="37"/>
  <c r="I59" i="37"/>
  <c r="J59" i="37"/>
  <c r="G232" i="41"/>
  <c r="H232" i="37"/>
  <c r="I232" i="37"/>
  <c r="J232" i="37"/>
  <c r="G296" i="41"/>
  <c r="H296" i="37"/>
  <c r="I296" i="37"/>
  <c r="J296" i="37"/>
  <c r="G338" i="41"/>
  <c r="H338" i="37"/>
  <c r="I338" i="37"/>
  <c r="G372" i="41"/>
  <c r="H372" i="37"/>
  <c r="I372" i="37"/>
  <c r="J372" i="37"/>
  <c r="G362" i="41"/>
  <c r="H362" i="37"/>
  <c r="J362" i="37"/>
  <c r="I362" i="37"/>
  <c r="G389" i="41"/>
  <c r="H389" i="37"/>
  <c r="J389" i="37"/>
  <c r="I389" i="37"/>
  <c r="G176" i="41"/>
  <c r="H176" i="37"/>
  <c r="J176" i="37"/>
  <c r="I176" i="37"/>
  <c r="J326" i="37"/>
  <c r="J153" i="37"/>
  <c r="J376" i="37"/>
  <c r="J229" i="37"/>
  <c r="J385" i="37"/>
  <c r="G136" i="41"/>
  <c r="H136" i="37"/>
  <c r="J136" i="37"/>
  <c r="I136" i="37"/>
  <c r="G378" i="41"/>
  <c r="H378" i="37"/>
  <c r="I378" i="37"/>
  <c r="J378" i="37"/>
  <c r="G297" i="41"/>
  <c r="H297" i="37"/>
  <c r="I297" i="37"/>
  <c r="J297" i="37"/>
  <c r="G72" i="41"/>
  <c r="I72" i="37"/>
  <c r="H72" i="37"/>
  <c r="J72" i="37"/>
  <c r="G303" i="41"/>
  <c r="H303" i="37"/>
  <c r="I303" i="37"/>
  <c r="G132" i="41"/>
  <c r="H132" i="37"/>
  <c r="I132" i="37"/>
  <c r="G206" i="41"/>
  <c r="H206" i="37"/>
  <c r="I206" i="37"/>
  <c r="G310" i="41"/>
  <c r="H310" i="37"/>
  <c r="J310" i="37"/>
  <c r="I310" i="37"/>
  <c r="G26" i="41"/>
  <c r="H26" i="37"/>
  <c r="I26" i="37"/>
  <c r="J26" i="37"/>
  <c r="G41" i="41"/>
  <c r="H41" i="37"/>
  <c r="I41" i="37"/>
  <c r="J41" i="37"/>
  <c r="G152" i="41"/>
  <c r="H152" i="37"/>
  <c r="I152" i="37"/>
  <c r="J152" i="37"/>
  <c r="G368" i="41"/>
  <c r="H368" i="37"/>
  <c r="I368" i="37"/>
  <c r="G400" i="41"/>
  <c r="H400" i="37"/>
  <c r="J400" i="37"/>
  <c r="I400" i="37"/>
  <c r="I46" i="37"/>
  <c r="H46" i="37"/>
  <c r="J46" i="37"/>
  <c r="G161" i="41"/>
  <c r="H161" i="37"/>
  <c r="J161" i="37"/>
  <c r="I161" i="37"/>
  <c r="G237" i="41"/>
  <c r="H237" i="37"/>
  <c r="I237" i="37"/>
  <c r="G269" i="41"/>
  <c r="H269" i="37"/>
  <c r="J269" i="37"/>
  <c r="I269" i="37"/>
  <c r="G302" i="41"/>
  <c r="H302" i="37"/>
  <c r="I302" i="37"/>
  <c r="G22" i="41"/>
  <c r="I22" i="37"/>
  <c r="H22" i="37"/>
  <c r="J22" i="37"/>
  <c r="G286" i="41"/>
  <c r="H286" i="37"/>
  <c r="I286" i="37"/>
  <c r="J286" i="37"/>
  <c r="G138" i="41"/>
  <c r="H138" i="37"/>
  <c r="J138" i="37"/>
  <c r="I138" i="37"/>
  <c r="G279" i="41"/>
  <c r="H279" i="37"/>
  <c r="J279" i="37"/>
  <c r="I279" i="37"/>
  <c r="G281" i="41"/>
  <c r="H281" i="37"/>
  <c r="I281" i="37"/>
  <c r="J281" i="37"/>
  <c r="G357" i="41"/>
  <c r="H357" i="37"/>
  <c r="I357" i="37"/>
  <c r="G63" i="41"/>
  <c r="H63" i="37"/>
  <c r="I63" i="37"/>
  <c r="J63" i="37"/>
  <c r="G240" i="41"/>
  <c r="H240" i="37"/>
  <c r="I240" i="37"/>
  <c r="J240" i="37"/>
  <c r="G348" i="41"/>
  <c r="H348" i="37"/>
  <c r="I348" i="37"/>
  <c r="G380" i="41"/>
  <c r="H380" i="37"/>
  <c r="I380" i="37"/>
  <c r="J380" i="37"/>
  <c r="G349" i="41"/>
  <c r="H349" i="37"/>
  <c r="I349" i="37"/>
  <c r="G233" i="41"/>
  <c r="H233" i="37"/>
  <c r="I233" i="37"/>
  <c r="J233" i="37"/>
  <c r="G318" i="41"/>
  <c r="H318" i="37"/>
  <c r="J318" i="37"/>
  <c r="I318" i="37"/>
  <c r="G220" i="41"/>
  <c r="H220" i="37"/>
  <c r="I220" i="37"/>
  <c r="J220" i="37"/>
  <c r="J293" i="37"/>
  <c r="J377" i="37"/>
  <c r="J264" i="37"/>
  <c r="J230" i="37"/>
  <c r="J348" i="37"/>
  <c r="J282" i="37"/>
  <c r="G342" i="41"/>
  <c r="H342" i="37"/>
  <c r="J342" i="37"/>
  <c r="I342" i="37"/>
  <c r="G344" i="41"/>
  <c r="H344" i="37"/>
  <c r="I344" i="37"/>
  <c r="J344" i="37"/>
  <c r="G211" i="41"/>
  <c r="H211" i="37"/>
  <c r="I211" i="37"/>
  <c r="J211" i="37"/>
  <c r="G355" i="41"/>
  <c r="H355" i="37"/>
  <c r="J355" i="37"/>
  <c r="I355" i="37"/>
  <c r="G179" i="41"/>
  <c r="H179" i="37"/>
  <c r="I179" i="37"/>
  <c r="G324" i="41"/>
  <c r="H324" i="37"/>
  <c r="I324" i="37"/>
  <c r="G47" i="41"/>
  <c r="H47" i="37"/>
  <c r="I47" i="37"/>
  <c r="J47" i="37"/>
  <c r="G203" i="41"/>
  <c r="H203" i="37"/>
  <c r="I203" i="37"/>
  <c r="J203" i="37"/>
  <c r="G24" i="41"/>
  <c r="I24" i="37"/>
  <c r="H24" i="37"/>
  <c r="J24" i="37"/>
  <c r="G150" i="41"/>
  <c r="H150" i="37"/>
  <c r="I150" i="37"/>
  <c r="J150" i="37"/>
  <c r="G188" i="41"/>
  <c r="H188" i="37"/>
  <c r="I188" i="37"/>
  <c r="G290" i="41"/>
  <c r="H290" i="37"/>
  <c r="I290" i="37"/>
  <c r="J290" i="37"/>
  <c r="G330" i="41"/>
  <c r="H330" i="37"/>
  <c r="J330" i="37"/>
  <c r="I330" i="37"/>
  <c r="G366" i="41"/>
  <c r="H366" i="37"/>
  <c r="I366" i="37"/>
  <c r="G398" i="41"/>
  <c r="H398" i="37"/>
  <c r="I398" i="37"/>
  <c r="J398" i="37"/>
  <c r="G173" i="41"/>
  <c r="H173" i="37"/>
  <c r="I173" i="37"/>
  <c r="J173" i="37"/>
  <c r="G383" i="41"/>
  <c r="H383" i="37"/>
  <c r="J383" i="37"/>
  <c r="I383" i="37"/>
  <c r="G40" i="41"/>
  <c r="H40" i="37"/>
  <c r="I40" i="37"/>
  <c r="J40" i="37"/>
  <c r="G56" i="41"/>
  <c r="I56" i="37"/>
  <c r="H56" i="37"/>
  <c r="J56" i="37"/>
  <c r="G226" i="41"/>
  <c r="H226" i="37"/>
  <c r="J226" i="37"/>
  <c r="I226" i="37"/>
  <c r="G258" i="41"/>
  <c r="H258" i="37"/>
  <c r="J258" i="37"/>
  <c r="I258" i="37"/>
  <c r="G369" i="41"/>
  <c r="H369" i="37"/>
  <c r="I369" i="37"/>
  <c r="J369" i="37"/>
  <c r="G243" i="41"/>
  <c r="H243" i="37"/>
  <c r="I243" i="37"/>
  <c r="J243" i="37"/>
  <c r="G275" i="41"/>
  <c r="H275" i="37"/>
  <c r="I275" i="37"/>
  <c r="G351" i="41"/>
  <c r="H351" i="37"/>
  <c r="J351" i="37"/>
  <c r="I351" i="37"/>
  <c r="G38" i="41"/>
  <c r="H38" i="37"/>
  <c r="J38" i="37"/>
  <c r="I38" i="37"/>
  <c r="G210" i="41"/>
  <c r="H210" i="37"/>
  <c r="J210" i="37"/>
  <c r="I210" i="37"/>
  <c r="H13" i="37"/>
  <c r="I13" i="37"/>
  <c r="J13" i="37"/>
  <c r="G29" i="41"/>
  <c r="H29" i="37"/>
  <c r="I29" i="37"/>
  <c r="J29" i="37"/>
  <c r="G45" i="41"/>
  <c r="H45" i="37"/>
  <c r="I45" i="37"/>
  <c r="J45" i="37"/>
  <c r="G123" i="41"/>
  <c r="H123" i="37"/>
  <c r="I123" i="37"/>
  <c r="G198" i="41"/>
  <c r="H198" i="37"/>
  <c r="I198" i="37"/>
  <c r="J198" i="37"/>
  <c r="G236" i="41"/>
  <c r="H236" i="37"/>
  <c r="J236" i="37"/>
  <c r="I236" i="37"/>
  <c r="G268" i="41"/>
  <c r="H268" i="37"/>
  <c r="J268" i="37"/>
  <c r="I268" i="37"/>
  <c r="G300" i="41"/>
  <c r="H300" i="37"/>
  <c r="I300" i="37"/>
  <c r="G54" i="41"/>
  <c r="H54" i="37"/>
  <c r="J54" i="37"/>
  <c r="I54" i="37"/>
  <c r="G246" i="41"/>
  <c r="H246" i="37"/>
  <c r="I246" i="37"/>
  <c r="G208" i="41"/>
  <c r="H208" i="37"/>
  <c r="I208" i="37"/>
  <c r="J208" i="37"/>
  <c r="G245" i="41"/>
  <c r="H245" i="37"/>
  <c r="I245" i="37"/>
  <c r="J245" i="37"/>
  <c r="G353" i="41"/>
  <c r="H353" i="37"/>
  <c r="I353" i="37"/>
  <c r="J353" i="37"/>
  <c r="G255" i="41"/>
  <c r="H255" i="37"/>
  <c r="I255" i="37"/>
  <c r="G287" i="41"/>
  <c r="H287" i="37"/>
  <c r="J287" i="37"/>
  <c r="I287" i="37"/>
  <c r="G363" i="41"/>
  <c r="H363" i="37"/>
  <c r="I363" i="37"/>
  <c r="J363" i="37"/>
  <c r="G395" i="41"/>
  <c r="H395" i="37"/>
  <c r="I395" i="37"/>
  <c r="G195" i="41"/>
  <c r="H195" i="37"/>
  <c r="I195" i="37"/>
  <c r="G381" i="41"/>
  <c r="H381" i="37"/>
  <c r="J381" i="37"/>
  <c r="I381" i="37"/>
  <c r="G386" i="41"/>
  <c r="H386" i="37"/>
  <c r="I386" i="37"/>
  <c r="G19" i="41"/>
  <c r="H19" i="37"/>
  <c r="J19" i="37"/>
  <c r="I19" i="37"/>
  <c r="G35" i="41"/>
  <c r="H35" i="37"/>
  <c r="I35" i="37"/>
  <c r="J35" i="37"/>
  <c r="G51" i="41"/>
  <c r="H51" i="37"/>
  <c r="I51" i="37"/>
  <c r="J51" i="37"/>
  <c r="G67" i="41"/>
  <c r="H67" i="37"/>
  <c r="J67" i="37"/>
  <c r="I67" i="37"/>
  <c r="G178" i="41"/>
  <c r="H178" i="37"/>
  <c r="I178" i="37"/>
  <c r="G248" i="41"/>
  <c r="H248" i="37"/>
  <c r="I248" i="37"/>
  <c r="G316" i="41"/>
  <c r="H316" i="37"/>
  <c r="I316" i="37"/>
  <c r="J316" i="37"/>
  <c r="G356" i="41"/>
  <c r="H356" i="37"/>
  <c r="J356" i="37"/>
  <c r="I356" i="37"/>
  <c r="G214" i="41"/>
  <c r="H214" i="37"/>
  <c r="J214" i="37"/>
  <c r="I214" i="37"/>
  <c r="G373" i="41"/>
  <c r="H373" i="37"/>
  <c r="I373" i="37"/>
  <c r="J373" i="37"/>
  <c r="G238" i="41"/>
  <c r="H238" i="37"/>
  <c r="I238" i="37"/>
  <c r="J246" i="37"/>
  <c r="J123" i="37"/>
  <c r="J179" i="37"/>
  <c r="J366" i="37"/>
  <c r="J284" i="37"/>
  <c r="J349" i="37"/>
  <c r="J368" i="37"/>
  <c r="J169" i="37"/>
  <c r="G177" i="41"/>
  <c r="H177" i="37"/>
  <c r="I177" i="37"/>
  <c r="G247" i="41"/>
  <c r="H247" i="37"/>
  <c r="I247" i="37"/>
  <c r="G315" i="41"/>
  <c r="H315" i="37"/>
  <c r="I315" i="37"/>
  <c r="G387" i="41"/>
  <c r="H387" i="37"/>
  <c r="I387" i="37"/>
  <c r="J387" i="37"/>
  <c r="H15" i="37"/>
  <c r="I15" i="37"/>
  <c r="J15" i="37"/>
  <c r="G170" i="41"/>
  <c r="H170" i="37"/>
  <c r="I170" i="37"/>
  <c r="G28" i="41"/>
  <c r="H28" i="37"/>
  <c r="J28" i="37"/>
  <c r="I28" i="37"/>
  <c r="G120" i="41"/>
  <c r="H120" i="37"/>
  <c r="I120" i="37"/>
  <c r="G126" i="41"/>
  <c r="H126" i="37"/>
  <c r="I126" i="37"/>
  <c r="J126" i="37"/>
  <c r="G14" i="41"/>
  <c r="H14" i="37"/>
  <c r="I14" i="37"/>
  <c r="J14" i="37"/>
  <c r="G175" i="41"/>
  <c r="H175" i="37"/>
  <c r="I175" i="37"/>
  <c r="J175" i="37"/>
  <c r="G312" i="41"/>
  <c r="H312" i="37"/>
  <c r="I312" i="37"/>
  <c r="G354" i="41"/>
  <c r="H354" i="37"/>
  <c r="J354" i="37"/>
  <c r="I354" i="37"/>
  <c r="G60" i="41"/>
  <c r="H60" i="37"/>
  <c r="I60" i="37"/>
  <c r="J60" i="37"/>
  <c r="G196" i="41"/>
  <c r="H196" i="37"/>
  <c r="I196" i="37"/>
  <c r="G266" i="41"/>
  <c r="H266" i="37"/>
  <c r="I266" i="37"/>
  <c r="G340" i="41"/>
  <c r="H340" i="37"/>
  <c r="J340" i="37"/>
  <c r="I340" i="37"/>
  <c r="G374" i="41"/>
  <c r="H374" i="37"/>
  <c r="I374" i="37"/>
  <c r="J374" i="37"/>
  <c r="G143" i="41"/>
  <c r="H143" i="37"/>
  <c r="I143" i="37"/>
  <c r="J143" i="37"/>
  <c r="G251" i="41"/>
  <c r="H251" i="37"/>
  <c r="I251" i="37"/>
  <c r="J251" i="37"/>
  <c r="G283" i="41"/>
  <c r="H283" i="37"/>
  <c r="I283" i="37"/>
  <c r="G320" i="41"/>
  <c r="H320" i="37"/>
  <c r="I320" i="37"/>
  <c r="J320" i="37"/>
  <c r="G391" i="41"/>
  <c r="H391" i="37"/>
  <c r="I391" i="37"/>
  <c r="J391" i="37"/>
  <c r="G278" i="41"/>
  <c r="H278" i="37"/>
  <c r="J278" i="37"/>
  <c r="I278" i="37"/>
  <c r="G65" i="41"/>
  <c r="H65" i="37"/>
  <c r="I65" i="37"/>
  <c r="J65" i="37"/>
  <c r="G134" i="41"/>
  <c r="H134" i="37"/>
  <c r="I134" i="37"/>
  <c r="G174" i="41"/>
  <c r="H174" i="37"/>
  <c r="J174" i="37"/>
  <c r="I174" i="37"/>
  <c r="G276" i="41"/>
  <c r="H276" i="37"/>
  <c r="J276" i="37"/>
  <c r="I276" i="37"/>
  <c r="G352" i="41"/>
  <c r="H352" i="37"/>
  <c r="J352" i="37"/>
  <c r="I352" i="37"/>
  <c r="G66" i="41"/>
  <c r="H66" i="37"/>
  <c r="I66" i="37"/>
  <c r="J66" i="37"/>
  <c r="G314" i="41"/>
  <c r="H314" i="37"/>
  <c r="I314" i="37"/>
  <c r="G145" i="41"/>
  <c r="H145" i="37"/>
  <c r="J145" i="37"/>
  <c r="I145" i="37"/>
  <c r="G183" i="41"/>
  <c r="H183" i="37"/>
  <c r="J183" i="37"/>
  <c r="I183" i="37"/>
  <c r="G219" i="41"/>
  <c r="H219" i="37"/>
  <c r="I219" i="37"/>
  <c r="G253" i="41"/>
  <c r="H253" i="37"/>
  <c r="J253" i="37"/>
  <c r="I253" i="37"/>
  <c r="G285" i="41"/>
  <c r="H285" i="37"/>
  <c r="I285" i="37"/>
  <c r="J285" i="37"/>
  <c r="G323" i="41"/>
  <c r="H323" i="37"/>
  <c r="I323" i="37"/>
  <c r="J323" i="37"/>
  <c r="G361" i="41"/>
  <c r="H361" i="37"/>
  <c r="J361" i="37"/>
  <c r="I361" i="37"/>
  <c r="G155" i="41"/>
  <c r="H155" i="37"/>
  <c r="I155" i="37"/>
  <c r="G193" i="41"/>
  <c r="H193" i="37"/>
  <c r="J193" i="37"/>
  <c r="I193" i="37"/>
  <c r="G371" i="41"/>
  <c r="H371" i="37"/>
  <c r="J371" i="37"/>
  <c r="I371" i="37"/>
  <c r="G224" i="41"/>
  <c r="H224" i="37"/>
  <c r="J224" i="37"/>
  <c r="I224" i="37"/>
  <c r="G307" i="41"/>
  <c r="H307" i="37"/>
  <c r="J307" i="37"/>
  <c r="I307" i="37"/>
  <c r="G23" i="41"/>
  <c r="H23" i="37"/>
  <c r="I23" i="37"/>
  <c r="J23" i="37"/>
  <c r="G39" i="41"/>
  <c r="H39" i="37"/>
  <c r="I39" i="37"/>
  <c r="J39" i="37"/>
  <c r="G55" i="41"/>
  <c r="H55" i="37"/>
  <c r="J55" i="37"/>
  <c r="I55" i="37"/>
  <c r="G148" i="41"/>
  <c r="H148" i="37"/>
  <c r="J148" i="37"/>
  <c r="I148" i="37"/>
  <c r="G288" i="41"/>
  <c r="H288" i="37"/>
  <c r="J288" i="37"/>
  <c r="I288" i="37"/>
  <c r="G327" i="41"/>
  <c r="H327" i="37"/>
  <c r="I327" i="37"/>
  <c r="G364" i="41"/>
  <c r="H364" i="37"/>
  <c r="I364" i="37"/>
  <c r="J364" i="37"/>
  <c r="G294" i="41"/>
  <c r="H294" i="37"/>
  <c r="J294" i="37"/>
  <c r="I294" i="37"/>
  <c r="G140" i="41"/>
  <c r="H140" i="37"/>
  <c r="I140" i="37"/>
  <c r="J140" i="37"/>
  <c r="G257" i="41"/>
  <c r="H257" i="37"/>
  <c r="I257" i="37"/>
  <c r="G339" i="41"/>
  <c r="H339" i="37"/>
  <c r="I339" i="37"/>
  <c r="J324" i="37"/>
  <c r="J273" i="37"/>
  <c r="J196" i="37"/>
  <c r="J132" i="37"/>
  <c r="J177" i="37"/>
  <c r="J237" i="37"/>
  <c r="J367" i="37"/>
  <c r="J188" i="37"/>
  <c r="J168" i="37"/>
  <c r="G20" i="41"/>
  <c r="H20" i="37"/>
  <c r="I20" i="37"/>
  <c r="J20" i="37"/>
  <c r="G52" i="41"/>
  <c r="H52" i="37"/>
  <c r="I52" i="37"/>
  <c r="J52" i="37"/>
  <c r="G180" i="41"/>
  <c r="H180" i="37"/>
  <c r="I180" i="37"/>
  <c r="J180" i="37"/>
  <c r="G250" i="41"/>
  <c r="H250" i="37"/>
  <c r="I250" i="37"/>
  <c r="J250" i="37"/>
  <c r="G358" i="41"/>
  <c r="H358" i="37"/>
  <c r="I358" i="37"/>
  <c r="G299" i="41"/>
  <c r="H299" i="37"/>
  <c r="J299" i="37"/>
  <c r="I299" i="37"/>
  <c r="H57" i="37"/>
  <c r="I57" i="37"/>
  <c r="J57" i="37"/>
  <c r="G228" i="41"/>
  <c r="H228" i="37"/>
  <c r="I228" i="37"/>
  <c r="G292" i="41"/>
  <c r="H292" i="37"/>
  <c r="I292" i="37"/>
  <c r="G124" i="41"/>
  <c r="H124" i="37"/>
  <c r="J124" i="37"/>
  <c r="I124" i="37"/>
  <c r="G199" i="41"/>
  <c r="H199" i="37"/>
  <c r="J199" i="37"/>
  <c r="I199" i="37"/>
  <c r="G31" i="41"/>
  <c r="H31" i="37"/>
  <c r="I31" i="37"/>
  <c r="J31" i="37"/>
  <c r="G128" i="41"/>
  <c r="H128" i="37"/>
  <c r="I128" i="37"/>
  <c r="J128" i="37"/>
  <c r="G202" i="41"/>
  <c r="H202" i="37"/>
  <c r="J202" i="37"/>
  <c r="I202" i="37"/>
  <c r="G272" i="41"/>
  <c r="H272" i="37"/>
  <c r="J272" i="37"/>
  <c r="I272" i="37"/>
  <c r="G306" i="41"/>
  <c r="H306" i="37"/>
  <c r="I306" i="37"/>
  <c r="J306" i="37"/>
  <c r="G187" i="41"/>
  <c r="H187" i="37"/>
  <c r="I187" i="37"/>
  <c r="G184" i="41"/>
  <c r="H184" i="37"/>
  <c r="J184" i="37"/>
  <c r="I184" i="37"/>
  <c r="G181" i="41"/>
  <c r="H181" i="37"/>
  <c r="J181" i="37"/>
  <c r="I181" i="37"/>
  <c r="G216" i="41"/>
  <c r="H216" i="37"/>
  <c r="I216" i="37"/>
  <c r="G359" i="41"/>
  <c r="H359" i="37"/>
  <c r="I359" i="37"/>
  <c r="G160" i="41"/>
  <c r="H160" i="37"/>
  <c r="J160" i="37"/>
  <c r="I160" i="37"/>
  <c r="G135" i="41"/>
  <c r="H135" i="37"/>
  <c r="I135" i="37"/>
  <c r="G277" i="41"/>
  <c r="H277" i="37"/>
  <c r="J277" i="37"/>
  <c r="I277" i="37"/>
  <c r="G42" i="41"/>
  <c r="H42" i="37"/>
  <c r="I42" i="37"/>
  <c r="J42" i="37"/>
  <c r="G147" i="41"/>
  <c r="H147" i="37"/>
  <c r="J147" i="37"/>
  <c r="I147" i="37"/>
  <c r="G222" i="41"/>
  <c r="H222" i="37"/>
  <c r="J222" i="37"/>
  <c r="I222" i="37"/>
  <c r="G289" i="41"/>
  <c r="H289" i="37"/>
  <c r="I289" i="37"/>
  <c r="J289" i="37"/>
  <c r="G146" i="41"/>
  <c r="H146" i="37"/>
  <c r="I146" i="37"/>
  <c r="J146" i="37"/>
  <c r="G388" i="41"/>
  <c r="H388" i="37"/>
  <c r="J388" i="37"/>
  <c r="I388" i="37"/>
  <c r="G270" i="41"/>
  <c r="H270" i="37"/>
  <c r="J270" i="37"/>
  <c r="I270" i="37"/>
  <c r="J247" i="37"/>
  <c r="J359" i="37"/>
  <c r="J120" i="37"/>
  <c r="G32" i="41"/>
  <c r="H32" i="37"/>
  <c r="I32" i="37"/>
  <c r="J32" i="37"/>
  <c r="G64" i="41"/>
  <c r="H64" i="37"/>
  <c r="J64" i="37"/>
  <c r="I64" i="37"/>
  <c r="G172" i="41"/>
  <c r="H172" i="37"/>
  <c r="I172" i="37"/>
  <c r="J172" i="37"/>
  <c r="G204" i="41"/>
  <c r="H204" i="37"/>
  <c r="I204" i="37"/>
  <c r="G274" i="41"/>
  <c r="H274" i="37"/>
  <c r="I274" i="37"/>
  <c r="G308" i="41"/>
  <c r="H308" i="37"/>
  <c r="J308" i="37"/>
  <c r="I308" i="37"/>
  <c r="G350" i="41"/>
  <c r="H350" i="37"/>
  <c r="I350" i="37"/>
  <c r="G192" i="41"/>
  <c r="H192" i="37"/>
  <c r="J192" i="37"/>
  <c r="I192" i="37"/>
  <c r="G394" i="41"/>
  <c r="H394" i="37"/>
  <c r="I394" i="37"/>
  <c r="G189" i="41"/>
  <c r="H189" i="37"/>
  <c r="J189" i="37"/>
  <c r="I189" i="37"/>
  <c r="G227" i="41"/>
  <c r="H227" i="37"/>
  <c r="I227" i="37"/>
  <c r="J227" i="37"/>
  <c r="G291" i="41"/>
  <c r="H291" i="37"/>
  <c r="I291" i="37"/>
  <c r="G331" i="41"/>
  <c r="H331" i="37"/>
  <c r="J331" i="37"/>
  <c r="I331" i="37"/>
  <c r="G50" i="41"/>
  <c r="H50" i="37"/>
  <c r="J50" i="37"/>
  <c r="I50" i="37"/>
  <c r="G17" i="41"/>
  <c r="H17" i="37"/>
  <c r="I17" i="37"/>
  <c r="J17" i="37"/>
  <c r="G33" i="41"/>
  <c r="H33" i="37"/>
  <c r="I33" i="37"/>
  <c r="J33" i="37"/>
  <c r="G49" i="41"/>
  <c r="H49" i="37"/>
  <c r="I49" i="37"/>
  <c r="J49" i="37"/>
  <c r="G207" i="41"/>
  <c r="H207" i="37"/>
  <c r="I207" i="37"/>
  <c r="G244" i="41"/>
  <c r="H244" i="37"/>
  <c r="I244" i="37"/>
  <c r="J244" i="37"/>
  <c r="G311" i="41"/>
  <c r="H311" i="37"/>
  <c r="I311" i="37"/>
  <c r="J311" i="37"/>
  <c r="G384" i="41"/>
  <c r="H384" i="37"/>
  <c r="I384" i="37"/>
  <c r="G30" i="41"/>
  <c r="H30" i="37"/>
  <c r="I30" i="37"/>
  <c r="J30" i="37"/>
  <c r="G154" i="41"/>
  <c r="H154" i="37"/>
  <c r="I154" i="37"/>
  <c r="G231" i="41"/>
  <c r="H231" i="37"/>
  <c r="J231" i="37"/>
  <c r="I231" i="37"/>
  <c r="G263" i="41"/>
  <c r="H263" i="37"/>
  <c r="I263" i="37"/>
  <c r="J263" i="37"/>
  <c r="G295" i="41"/>
  <c r="H295" i="37"/>
  <c r="J295" i="37"/>
  <c r="I295" i="37"/>
  <c r="G336" i="41"/>
  <c r="H336" i="37"/>
  <c r="I336" i="37"/>
  <c r="G200" i="41"/>
  <c r="H200" i="37"/>
  <c r="I200" i="37"/>
  <c r="J200" i="37"/>
  <c r="G71" i="41"/>
  <c r="I71" i="37"/>
  <c r="H71" i="37"/>
  <c r="J71" i="37"/>
  <c r="G186" i="41"/>
  <c r="H186" i="37"/>
  <c r="I186" i="37"/>
  <c r="G223" i="41"/>
  <c r="H223" i="37"/>
  <c r="I223" i="37"/>
  <c r="J223" i="37"/>
  <c r="G256" i="41"/>
  <c r="H256" i="37"/>
  <c r="I256" i="37"/>
  <c r="G396" i="41"/>
  <c r="H396" i="37"/>
  <c r="I396" i="37"/>
  <c r="J396" i="37"/>
  <c r="G130" i="41"/>
  <c r="H130" i="37"/>
  <c r="I130" i="37"/>
  <c r="J130" i="37"/>
  <c r="G249" i="41"/>
  <c r="H249" i="37"/>
  <c r="J249" i="37"/>
  <c r="I249" i="37"/>
  <c r="G397" i="41"/>
  <c r="H397" i="37"/>
  <c r="I397" i="37"/>
  <c r="J397" i="37"/>
  <c r="G171" i="41"/>
  <c r="H171" i="37"/>
  <c r="J171" i="37"/>
  <c r="I171" i="37"/>
  <c r="G265" i="41"/>
  <c r="H265" i="37"/>
  <c r="I265" i="37"/>
  <c r="J327" i="37"/>
  <c r="J275" i="37"/>
  <c r="J197" i="37"/>
  <c r="J357" i="37"/>
  <c r="J135" i="37"/>
  <c r="J122" i="37"/>
  <c r="J395" i="37"/>
  <c r="J302" i="37"/>
  <c r="J238" i="37"/>
  <c r="J218" i="37"/>
  <c r="J187" i="37"/>
  <c r="J170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H402" i="37" l="1"/>
  <c r="H403" i="37"/>
  <c r="I402" i="37"/>
  <c r="I403" i="37"/>
  <c r="J403" i="37"/>
  <c r="J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93" i="66" l="1"/>
  <c r="O219" i="66"/>
  <c r="Q219" i="66" s="1"/>
  <c r="R219" i="66" s="1"/>
  <c r="T219" i="66" s="1"/>
  <c r="Y75" i="66"/>
  <c r="Y219" i="66"/>
  <c r="Y201" i="66"/>
  <c r="Z219" i="66"/>
  <c r="O57" i="66"/>
  <c r="Q57" i="66" s="1"/>
  <c r="R57" i="66" s="1"/>
  <c r="T57" i="66" s="1"/>
  <c r="O75" i="66"/>
  <c r="Q75" i="66" s="1"/>
  <c r="R75" i="66" s="1"/>
  <c r="T75" i="66" s="1"/>
  <c r="Y57" i="66"/>
  <c r="Z201" i="66"/>
  <c r="Z57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16" i="66" l="1"/>
  <c r="N231" i="66"/>
  <c r="N58" i="66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Y202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Z216" i="66" l="1"/>
  <c r="Y58" i="66"/>
  <c r="Z58" i="66"/>
  <c r="Y216" i="66"/>
  <c r="I442" i="58"/>
  <c r="Y72" i="66"/>
  <c r="Z72" i="66"/>
  <c r="F17" i="39"/>
  <c r="E280" i="38"/>
  <c r="E286" i="38"/>
  <c r="E316" i="38"/>
  <c r="L226" i="66" s="1"/>
  <c r="E322" i="38"/>
  <c r="M226" i="66" s="1"/>
  <c r="E292" i="38"/>
  <c r="E298" i="38"/>
  <c r="M178" i="66" s="1"/>
  <c r="E340" i="38"/>
  <c r="E346" i="38"/>
  <c r="M274" i="66" s="1"/>
  <c r="E328" i="38"/>
  <c r="E334" i="38"/>
  <c r="E304" i="38"/>
  <c r="E310" i="38"/>
  <c r="I442" i="37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E303" i="38" l="1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S259" i="66"/>
  <c r="G8" i="53"/>
  <c r="E405" i="38"/>
  <c r="F36" i="66"/>
  <c r="H474" i="41"/>
  <c r="N89" i="66"/>
  <c r="S89" i="66"/>
  <c r="P89" i="66"/>
  <c r="Z16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136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S214" i="66"/>
  <c r="P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T214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U178" i="66"/>
  <c r="V82" i="66"/>
  <c r="U226" i="66"/>
  <c r="U82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111" i="66"/>
  <c r="X44" i="66"/>
  <c r="X164" i="66"/>
  <c r="X148" i="66"/>
  <c r="X79" i="66"/>
  <c r="X244" i="66"/>
  <c r="X115" i="66"/>
  <c r="X70" i="66"/>
  <c r="X251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90" i="66" l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L274" i="66" l="1"/>
  <c r="J461" i="58"/>
  <c r="J461" i="41" s="1"/>
  <c r="L290" i="66"/>
  <c r="L289" i="66"/>
  <c r="J462" i="58"/>
  <c r="E347" i="38"/>
  <c r="L97" i="66"/>
  <c r="H462" i="58"/>
  <c r="L49" i="66"/>
  <c r="G29" i="53"/>
  <c r="L194" i="66"/>
  <c r="L242" i="66"/>
  <c r="L241" i="66"/>
  <c r="I462" i="58"/>
  <c r="L98" i="66"/>
  <c r="L146" i="66"/>
  <c r="P274" i="66" l="1"/>
  <c r="N274" i="66"/>
  <c r="E329" i="38"/>
  <c r="L145" i="66" s="1"/>
  <c r="P145" i="66" s="1"/>
  <c r="E335" i="38"/>
  <c r="M290" i="66"/>
  <c r="N290" i="66" s="1"/>
  <c r="M289" i="66"/>
  <c r="N289" i="66" s="1"/>
  <c r="P289" i="66"/>
  <c r="P290" i="66"/>
  <c r="V290" i="66" s="1"/>
  <c r="X290" i="66" s="1"/>
  <c r="R290" i="66"/>
  <c r="T290" i="66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62" i="37" l="1"/>
  <c r="J462" i="41" s="1"/>
  <c r="Y274" i="66"/>
  <c r="Z130" i="66"/>
  <c r="Y130" i="66"/>
  <c r="Z274" i="66"/>
  <c r="O130" i="66"/>
  <c r="O274" i="66"/>
  <c r="M146" i="66"/>
  <c r="N146" i="66" s="1"/>
  <c r="Z290" i="66" s="1"/>
  <c r="M145" i="66"/>
  <c r="N145" i="66" s="1"/>
  <c r="R193" i="66"/>
  <c r="T193" i="66" s="1"/>
  <c r="N193" i="66"/>
  <c r="O193" i="66" s="1"/>
  <c r="O241" i="66"/>
  <c r="U241" i="66" s="1"/>
  <c r="Z50" i="66"/>
  <c r="Z194" i="66"/>
  <c r="Y194" i="66"/>
  <c r="Y50" i="66"/>
  <c r="Z242" i="66"/>
  <c r="Y242" i="66"/>
  <c r="Y98" i="66"/>
  <c r="Z98" i="66"/>
  <c r="O97" i="66"/>
  <c r="Z97" i="66"/>
  <c r="Y241" i="66"/>
  <c r="Y97" i="66"/>
  <c r="Z241" i="66"/>
  <c r="Z146" i="66" l="1"/>
  <c r="Y146" i="66"/>
  <c r="Y290" i="66"/>
  <c r="Q274" i="66"/>
  <c r="R274" i="66" s="1"/>
  <c r="T274" i="66" s="1"/>
  <c r="U274" i="66"/>
  <c r="V274" i="66"/>
  <c r="X274" i="66" s="1"/>
  <c r="Q130" i="66"/>
  <c r="R130" i="66" s="1"/>
  <c r="T130" i="66" s="1"/>
  <c r="V130" i="66"/>
  <c r="X130" i="66" s="1"/>
  <c r="U130" i="66"/>
  <c r="Y145" i="66"/>
  <c r="Y289" i="66"/>
  <c r="O145" i="66"/>
  <c r="V145" i="66" s="1"/>
  <c r="X145" i="66" s="1"/>
  <c r="Z145" i="66"/>
  <c r="Z289" i="66"/>
  <c r="O289" i="66"/>
  <c r="U289" i="66" s="1"/>
  <c r="Y193" i="66"/>
  <c r="Q241" i="66"/>
  <c r="R241" i="66" s="1"/>
  <c r="T241" i="66" s="1"/>
  <c r="O49" i="66"/>
  <c r="Q49" i="66" s="1"/>
  <c r="Z193" i="66"/>
  <c r="Z49" i="66"/>
  <c r="V241" i="66"/>
  <c r="X241" i="66" s="1"/>
  <c r="Q193" i="66"/>
  <c r="U193" i="66"/>
  <c r="Y49" i="66"/>
  <c r="Q97" i="66"/>
  <c r="R97" i="66" s="1"/>
  <c r="T97" i="66" s="1"/>
  <c r="V97" i="66"/>
  <c r="X97" i="66" s="1"/>
  <c r="U97" i="66"/>
  <c r="V289" i="66" l="1"/>
  <c r="X289" i="66" s="1"/>
  <c r="Q289" i="66"/>
  <c r="R289" i="66" s="1"/>
  <c r="T289" i="66" s="1"/>
  <c r="Q145" i="66"/>
  <c r="R145" i="66" s="1"/>
  <c r="T145" i="66" s="1"/>
  <c r="U145" i="66"/>
  <c r="U49" i="66"/>
  <c r="J4" i="37" l="1"/>
  <c r="J4" i="58"/>
  <c r="I4" i="37"/>
  <c r="I4" i="58"/>
  <c r="H4" i="37" l="1"/>
  <c r="H4" i="58"/>
  <c r="F197" i="66"/>
  <c r="E25" i="53"/>
  <c r="N4" i="58"/>
  <c r="E19" i="53"/>
  <c r="F53" i="66"/>
  <c r="I4" i="41"/>
  <c r="D45" i="39" s="1"/>
  <c r="O4" i="58"/>
  <c r="E37" i="53"/>
  <c r="F245" i="66"/>
  <c r="E31" i="53"/>
  <c r="F101" i="66"/>
  <c r="J4" i="41"/>
  <c r="E45" i="39" s="1"/>
  <c r="L45" i="39" l="1"/>
  <c r="E124" i="38"/>
  <c r="E59" i="39"/>
  <c r="E60" i="39" s="1"/>
  <c r="E56" i="39"/>
  <c r="M45" i="39"/>
  <c r="F149" i="66"/>
  <c r="E13" i="53"/>
  <c r="M4" i="58"/>
  <c r="D56" i="39"/>
  <c r="E107" i="38"/>
  <c r="D59" i="39"/>
  <c r="D60" i="39" s="1"/>
  <c r="E7" i="53"/>
  <c r="H4" i="41"/>
  <c r="K45" i="39" s="1"/>
  <c r="C45" i="39"/>
  <c r="F5" i="66"/>
  <c r="D57" i="39" l="1"/>
  <c r="D58" i="39"/>
  <c r="M59" i="39"/>
  <c r="M60" i="39" s="1"/>
  <c r="M56" i="39"/>
  <c r="E175" i="38"/>
  <c r="J101" i="66"/>
  <c r="J452" i="37"/>
  <c r="J444" i="37"/>
  <c r="D31" i="53"/>
  <c r="F31" i="53" s="1"/>
  <c r="H37" i="53" s="1"/>
  <c r="L59" i="39"/>
  <c r="L60" i="39" s="1"/>
  <c r="E158" i="38"/>
  <c r="L56" i="39"/>
  <c r="E90" i="38"/>
  <c r="C59" i="39"/>
  <c r="C60" i="39" s="1"/>
  <c r="C56" i="39"/>
  <c r="K59" i="39"/>
  <c r="K60" i="39" s="1"/>
  <c r="K56" i="39"/>
  <c r="E141" i="38"/>
  <c r="D19" i="53"/>
  <c r="F19" i="53" s="1"/>
  <c r="H25" i="53" s="1"/>
  <c r="J53" i="66"/>
  <c r="I452" i="37"/>
  <c r="I444" i="37"/>
  <c r="E57" i="39"/>
  <c r="E58" i="39"/>
  <c r="F55" i="66" l="1"/>
  <c r="I457" i="37"/>
  <c r="W53" i="66"/>
  <c r="S53" i="66"/>
  <c r="D13" i="53"/>
  <c r="F13" i="53" s="1"/>
  <c r="H7" i="53" s="1"/>
  <c r="J149" i="66"/>
  <c r="H444" i="58"/>
  <c r="H452" i="58"/>
  <c r="L58" i="39"/>
  <c r="L57" i="39"/>
  <c r="K57" i="39"/>
  <c r="K58" i="39"/>
  <c r="I452" i="58"/>
  <c r="I444" i="58"/>
  <c r="J197" i="66"/>
  <c r="D25" i="53"/>
  <c r="F25" i="53" s="1"/>
  <c r="J444" i="58"/>
  <c r="J444" i="41" s="1"/>
  <c r="D37" i="53"/>
  <c r="F37" i="53" s="1"/>
  <c r="J452" i="58"/>
  <c r="J452" i="41" s="1"/>
  <c r="J245" i="66"/>
  <c r="W101" i="66"/>
  <c r="S101" i="66"/>
  <c r="M57" i="39"/>
  <c r="M58" i="39"/>
  <c r="C57" i="39"/>
  <c r="C58" i="39"/>
  <c r="J467" i="37"/>
  <c r="F102" i="66"/>
  <c r="I467" i="37"/>
  <c r="F54" i="66"/>
  <c r="J5" i="66"/>
  <c r="H452" i="37"/>
  <c r="D7" i="53"/>
  <c r="F7" i="53" s="1"/>
  <c r="H444" i="37"/>
  <c r="F103" i="66"/>
  <c r="J457" i="37"/>
  <c r="S197" i="66" l="1"/>
  <c r="W197" i="66"/>
  <c r="I444" i="41"/>
  <c r="I467" i="58"/>
  <c r="I467" i="41" s="1"/>
  <c r="F198" i="66"/>
  <c r="H444" i="41"/>
  <c r="F6" i="66"/>
  <c r="H467" i="37"/>
  <c r="W245" i="66"/>
  <c r="S245" i="66"/>
  <c r="F199" i="66"/>
  <c r="I457" i="58"/>
  <c r="I457" i="41" s="1"/>
  <c r="L54" i="66"/>
  <c r="P54" i="66" s="1"/>
  <c r="G7" i="53"/>
  <c r="H13" i="53"/>
  <c r="G13" i="53" s="1"/>
  <c r="F247" i="66"/>
  <c r="J457" i="58"/>
  <c r="J457" i="41" s="1"/>
  <c r="L102" i="66"/>
  <c r="P102" i="66" s="1"/>
  <c r="H452" i="41"/>
  <c r="H457" i="37"/>
  <c r="F7" i="66"/>
  <c r="G37" i="53"/>
  <c r="H31" i="53"/>
  <c r="G31" i="53" s="1"/>
  <c r="E366" i="38"/>
  <c r="K103" i="66" s="1"/>
  <c r="N103" i="66" s="1"/>
  <c r="J458" i="37"/>
  <c r="S5" i="66"/>
  <c r="W5" i="66"/>
  <c r="J467" i="58"/>
  <c r="J467" i="41" s="1"/>
  <c r="O3" i="41" s="1"/>
  <c r="F246" i="66"/>
  <c r="F151" i="66"/>
  <c r="H457" i="58"/>
  <c r="E360" i="38"/>
  <c r="K55" i="66" s="1"/>
  <c r="N55" i="66" s="1"/>
  <c r="I458" i="37"/>
  <c r="H467" i="58"/>
  <c r="F150" i="66"/>
  <c r="I452" i="41"/>
  <c r="H19" i="53"/>
  <c r="G19" i="53" s="1"/>
  <c r="G25" i="53"/>
  <c r="S149" i="66"/>
  <c r="W149" i="66"/>
  <c r="L246" i="66" l="1"/>
  <c r="P246" i="66" s="1"/>
  <c r="E384" i="38"/>
  <c r="K247" i="66" s="1"/>
  <c r="N247" i="66" s="1"/>
  <c r="Z103" i="66" s="1"/>
  <c r="J458" i="58"/>
  <c r="E385" i="38" s="1"/>
  <c r="K266" i="66" s="1"/>
  <c r="N266" i="66" s="1"/>
  <c r="E361" i="38"/>
  <c r="K74" i="66" s="1"/>
  <c r="N74" i="66" s="1"/>
  <c r="E343" i="38"/>
  <c r="E349" i="38"/>
  <c r="M245" i="66" s="1"/>
  <c r="E295" i="38"/>
  <c r="E301" i="38"/>
  <c r="M149" i="66" s="1"/>
  <c r="L198" i="66"/>
  <c r="P198" i="66" s="1"/>
  <c r="L6" i="66"/>
  <c r="P6" i="66" s="1"/>
  <c r="V6" i="66" s="1"/>
  <c r="X6" i="66" s="1"/>
  <c r="H457" i="41"/>
  <c r="H458" i="37"/>
  <c r="E354" i="38"/>
  <c r="K7" i="66" s="1"/>
  <c r="N7" i="66" s="1"/>
  <c r="N102" i="66"/>
  <c r="E289" i="38"/>
  <c r="E283" i="38"/>
  <c r="I458" i="58"/>
  <c r="E379" i="38" s="1"/>
  <c r="K218" i="66" s="1"/>
  <c r="N218" i="66" s="1"/>
  <c r="E378" i="38"/>
  <c r="K199" i="66" s="1"/>
  <c r="N199" i="66" s="1"/>
  <c r="Z55" i="66" s="1"/>
  <c r="L150" i="66"/>
  <c r="P150" i="66" s="1"/>
  <c r="V150" i="66" s="1"/>
  <c r="X150" i="66" s="1"/>
  <c r="E331" i="38"/>
  <c r="E337" i="38"/>
  <c r="E319" i="38"/>
  <c r="E325" i="38"/>
  <c r="M197" i="66" s="1"/>
  <c r="E307" i="38"/>
  <c r="E313" i="38"/>
  <c r="H458" i="58"/>
  <c r="E373" i="38" s="1"/>
  <c r="K170" i="66" s="1"/>
  <c r="N170" i="66" s="1"/>
  <c r="E372" i="38"/>
  <c r="K151" i="66" s="1"/>
  <c r="N151" i="66" s="1"/>
  <c r="N54" i="66"/>
  <c r="E367" i="38"/>
  <c r="K122" i="66" s="1"/>
  <c r="N122" i="66" s="1"/>
  <c r="H467" i="41"/>
  <c r="M3" i="41" s="1"/>
  <c r="Y103" i="66" l="1"/>
  <c r="Z247" i="66"/>
  <c r="Y247" i="66"/>
  <c r="Y55" i="66"/>
  <c r="N150" i="66"/>
  <c r="Z199" i="66"/>
  <c r="Y199" i="66"/>
  <c r="I458" i="41"/>
  <c r="N198" i="66"/>
  <c r="O198" i="66" s="1"/>
  <c r="Y74" i="66"/>
  <c r="Y218" i="66"/>
  <c r="Z74" i="66"/>
  <c r="Z218" i="66"/>
  <c r="I464" i="37"/>
  <c r="L53" i="66"/>
  <c r="L245" i="66"/>
  <c r="J464" i="58"/>
  <c r="Z7" i="66"/>
  <c r="Z151" i="66"/>
  <c r="Y151" i="66"/>
  <c r="Y7" i="66"/>
  <c r="E355" i="38"/>
  <c r="K26" i="66" s="1"/>
  <c r="N26" i="66" s="1"/>
  <c r="H458" i="41"/>
  <c r="L149" i="66"/>
  <c r="H464" i="58"/>
  <c r="I464" i="58"/>
  <c r="L197" i="66"/>
  <c r="N6" i="66"/>
  <c r="C20" i="8"/>
  <c r="M53" i="66"/>
  <c r="F18" i="39" s="1"/>
  <c r="Z122" i="66"/>
  <c r="Y266" i="66"/>
  <c r="Z266" i="66"/>
  <c r="Y122" i="66"/>
  <c r="D20" i="8"/>
  <c r="M101" i="66"/>
  <c r="G18" i="39" s="1"/>
  <c r="J458" i="41"/>
  <c r="L101" i="66"/>
  <c r="J464" i="37"/>
  <c r="H464" i="37"/>
  <c r="L5" i="66"/>
  <c r="N246" i="66"/>
  <c r="O246" i="66" s="1"/>
  <c r="M5" i="66"/>
  <c r="B20" i="8"/>
  <c r="O150" i="66" l="1"/>
  <c r="U150" i="66" s="1"/>
  <c r="Y54" i="66"/>
  <c r="Z54" i="66"/>
  <c r="Z198" i="66"/>
  <c r="O54" i="66"/>
  <c r="V54" i="66" s="1"/>
  <c r="X54" i="66" s="1"/>
  <c r="Y198" i="66"/>
  <c r="H464" i="41"/>
  <c r="J464" i="41"/>
  <c r="P245" i="66"/>
  <c r="N245" i="66"/>
  <c r="R5" i="66"/>
  <c r="T5" i="66" s="1"/>
  <c r="N5" i="66"/>
  <c r="P5" i="66"/>
  <c r="V5" i="66" s="1"/>
  <c r="X5" i="66" s="1"/>
  <c r="N197" i="66"/>
  <c r="P197" i="66"/>
  <c r="P101" i="66"/>
  <c r="N101" i="66"/>
  <c r="N53" i="66"/>
  <c r="P53" i="66"/>
  <c r="R149" i="66"/>
  <c r="T149" i="66" s="1"/>
  <c r="N149" i="66"/>
  <c r="P149" i="66"/>
  <c r="V149" i="66" s="1"/>
  <c r="X149" i="66" s="1"/>
  <c r="Z170" i="66"/>
  <c r="Y170" i="66"/>
  <c r="Z26" i="66"/>
  <c r="Y26" i="66"/>
  <c r="Y102" i="66"/>
  <c r="I464" i="41"/>
  <c r="Q198" i="66"/>
  <c r="V198" i="66"/>
  <c r="X198" i="66" s="1"/>
  <c r="U198" i="66"/>
  <c r="Y246" i="66"/>
  <c r="O102" i="66"/>
  <c r="Y6" i="66"/>
  <c r="O6" i="66"/>
  <c r="Z150" i="66"/>
  <c r="Z6" i="66"/>
  <c r="Y150" i="66"/>
  <c r="Z246" i="66"/>
  <c r="V246" i="66"/>
  <c r="X246" i="66" s="1"/>
  <c r="U246" i="66"/>
  <c r="Q246" i="66"/>
  <c r="Z102" i="66"/>
  <c r="Q150" i="66" l="1"/>
  <c r="U54" i="66"/>
  <c r="Q54" i="66"/>
  <c r="O197" i="66"/>
  <c r="U197" i="66" s="1"/>
  <c r="O53" i="66"/>
  <c r="Q53" i="66" s="1"/>
  <c r="R53" i="66" s="1"/>
  <c r="T53" i="66" s="1"/>
  <c r="O149" i="66"/>
  <c r="U149" i="66" s="1"/>
  <c r="O245" i="66"/>
  <c r="V245" i="66" s="1"/>
  <c r="X245" i="66" s="1"/>
  <c r="Z53" i="66"/>
  <c r="Y53" i="66"/>
  <c r="Y197" i="66"/>
  <c r="Z197" i="66"/>
  <c r="O5" i="66"/>
  <c r="Y149" i="66"/>
  <c r="Z5" i="66"/>
  <c r="Z149" i="66"/>
  <c r="Y5" i="66"/>
  <c r="Y245" i="66"/>
  <c r="Z245" i="66"/>
  <c r="Y101" i="66"/>
  <c r="O101" i="66"/>
  <c r="Z101" i="66"/>
  <c r="U102" i="66"/>
  <c r="Q102" i="66"/>
  <c r="V102" i="66"/>
  <c r="X102" i="66" s="1"/>
  <c r="Q6" i="66"/>
  <c r="U6" i="66"/>
  <c r="V53" i="66" l="1"/>
  <c r="X53" i="66" s="1"/>
  <c r="Q197" i="66"/>
  <c r="R197" i="66" s="1"/>
  <c r="T197" i="66" s="1"/>
  <c r="V197" i="66"/>
  <c r="X197" i="66" s="1"/>
  <c r="U53" i="66"/>
  <c r="U245" i="66"/>
  <c r="Q245" i="66"/>
  <c r="R245" i="66" s="1"/>
  <c r="T245" i="66" s="1"/>
  <c r="Q149" i="66"/>
  <c r="U5" i="66"/>
  <c r="Q5" i="66"/>
  <c r="Q101" i="66"/>
  <c r="R101" i="66" s="1"/>
  <c r="T101" i="66" s="1"/>
  <c r="U101" i="66"/>
  <c r="V101" i="66"/>
  <c r="X101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<sst xmlns="http://schemas.openxmlformats.org/spreadsheetml/2006/main" count="4048" uniqueCount="340">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</sst>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11"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2208369.9999999995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831899.99999999988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4339884.9871648429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5878808.9386203047</c:v>
                </c:pt>
                <c:pt idx="2">
                  <c:v>4189382.9495031643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-2603769.0494621387</c:v>
                </c:pt>
                <c:pt idx="2">
                  <c:v>-5309522.0004958482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-369089.66091020632</c:v>
                </c:pt>
                <c:pt idx="2">
                  <c:v>-275263.38229199691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-652666.66666666651</c:v>
                </c:pt>
                <c:pt idx="2">
                  <c:v>-979000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6568557.7355642347</c:v>
                </c:pt>
                <c:pt idx="2">
                  <c:v>336429.08719716535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193529.51145368538</c:v>
                </c:pt>
                <c:pt idx="2">
                  <c:v>169788.308019955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10742.764766009097</c:v>
                </c:pt>
                <c:pt idx="2">
                  <c:v>9432.6841985048559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156987.56675097879</c:v>
                </c:pt>
                <c:pt idx="2">
                  <c:v>122625.93591750177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21396.638291457013</c:v>
                </c:pt>
                <c:pt idx="2">
                  <c:v>18865.363395327251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21703.374142358447</c:v>
                </c:pt>
                <c:pt idx="2">
                  <c:v>18865.377976726155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54572.095689989801</c:v>
                </c:pt>
                <c:pt idx="2">
                  <c:v>47163.471034252521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875591.45920908672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110977.52639575016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54707.673917376364</c:v>
                </c:pt>
                <c:pt idx="2">
                  <c:v>47163.464832684054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215193.72878896073</c:v>
                </c:pt>
                <c:pt idx="2">
                  <c:v>188653.68692287465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10767.259065585898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381394.64883502008</c:v>
                </c:pt>
                <c:pt idx="2">
                  <c:v>320712.2901799574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11331.349184084853</c:v>
                </c:pt>
                <c:pt idx="2">
                  <c:v>9432.7158120801651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90316.264190364629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20.126590517362345</c:v>
                </c:pt>
                <c:pt idx="2">
                  <c:v>18.741654463219934</c:v>
                </c:pt>
                <c:pt idx="3">
                  <c:v>7.483154704207001</c:v>
                </c:pt>
                <c:pt idx="4">
                  <c:v>6.4967473096340438</c:v>
                </c:pt>
                <c:pt idx="5">
                  <c:v>7.5161441273189098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0.30668519088121604</c:v>
                </c:pt>
                <c:pt idx="2">
                  <c:v>3.9086826465943951</c:v>
                </c:pt>
                <c:pt idx="3">
                  <c:v>1.4201719861750002</c:v>
                </c:pt>
                <c:pt idx="4">
                  <c:v>1.2625370157999998</c:v>
                </c:pt>
                <c:pt idx="5">
                  <c:v>1.2625370158000002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7.5821874378767005</c:v>
                </c:pt>
                <c:pt idx="2">
                  <c:v>4.758130285009309</c:v>
                </c:pt>
                <c:pt idx="3">
                  <c:v>0.45076703431999998</c:v>
                </c:pt>
                <c:pt idx="4">
                  <c:v>1.2966519960000002E-2</c:v>
                </c:pt>
                <c:pt idx="5">
                  <c:v>1.2966519960000001E-2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0.77290981265149794</c:v>
                </c:pt>
                <c:pt idx="2">
                  <c:v>0.22119254828865637</c:v>
                </c:pt>
                <c:pt idx="3">
                  <c:v>5.0922829580050024</c:v>
                </c:pt>
                <c:pt idx="4">
                  <c:v>12.140331468282515</c:v>
                </c:pt>
                <c:pt idx="5">
                  <c:v>9.517797024154115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10.699796780048882</c:v>
                </c:pt>
                <c:pt idx="2">
                  <c:v>9.1813879094416802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46.890149712425654</c:v>
                </c:pt>
                <c:pt idx="2">
                  <c:v>48.561069905393708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9.6759999999999984</c:v>
                </c:pt>
                <c:pt idx="2">
                  <c:v>14.513999999999999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1254109.4848238844</c:v>
                </c:pt>
                <c:pt idx="2">
                  <c:v>1232279.4135819401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127538.2221088708</c:v>
                </c:pt>
                <c:pt idx="2">
                  <c:v>458903.28519445646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643977.96257212537</c:v>
                </c:pt>
                <c:pt idx="2">
                  <c:v>431255.15592064161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1747292.7358844967</c:v>
                </c:pt>
                <c:pt idx="2">
                  <c:v>1315788.9127719766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1539966.9972563873</c:v>
                </c:pt>
                <c:pt idx="2">
                  <c:v>1595633.8621411922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52803.99598320001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190145.9127196403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1732260.3299588533</c:v>
                </c:pt>
                <c:pt idx="2">
                  <c:v>1487222.9737975183</c:v>
                </c:pt>
                <c:pt idx="15">
                  <c:v>823764.99285714305</c:v>
                </c:pt>
                <c:pt idx="16">
                  <c:v>218594.75592337913</c:v>
                </c:pt>
                <c:pt idx="17">
                  <c:v>62557.791754974962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37765.090998484113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10593848.951226842</c:v>
                </c:pt>
                <c:pt idx="5">
                  <c:v>7073581.7808094211</c:v>
                </c:pt>
                <c:pt idx="18">
                  <c:v>0</c:v>
                </c:pt>
                <c:pt idx="19">
                  <c:v>5499921.7781775333</c:v>
                </c:pt>
                <c:pt idx="20">
                  <c:v>3672333.5083504454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662244.75002954563</c:v>
                </c:pt>
                <c:pt idx="5">
                  <c:v>442185.12268887804</c:v>
                </c:pt>
                <c:pt idx="9">
                  <c:v>1893765.2125355615</c:v>
                </c:pt>
                <c:pt idx="10">
                  <c:v>508461.23570688552</c:v>
                </c:pt>
                <c:pt idx="11">
                  <c:v>7002.3670705014374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1000000</c:v>
                </c:pt>
                <c:pt idx="26">
                  <c:v>1500000.0000000002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725968.00000000023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3786</c:v>
                </c:pt>
                <c:pt idx="2">
                  <c:v>3785.9999999999995</c:v>
                </c:pt>
                <c:pt idx="3">
                  <c:v>6600836.8097011279</c:v>
                </c:pt>
                <c:pt idx="4">
                  <c:v>5085431.9147653691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8343771.5304011963</c:v>
                </c:pt>
                <c:pt idx="2">
                  <c:v>6138253.309177042</c:v>
                </c:pt>
                <c:pt idx="15">
                  <c:v>9696490.333333334</c:v>
                </c:pt>
                <c:pt idx="16">
                  <c:v>2781257.1768003991</c:v>
                </c:pt>
                <c:pt idx="17">
                  <c:v>682028.14546411554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1306364.3816064557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330025.99999999988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4879942.9933971986</c:v>
                </c:pt>
                <c:pt idx="5">
                  <c:v>3258369.6452917154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64229.704767421834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955338.99821865035</c:v>
                </c:pt>
                <c:pt idx="23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28645.000000000004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751256.85194279999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33282.518680320005</c:v>
                </c:pt>
                <c:pt idx="5">
                  <c:v>22222.953984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5668588.4450742528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9708262.3203322031</c:v>
                </c:pt>
                <c:pt idx="2">
                  <c:v>7435570.144147574</c:v>
                </c:pt>
                <c:pt idx="15">
                  <c:v>14742130.666666664</c:v>
                </c:pt>
                <c:pt idx="16">
                  <c:v>3236087.4401107342</c:v>
                </c:pt>
                <c:pt idx="17">
                  <c:v>826174.46046084131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130405.76422476556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282439.84219338826</c:v>
                </c:pt>
                <c:pt idx="11">
                  <c:v>288791.39716006076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2876672.8817107957</c:v>
                </c:pt>
                <c:pt idx="11">
                  <c:v>2354122.6497080862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1885856.9993999996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919429.57854383998</c:v>
                </c:pt>
                <c:pt idx="5">
                  <c:v>613909.10380799999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1343774.4748452469</c:v>
                </c:pt>
                <c:pt idx="2">
                  <c:v>1345870.4225268338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181534.73363186989</c:v>
                </c:pt>
                <c:pt idx="5">
                  <c:v>121211.92121148547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305708.47942996811</c:v>
                </c:pt>
                <c:pt idx="11">
                  <c:v>262325.36884119094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20174420.269680187</c:v>
                </c:pt>
                <c:pt idx="17">
                  <c:v>15360219.79504716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3-473C-BAB6-8F8CFDCB5B87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778530.06028871727</c:v>
                </c:pt>
                <c:pt idx="17">
                  <c:v>898095.8015356207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3-473C-BAB6-8F8CFDCB5B87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560000</c:v>
                </c:pt>
                <c:pt idx="11">
                  <c:v>840000.00000000023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3-473C-BAB6-8F8CFDCB5B87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140000</c:v>
                </c:pt>
                <c:pt idx="11">
                  <c:v>210000.00000000006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3-473C-BAB6-8F8CFDCB5B87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792674.90695329418</c:v>
                </c:pt>
                <c:pt idx="14">
                  <c:v>874853.83547955821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D3-473C-BAB6-8F8CFDCB5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2104251.6529704817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1378.1314027099725</c:v>
                </c:pt>
                <c:pt idx="2">
                  <c:v>84573.250737324954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3.4924596548080444E-10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83024.745280252944</c:v>
                </c:pt>
                <c:pt idx="2">
                  <c:v>178244.52950822099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944815.08868008247</c:v>
                </c:pt>
                <c:pt idx="1">
                  <c:v>778530.06028871727</c:v>
                </c:pt>
                <c:pt idx="2">
                  <c:v>898095.8015356207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20291.01729390231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9182.8651252902346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Pil &amp; poppel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60719.109564821476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2-4B84-AA19-A870D0B5D7E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C2-4B84-AA19-A870D0B5D7E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388987.86716724106</c:v>
                </c:pt>
                <c:pt idx="2">
                  <c:v>422384.60108931462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C2-4B84-AA19-A870D0B5D7E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C2-4B84-AA19-A870D0B5D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621918.21079797368</c:v>
                </c:pt>
                <c:pt idx="2">
                  <c:v>424298.59421339614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4073065.8689815728</c:v>
                </c:pt>
                <c:pt idx="2">
                  <c:v>6410639.1845941627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358825.35406290524</c:v>
                </c:pt>
                <c:pt idx="2">
                  <c:v>102689.20533363806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150468.77514425677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1315502.3247775389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2">
                  <c:v>266828.64342463715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2121297.2151178857</c:v>
                </c:pt>
                <c:pt idx="2">
                  <c:v>1745389.9877746685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679394.36200410523</c:v>
                </c:pt>
                <c:pt idx="2">
                  <c:v>1368159.625518437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82599.137801749035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5684.6701463077916</c:v>
                </c:pt>
                <c:pt idx="2">
                  <c:v>778492.67274776381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105480.10532489244</c:v>
                </c:pt>
                <c:pt idx="2">
                  <c:v>229533.31605614454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163985.49277150354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78069.291964914431</c:v>
                </c:pt>
                <c:pt idx="2">
                  <c:v>49720.057041236883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1001340.7662389905</c:v>
                </c:pt>
                <c:pt idx="2">
                  <c:v>636761.67101253849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2">
                  <c:v>629773.75936305185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1889529.4816914173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1343774.4748452469</c:v>
                </c:pt>
                <c:pt idx="2">
                  <c:v>448623.47417561139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7086.2505432002945</c:v>
                </c:pt>
                <c:pt idx="2">
                  <c:v>4731.5355323079275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1099881.2249104278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1654819.5152121391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296134.76547745528</c:v>
                </c:pt>
                <c:pt idx="2">
                  <c:v>288671.46760287532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BE-49ED-A62C-EC8310C14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2208369.9999999995</c:v>
                </c:pt>
                <c:pt idx="2">
                  <c:v>1886540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831899.99999999988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4339884.9871648429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5878808.9386203047</c:v>
                </c:pt>
                <c:pt idx="2">
                  <c:v>4189382.9495031643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-2603769.0494621387</c:v>
                </c:pt>
                <c:pt idx="2">
                  <c:v>-5309522.0004958482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-369089.66091020632</c:v>
                </c:pt>
                <c:pt idx="2">
                  <c:v>-275263.38229199691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-652666.66666666651</c:v>
                </c:pt>
                <c:pt idx="2">
                  <c:v>-979000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6568557.7355642347</c:v>
                </c:pt>
                <c:pt idx="2">
                  <c:v>336429.08719716535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193529.51145368538</c:v>
                </c:pt>
                <c:pt idx="2">
                  <c:v>169788.308019955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10742.764766009097</c:v>
                </c:pt>
                <c:pt idx="2">
                  <c:v>9432.6841985048559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156987.56675097879</c:v>
                </c:pt>
                <c:pt idx="2">
                  <c:v>122625.93591750177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21396.638291457013</c:v>
                </c:pt>
                <c:pt idx="2">
                  <c:v>18865.363395327251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21703.374142358447</c:v>
                </c:pt>
                <c:pt idx="2">
                  <c:v>18865.377976726155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54572.095689989801</c:v>
                </c:pt>
                <c:pt idx="2">
                  <c:v>47163.471034252521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875591.45920908672</c:v>
                </c:pt>
                <c:pt idx="2">
                  <c:v>754615.39892948361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110977.52639575016</c:v>
                </c:pt>
                <c:pt idx="2">
                  <c:v>94326.964105956184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54707.673917376364</c:v>
                </c:pt>
                <c:pt idx="2">
                  <c:v>47163.464832684054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215193.72878896073</c:v>
                </c:pt>
                <c:pt idx="2">
                  <c:v>188653.68692287465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10767.259065585898</c:v>
                </c:pt>
                <c:pt idx="2">
                  <c:v>9432.6844828219237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381394.64883502008</c:v>
                </c:pt>
                <c:pt idx="2">
                  <c:v>320712.2901799574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11331.349184084853</c:v>
                </c:pt>
                <c:pt idx="2">
                  <c:v>9432.7158120801651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90316.264190364629</c:v>
                </c:pt>
                <c:pt idx="2">
                  <c:v>76207.415665262117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9093668.5090058167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624279.37582031451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519712.74099418288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170920.62417968543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755774.37301801157</c:v>
                </c:pt>
                <c:pt idx="2">
                  <c:v>649702.07815765182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1315502.3247775389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92259.369863983811</c:v>
                </c:pt>
                <c:pt idx="2">
                  <c:v>79389.335254180667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13989519.076433893</c:v>
                </c:pt>
                <c:pt idx="2">
                  <c:v>11012743.932584504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502665.02738262562</c:v>
                </c:pt>
                <c:pt idx="2">
                  <c:v>440968.92469612532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1099881.2249104278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2351789.3128538937</c:v>
                </c:pt>
                <c:pt idx="2">
                  <c:v>1985713.2941286585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6320780.1592579335</c:v>
                </c:pt>
                <c:pt idx="2">
                  <c:v>5343241.1278890474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5215653.6635435056</c:v>
                </c:pt>
                <c:pt idx="2">
                  <c:v>4366888.3180394787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1654819.5152121391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282439.84219338826</c:v>
                </c:pt>
                <c:pt idx="2">
                  <c:v>228072.28759523929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955338.99821865035</c:v>
                </c:pt>
                <c:pt idx="2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885381.95726769255</c:v>
                </c:pt>
                <c:pt idx="2">
                  <c:v>759797.39756999072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2876672.8817107957</c:v>
                </c:pt>
                <c:pt idx="2">
                  <c:v>2983896.4090711381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792674.90695329418</c:v>
                </c:pt>
                <c:pt idx="2">
                  <c:v>874853.83547955821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75035.840400706569</c:v>
                </c:pt>
                <c:pt idx="1">
                  <c:v>148491.84298757912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75035.840400706569</c:v>
                </c:pt>
                <c:pt idx="1">
                  <c:v>148491.84298757912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75035.840400706569</c:v>
                </c:pt>
                <c:pt idx="1">
                  <c:v>148491.84298757912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75035.840400706569</c:v>
                </c:pt>
                <c:pt idx="1">
                  <c:v>148491.84298757912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49.379000000000005</c:v>
                </c:pt>
                <c:pt idx="4">
                  <c:v>24.321000000000002</c:v>
                </c:pt>
                <c:pt idx="5">
                  <c:v>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14.3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621918.21079797368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424298.59421339614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52803.99598320001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190145.9127196403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1732260.3299588533</c:v>
                </c:pt>
                <c:pt idx="2">
                  <c:v>1487222.9737975183</c:v>
                </c:pt>
                <c:pt idx="15">
                  <c:v>823764.99285714305</c:v>
                </c:pt>
                <c:pt idx="16">
                  <c:v>218594.75592337913</c:v>
                </c:pt>
                <c:pt idx="17">
                  <c:v>62557.791754974962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37765.090998484113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10593848.951226842</c:v>
                </c:pt>
                <c:pt idx="5">
                  <c:v>7073581.7808094211</c:v>
                </c:pt>
                <c:pt idx="18">
                  <c:v>0</c:v>
                </c:pt>
                <c:pt idx="19">
                  <c:v>5499921.7781775333</c:v>
                </c:pt>
                <c:pt idx="20">
                  <c:v>3672333.5083504454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662244.75002954563</c:v>
                </c:pt>
                <c:pt idx="5">
                  <c:v>442185.12268887804</c:v>
                </c:pt>
                <c:pt idx="9">
                  <c:v>1893765.2125355615</c:v>
                </c:pt>
                <c:pt idx="10">
                  <c:v>508461.23570688552</c:v>
                </c:pt>
                <c:pt idx="11">
                  <c:v>7002.3670705014374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1000000</c:v>
                </c:pt>
                <c:pt idx="26">
                  <c:v>1500000.0000000002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725968.00000000023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3786</c:v>
                </c:pt>
                <c:pt idx="2">
                  <c:v>3785.9999999999995</c:v>
                </c:pt>
                <c:pt idx="3">
                  <c:v>6600836.8097011279</c:v>
                </c:pt>
                <c:pt idx="4">
                  <c:v>5085431.9147653691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8343771.5304011963</c:v>
                </c:pt>
                <c:pt idx="2">
                  <c:v>6138253.309177042</c:v>
                </c:pt>
                <c:pt idx="15">
                  <c:v>9696490.333333334</c:v>
                </c:pt>
                <c:pt idx="16">
                  <c:v>2781257.1768003991</c:v>
                </c:pt>
                <c:pt idx="17">
                  <c:v>682028.14546411554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1306364.3816064557</c:v>
                </c:pt>
                <c:pt idx="5">
                  <c:v>872267.98601462564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330025.99999999988</c:v>
                </c:pt>
                <c:pt idx="2">
                  <c:v>330026</c:v>
                </c:pt>
                <c:pt idx="3">
                  <c:v>6351407.0475792512</c:v>
                </c:pt>
                <c:pt idx="4">
                  <c:v>4879942.9933971986</c:v>
                </c:pt>
                <c:pt idx="5">
                  <c:v>3258369.6452917154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64229.704767421834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955338.99821865035</c:v>
                </c:pt>
                <c:pt idx="23">
                  <c:v>819766.77762872155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28645.000000000004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751256.85194279999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33282.518680320005</c:v>
                </c:pt>
                <c:pt idx="5">
                  <c:v>22222.953984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5668588.4450742528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9708262.3203322031</c:v>
                </c:pt>
                <c:pt idx="2">
                  <c:v>7435570.144147574</c:v>
                </c:pt>
                <c:pt idx="15">
                  <c:v>14742130.666666664</c:v>
                </c:pt>
                <c:pt idx="16">
                  <c:v>3236087.4401107342</c:v>
                </c:pt>
                <c:pt idx="17">
                  <c:v>826174.46046084131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130405.76422476556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282439.84219338826</c:v>
                </c:pt>
                <c:pt idx="11">
                  <c:v>288791.39716006076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2876672.8817107957</c:v>
                </c:pt>
                <c:pt idx="11">
                  <c:v>2354122.6497080862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1885856.9993999996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919429.57854383998</c:v>
                </c:pt>
                <c:pt idx="5">
                  <c:v>613909.10380799999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1343774.4748452469</c:v>
                </c:pt>
                <c:pt idx="2">
                  <c:v>1345870.4225268338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181534.73363186989</c:v>
                </c:pt>
                <c:pt idx="5">
                  <c:v>121211.92121148547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305708.47942996811</c:v>
                </c:pt>
                <c:pt idx="11">
                  <c:v>262325.36884119094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20174420.269680187</c:v>
                </c:pt>
                <c:pt idx="17">
                  <c:v>15360219.79504716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44-43A9-987E-6C5CDAF13D6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778530.06028871727</c:v>
                </c:pt>
                <c:pt idx="17">
                  <c:v>898095.8015356207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44-43A9-987E-6C5CDAF13D6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560000</c:v>
                </c:pt>
                <c:pt idx="11">
                  <c:v>840000.00000000023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44-43A9-987E-6C5CDAF13D6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140000</c:v>
                </c:pt>
                <c:pt idx="11">
                  <c:v>210000.00000000006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44-43A9-987E-6C5CDAF13D6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792674.90695329418</c:v>
                </c:pt>
                <c:pt idx="14">
                  <c:v>874853.83547955821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44-43A9-987E-6C5CDAF1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0</c:v>
                </c:pt>
                <c:pt idx="1">
                  <c:v>2104251.6529704817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203649.62100550608</c:v>
                </c:pt>
                <c:pt idx="1">
                  <c:v>1378.1314027099725</c:v>
                </c:pt>
                <c:pt idx="2">
                  <c:v>84573.250737324954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3.4924596548080444E-10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282332.03034110228</c:v>
                </c:pt>
                <c:pt idx="1">
                  <c:v>83024.745280252944</c:v>
                </c:pt>
                <c:pt idx="2">
                  <c:v>178244.52950822099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944815.08868008247</c:v>
                </c:pt>
                <c:pt idx="1">
                  <c:v>778530.06028871727</c:v>
                </c:pt>
                <c:pt idx="2">
                  <c:v>898095.8015356207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20291.01729390231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9182.8651252902346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60719.109564821476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9-4D28-AE32-9BD496F3BD71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9-4D28-AE32-9BD496F3BD7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420629.98984142789</c:v>
                </c:pt>
                <c:pt idx="1">
                  <c:v>388987.86716724106</c:v>
                </c:pt>
                <c:pt idx="2">
                  <c:v>422384.60108931462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9-4D28-AE32-9BD496F3BD71}"/>
            </c:ext>
          </c:extLst>
        </c:ser>
        <c:ser>
          <c:idx val="11"/>
          <c:order val="11"/>
          <c:tx>
            <c:strRef>
              <c:f>'Resultat-Import'!$M$4:$M$5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'Resultat-Import'!$M$6:$M$9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9-4D28-AE32-9BD496F3B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621918.21079797368</c:v>
                </c:pt>
                <c:pt idx="2">
                  <c:v>424298.59421339614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4073065.8689815728</c:v>
                </c:pt>
                <c:pt idx="2">
                  <c:v>6410639.1845941627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358825.35406290524</c:v>
                </c:pt>
                <c:pt idx="2">
                  <c:v>102689.20533363806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150468.77514425677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1315502.3247775389</c:v>
                </c:pt>
                <c:pt idx="2">
                  <c:v>1079479.3223754542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2">
                  <c:v>266828.64342463715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2121297.2151178857</c:v>
                </c:pt>
                <c:pt idx="2">
                  <c:v>1745389.9877746685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679394.36200410523</c:v>
                </c:pt>
                <c:pt idx="2">
                  <c:v>1368159.625518437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82599.137801749035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5684.6701463077916</c:v>
                </c:pt>
                <c:pt idx="2">
                  <c:v>778492.67274776381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105480.10532489244</c:v>
                </c:pt>
                <c:pt idx="2">
                  <c:v>229533.31605614454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163985.49277150354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78069.291964914431</c:v>
                </c:pt>
                <c:pt idx="2">
                  <c:v>49720.057041236883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1001340.7662389905</c:v>
                </c:pt>
                <c:pt idx="2">
                  <c:v>636761.67101253849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2">
                  <c:v>629773.75936305185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1889529.4816914173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1343774.4748452469</c:v>
                </c:pt>
                <c:pt idx="2">
                  <c:v>448623.47417561139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7086.2505432002945</c:v>
                </c:pt>
                <c:pt idx="2">
                  <c:v>4731.5355323079275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1099881.2249104278</c:v>
                </c:pt>
                <c:pt idx="2">
                  <c:v>935092.89794509683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1654819.5152121391</c:v>
                </c:pt>
                <c:pt idx="2">
                  <c:v>1393099.5132312838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296134.76547745528</c:v>
                </c:pt>
                <c:pt idx="2">
                  <c:v>288671.46760287532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89-40ED-8D00-B9E13066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20.126590517362345</c:v>
                </c:pt>
                <c:pt idx="2">
                  <c:v>18.741654463219934</c:v>
                </c:pt>
                <c:pt idx="3">
                  <c:v>7.483154704207001</c:v>
                </c:pt>
                <c:pt idx="4">
                  <c:v>6.4967473096340438</c:v>
                </c:pt>
                <c:pt idx="5">
                  <c:v>7.5161441273189098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0.30668519088121604</c:v>
                </c:pt>
                <c:pt idx="2">
                  <c:v>3.9086826465943951</c:v>
                </c:pt>
                <c:pt idx="3">
                  <c:v>1.4201719861750002</c:v>
                </c:pt>
                <c:pt idx="4">
                  <c:v>1.2625370157999998</c:v>
                </c:pt>
                <c:pt idx="5">
                  <c:v>1.2625370158000002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7.5821874378767005</c:v>
                </c:pt>
                <c:pt idx="2">
                  <c:v>4.758130285009309</c:v>
                </c:pt>
                <c:pt idx="3">
                  <c:v>0.45076703431999998</c:v>
                </c:pt>
                <c:pt idx="4">
                  <c:v>1.2966519960000002E-2</c:v>
                </c:pt>
                <c:pt idx="5">
                  <c:v>1.2966519960000001E-2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0.77290981265149794</c:v>
                </c:pt>
                <c:pt idx="2">
                  <c:v>0.22119254828865637</c:v>
                </c:pt>
                <c:pt idx="3">
                  <c:v>5.0922829580050024</c:v>
                </c:pt>
                <c:pt idx="4">
                  <c:v>12.140331468282515</c:v>
                </c:pt>
                <c:pt idx="5">
                  <c:v>9.517797024154115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10.699796780048882</c:v>
                </c:pt>
                <c:pt idx="2">
                  <c:v>9.1813879094416802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46.890149712425654</c:v>
                </c:pt>
                <c:pt idx="2">
                  <c:v>48.561069905393708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9.6759999999999984</c:v>
                </c:pt>
                <c:pt idx="2">
                  <c:v>14.513999999999999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1254109.4848238844</c:v>
                </c:pt>
                <c:pt idx="2">
                  <c:v>1232279.4135819401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127538.2221088708</c:v>
                </c:pt>
                <c:pt idx="2">
                  <c:v>458903.28519445646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643977.96257212537</c:v>
                </c:pt>
                <c:pt idx="2">
                  <c:v>431255.15592064161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1747292.7358844967</c:v>
                </c:pt>
                <c:pt idx="2">
                  <c:v>1315788.9127719766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1539966.9972563873</c:v>
                </c:pt>
                <c:pt idx="2">
                  <c:v>1595633.8621411922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167119</xdr:rowOff>
    </xdr:from>
    <xdr:to>
      <xdr:col>12</xdr:col>
      <xdr:colOff>432954</xdr:colOff>
      <xdr:row>172</xdr:row>
      <xdr:rowOff>84666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42875" y="688975"/>
          <a:ext cx="1403350" cy="3778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8993055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5731167.1917956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880479.241128754"/>
    </cacheField>
    <cacheField name="Energi" numFmtId="3">
      <sharedItems containsSemiMixedTypes="0" containsString="0" containsNumber="1" minValue="0" maxValue="495731167.19179565"/>
    </cacheField>
    <cacheField name="Materialer og processer" numFmtId="3">
      <sharedItems containsSemiMixedTypes="0" containsString="0" containsNumber="1" minValue="0" maxValue="4904320.894126229"/>
    </cacheField>
    <cacheField name="Produktion minus forbrug [ton]" numFmtId="3">
      <sharedItems containsSemiMixedTypes="0" containsString="0" containsNumber="1" minValue="-4828427.5390456235" maxValue="5101945.465742122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95731167.19179565"/>
    </cacheField>
    <cacheField name="Potentiale til energi [PJ]" numFmtId="0">
      <sharedItems containsSemiMixedTypes="0" containsString="0" containsNumber="1" minValue="0" maxValue="9.127669373228688"/>
    </cacheField>
    <cacheField name="Forbrug/potentiale [PJ]" numFmtId="0">
      <sharedItems containsSemiMixedTypes="0" containsString="0" containsNumber="1" minValue="0" maxValue="34.119638824419908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4.11963882441990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4309.8271681243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64309.82716812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1666664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47398.7302654954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23611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5731167.1917956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880479.241128754"/>
    </cacheField>
    <cacheField name="Energi" numFmtId="3">
      <sharedItems containsSemiMixedTypes="0" containsString="0" containsNumber="1" minValue="0" maxValue="495731167.19179565"/>
    </cacheField>
    <cacheField name="Materialer og processer" numFmtId="3">
      <sharedItems containsSemiMixedTypes="0" containsString="0" containsNumber="1" minValue="0" maxValue="4904320.894126229"/>
    </cacheField>
    <cacheField name="Produktion minus forbrug [ton]" numFmtId="3">
      <sharedItems containsSemiMixedTypes="0" containsString="0" containsNumber="1" minValue="-4828427.5390456235" maxValue="5101945.465742122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95731167.19179565"/>
    </cacheField>
    <cacheField name="Potentiale til energi [PJ]" numFmtId="0">
      <sharedItems containsSemiMixedTypes="0" containsString="0" containsNumber="1" minValue="0" maxValue="9.127669373228688"/>
    </cacheField>
    <cacheField name="Forbrug/potentiale [PJ]" numFmtId="0">
      <sharedItems containsSemiMixedTypes="0" containsString="0" containsNumber="1" minValue="0" maxValue="34.119638824419908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4.11963882441990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4309.8271681243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64309.827168124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305555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95731167.19179565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8479593.6614331026"/>
    </cacheField>
    <cacheField name="Gødning" numFmtId="3">
      <sharedItems containsSemiMixedTypes="0" containsString="0" containsNumber="1" minValue="0" maxValue="16880479.241128754"/>
    </cacheField>
    <cacheField name="Energi" numFmtId="3">
      <sharedItems containsSemiMixedTypes="0" containsString="0" containsNumber="1" minValue="0" maxValue="495731167.19179565"/>
    </cacheField>
    <cacheField name="Materialer og processer" numFmtId="3">
      <sharedItems containsSemiMixedTypes="0" containsString="0" containsNumber="1" minValue="0" maxValue="4904320.894126229"/>
    </cacheField>
    <cacheField name="Produktion minus forbrug [ton]" numFmtId="3">
      <sharedItems containsSemiMixedTypes="0" containsString="0" containsNumber="1" minValue="-4828427.5390456235" maxValue="5101945.4657421224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95731167.19179565"/>
    </cacheField>
    <cacheField name="Potentiale til energi [PJ]" numFmtId="0">
      <sharedItems containsSemiMixedTypes="0" containsString="0" containsNumber="1" minValue="0" maxValue="9.127669373228688"/>
    </cacheField>
    <cacheField name="Forbrug/potentiale [PJ]" numFmtId="0">
      <sharedItems containsSemiMixedTypes="0" containsString="0" containsNumber="1" minValue="0" maxValue="34.119638824419908"/>
    </cacheField>
    <cacheField name="Biogasproduktion [PJ]" numFmtId="0">
      <sharedItems containsSemiMixedTypes="0" containsString="0" containsNumber="1" minValue="0" maxValue="3.9432697201866369"/>
    </cacheField>
    <cacheField name="Biomasser til energi eksl. biogas [PJ]" numFmtId="0">
      <sharedItems containsSemiMixedTypes="0" containsString="0" containsNumber="1" minValue="0" maxValue="34.11963882441990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64309.8271681243"/>
    </cacheField>
    <cacheField name="Biogasproduktion [Ton TS]" numFmtId="0">
      <sharedItems containsSemiMixedTypes="0" containsString="0" containsNumber="1" minValue="0" maxValue="592047.45003691176"/>
    </cacheField>
    <cacheField name="Biomasser til energi eksl. biogas [Ton TS]" numFmtId="0">
      <sharedItems containsSemiMixedTypes="0" containsString="0" containsNumber="1" minValue="0" maxValue="1164309.827168124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3750003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2.1913160409102947E-5" maxValue="853064.00210361299"/>
    </cacheField>
    <cacheField name="Udbytte, hovedafgrøde" numFmtId="0">
      <sharedItems containsSemiMixedTypes="0" containsString="0" containsNumber="1" minValue="3.628490666341311E-4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1.1791999883481743E-4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432870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5023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3.42079560185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6880479.2411287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70919.32655032468"/>
    <n v="47085.713440742315"/>
    <n v="0"/>
    <n v="43439.71273733316"/>
    <n v="0"/>
    <n v="0"/>
    <n v="0"/>
    <n v="0"/>
    <n v="480393.9003722491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95731167.19179565"/>
    <n v="0"/>
    <n v="0"/>
    <n v="0"/>
    <n v="0"/>
    <n v="0"/>
    <n v="495731167.19179565"/>
    <n v="0"/>
    <n v="0"/>
    <n v="0"/>
    <n v="495731167.19179565"/>
    <n v="0"/>
    <n v="0"/>
    <n v="0"/>
    <n v="0"/>
    <n v="0"/>
    <n v="0"/>
    <n v="0"/>
    <n v="0"/>
  </r>
  <r>
    <x v="4"/>
    <x v="10"/>
    <n v="0"/>
    <x v="1"/>
    <s v="Vestdanmark"/>
    <n v="20288522.839408737"/>
    <n v="0"/>
    <n v="0"/>
    <n v="0"/>
    <n v="0"/>
    <n v="16880479.241128754"/>
    <n v="0"/>
    <n v="0"/>
    <n v="3408043.5982799828"/>
    <n v="0"/>
    <n v="0"/>
    <n v="0"/>
    <n v="0"/>
    <n v="0"/>
    <n v="0"/>
    <n v="0"/>
    <n v="0"/>
    <n v="0"/>
    <n v="0"/>
  </r>
  <r>
    <x v="5"/>
    <x v="1"/>
    <n v="1"/>
    <x v="1"/>
    <s v="Vestdanmark"/>
    <n v="2396507.2594762691"/>
    <n v="0"/>
    <n v="0"/>
    <n v="0"/>
    <n v="1198253.6297381346"/>
    <n v="0"/>
    <n v="0"/>
    <n v="0"/>
    <n v="1198253.6297381346"/>
    <n v="1198253.6297381346"/>
    <n v="1198253.6297381346"/>
    <n v="0.6806393084782959"/>
    <n v="1.3612786169565918"/>
    <n v="0.6806393084782959"/>
    <n v="0.6806393084782959"/>
    <n v="51241.384361838122"/>
    <n v="102482.76872367624"/>
    <n v="51241.384361838122"/>
    <n v="51241.384361838122"/>
  </r>
  <r>
    <x v="6"/>
    <x v="2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</r>
  <r>
    <x v="7"/>
    <x v="10"/>
    <n v="0"/>
    <x v="1"/>
    <s v="Vestdanmark"/>
    <n v="1687951.4848605499"/>
    <n v="1681632.6228836535"/>
    <n v="0"/>
    <n v="0"/>
    <n v="0"/>
    <n v="0"/>
    <n v="0"/>
    <n v="0"/>
    <n v="6318.861976896412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91447.52086616959"/>
    <n v="0"/>
    <n v="0"/>
    <n v="0"/>
    <n v="0"/>
    <n v="0"/>
    <n v="0"/>
    <n v="0"/>
    <n v="991447.52086616959"/>
    <n v="0"/>
    <n v="0"/>
    <n v="0"/>
    <n v="0"/>
    <n v="0"/>
    <n v="0"/>
    <n v="0"/>
    <n v="0"/>
    <n v="0"/>
    <n v="0"/>
  </r>
  <r>
    <x v="11"/>
    <x v="10"/>
    <n v="0"/>
    <x v="1"/>
    <s v="Vestdanmark"/>
    <n v="69515.73753753565"/>
    <n v="0"/>
    <n v="0"/>
    <n v="257923.29437791562"/>
    <n v="0"/>
    <n v="0"/>
    <n v="0"/>
    <n v="0"/>
    <n v="-188407.55684037996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0811669.206179742"/>
    <n v="9446613.3985518552"/>
    <n v="0"/>
    <n v="0"/>
    <n v="0"/>
    <n v="0"/>
    <n v="0"/>
    <n v="4904320.894126229"/>
    <n v="-3539265.0864983425"/>
    <n v="0"/>
    <n v="0"/>
    <n v="0"/>
    <n v="0"/>
    <n v="0"/>
    <n v="0"/>
    <n v="0"/>
    <n v="0"/>
    <n v="0"/>
    <n v="0"/>
  </r>
  <r>
    <x v="14"/>
    <x v="10"/>
    <n v="0"/>
    <x v="1"/>
    <s v="Vestdanmark"/>
    <n v="819862.14978940994"/>
    <n v="819862.14978940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378724.85097057559"/>
    <n v="0"/>
    <n v="0"/>
    <n v="270140.71358529059"/>
    <n v="0"/>
    <n v="0"/>
    <n v="0"/>
    <n v="0"/>
    <n v="108584.13738528499"/>
    <n v="0"/>
    <n v="0"/>
    <n v="0"/>
    <n v="0"/>
    <n v="0"/>
    <n v="0"/>
    <n v="0"/>
    <n v="0"/>
    <n v="0"/>
    <n v="0"/>
  </r>
  <r>
    <x v="16"/>
    <x v="5"/>
    <n v="1"/>
    <x v="1"/>
    <s v="Vestdanmark"/>
    <n v="2115369.6842220044"/>
    <n v="590528.53760249668"/>
    <n v="548687.13677357347"/>
    <n v="0"/>
    <n v="0"/>
    <n v="0"/>
    <n v="254415.29546314781"/>
    <n v="721738.71438278642"/>
    <n v="0"/>
    <n v="0"/>
    <n v="254415.29546314781"/>
    <n v="0"/>
    <n v="2.6295872236207458"/>
    <n v="0"/>
    <n v="2.6295872236207458"/>
    <n v="0"/>
    <n v="216253.00114367562"/>
    <n v="0"/>
    <n v="216253.00114367562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</r>
  <r>
    <x v="20"/>
    <x v="10"/>
    <n v="0"/>
    <x v="1"/>
    <s v="Vestdanmark"/>
    <n v="832506.49987193861"/>
    <n v="0"/>
    <n v="0"/>
    <n v="0"/>
    <n v="0"/>
    <n v="0"/>
    <n v="0"/>
    <n v="0"/>
    <n v="832506.49987193861"/>
    <n v="0"/>
    <n v="0"/>
    <n v="0"/>
    <n v="0"/>
    <n v="0"/>
    <n v="0"/>
    <n v="0"/>
    <n v="0"/>
    <n v="0"/>
    <n v="0"/>
  </r>
  <r>
    <x v="21"/>
    <x v="10"/>
    <n v="0"/>
    <x v="1"/>
    <s v="Vestdanmark"/>
    <n v="1786381.255966713"/>
    <n v="0"/>
    <n v="0"/>
    <n v="123531.68309679118"/>
    <n v="0"/>
    <n v="0"/>
    <n v="0"/>
    <n v="0"/>
    <n v="1662849.5728699218"/>
    <n v="0"/>
    <n v="0"/>
    <n v="0"/>
    <n v="0"/>
    <n v="0"/>
    <n v="0"/>
    <n v="0"/>
    <n v="0"/>
    <n v="0"/>
    <n v="0"/>
  </r>
  <r>
    <x v="22"/>
    <x v="5"/>
    <n v="1"/>
    <x v="1"/>
    <s v="Vestdanmark"/>
    <n v="4785068.9598603025"/>
    <n v="4534717.2198337205"/>
    <n v="0"/>
    <n v="295933.04302308214"/>
    <n v="2866.1447836461339"/>
    <n v="0"/>
    <n v="0"/>
    <n v="0"/>
    <n v="-48447.447780146264"/>
    <n v="0"/>
    <n v="2866.1447836461339"/>
    <n v="0"/>
    <n v="9.8161446237182998E-3"/>
    <n v="9.8161446237182998E-3"/>
    <n v="0"/>
    <n v="0"/>
    <n v="888.50488293030151"/>
    <n v="888.50488293030151"/>
    <n v="0"/>
  </r>
  <r>
    <x v="23"/>
    <x v="10"/>
    <n v="0"/>
    <x v="1"/>
    <s v="Vestdanmark"/>
    <n v="0"/>
    <n v="0"/>
    <n v="0"/>
    <n v="0"/>
    <n v="0"/>
    <n v="479558.1969775256"/>
    <n v="0"/>
    <n v="0"/>
    <n v="-479558.1969775256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790098.0268014707"/>
    <n v="2596699.342267157"/>
    <n v="0"/>
    <n v="0"/>
    <n v="0"/>
    <n v="0"/>
    <n v="7790098.0268014707"/>
    <n v="0"/>
    <n v="3.9432697201866369"/>
    <n v="3.9432697201866369"/>
    <n v="0"/>
    <n v="0"/>
    <n v="592047.45003691176"/>
    <n v="592047.45003691176"/>
    <n v="0"/>
  </r>
  <r>
    <x v="25"/>
    <x v="10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</r>
  <r>
    <x v="26"/>
    <x v="4"/>
    <n v="1"/>
    <x v="1"/>
    <s v="Vestdanmark"/>
    <n v="3984719.6201805831"/>
    <n v="4351481.2300827308"/>
    <n v="0"/>
    <n v="0"/>
    <n v="252137.34695648224"/>
    <n v="0"/>
    <n v="0"/>
    <n v="0"/>
    <n v="-618898.95685862983"/>
    <n v="0"/>
    <n v="252137.34695648224"/>
    <n v="0"/>
    <n v="0.90517307557377136"/>
    <n v="0.90517307557377136"/>
    <n v="0"/>
    <n v="0"/>
    <n v="75641.204086944665"/>
    <n v="75641.204086944665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254211.7913728904"/>
    <n v="0"/>
    <n v="0"/>
    <n v="0"/>
    <n v="0"/>
    <n v="0"/>
    <n v="0"/>
    <n v="0"/>
    <n v="1254211.7913728904"/>
    <n v="0"/>
    <n v="0"/>
    <n v="0"/>
    <n v="0"/>
    <n v="0"/>
    <n v="0"/>
    <n v="0"/>
    <n v="0"/>
    <n v="0"/>
    <n v="0"/>
  </r>
  <r>
    <x v="31"/>
    <x v="7"/>
    <n v="1"/>
    <x v="1"/>
    <s v="Vestdanmark"/>
    <n v="215758.44874789647"/>
    <n v="0"/>
    <n v="0"/>
    <n v="0"/>
    <n v="0"/>
    <n v="0"/>
    <n v="215758.44874789647"/>
    <n v="0"/>
    <n v="0"/>
    <n v="0"/>
    <n v="215758.44874789647"/>
    <n v="0"/>
    <n v="3.9699554569612943"/>
    <n v="0"/>
    <n v="3.9699554569612943"/>
    <n v="0"/>
    <n v="89539.756230377039"/>
    <n v="0"/>
    <n v="89539.756230377039"/>
  </r>
  <r>
    <x v="32"/>
    <x v="8"/>
    <n v="1"/>
    <x v="1"/>
    <s v="Vestdanmark"/>
    <n v="404173.68005436042"/>
    <n v="0"/>
    <n v="0"/>
    <n v="0"/>
    <n v="0"/>
    <n v="0"/>
    <n v="404173.68005436042"/>
    <n v="0"/>
    <n v="0"/>
    <n v="0"/>
    <n v="404173.68005436042"/>
    <n v="0"/>
    <n v="3.6219735642585746"/>
    <n v="0"/>
    <n v="3.6219735642585746"/>
    <n v="0"/>
    <n v="0"/>
    <n v="0"/>
    <n v="0"/>
  </r>
  <r>
    <x v="33"/>
    <x v="8"/>
    <n v="1"/>
    <x v="1"/>
    <s v="Vestdanmark"/>
    <n v="101043.4200135901"/>
    <n v="0"/>
    <n v="0"/>
    <n v="0"/>
    <n v="0"/>
    <n v="0"/>
    <n v="101043.4200135901"/>
    <n v="0"/>
    <n v="0"/>
    <n v="0"/>
    <n v="101043.4200135901"/>
    <n v="0"/>
    <n v="3.3615702361092654"/>
    <n v="0"/>
    <n v="3.3615702361092654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720643.86826877412"/>
    <n v="0"/>
    <n v="0"/>
    <n v="0"/>
    <n v="0"/>
    <n v="0"/>
    <n v="0"/>
    <n v="720643.86826877412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60321.93413438706"/>
    <n v="161875.86352463221"/>
    <n v="0"/>
    <n v="0"/>
    <n v="0"/>
    <n v="0"/>
    <n v="0"/>
    <n v="0"/>
    <n v="198446.07060975485"/>
    <n v="0"/>
    <n v="0"/>
    <n v="0"/>
    <n v="0"/>
    <n v="0"/>
    <n v="0"/>
    <n v="0"/>
    <n v="0"/>
    <n v="0"/>
    <n v="0"/>
  </r>
  <r>
    <x v="37"/>
    <x v="9"/>
    <n v="1"/>
    <x v="1"/>
    <s v="Vestdanmark"/>
    <n v="230606.03784600773"/>
    <n v="0"/>
    <n v="0"/>
    <n v="0"/>
    <n v="0"/>
    <n v="0"/>
    <n v="230606.03784600773"/>
    <n v="0"/>
    <n v="0"/>
    <n v="0"/>
    <n v="230606.03784600773"/>
    <n v="0"/>
    <n v="8.0712113246102692"/>
    <n v="0"/>
    <n v="8.0712113246102692"/>
    <n v="0"/>
    <n v="0"/>
    <n v="0"/>
    <n v="0"/>
  </r>
  <r>
    <x v="38"/>
    <x v="4"/>
    <n v="1"/>
    <x v="1"/>
    <s v="Vestdanmark"/>
    <n v="661272.99652906856"/>
    <n v="669901.28667965194"/>
    <n v="0"/>
    <n v="0"/>
    <n v="21394.342667690107"/>
    <n v="0"/>
    <n v="0"/>
    <n v="0"/>
    <n v="-30022.632818273501"/>
    <n v="0"/>
    <n v="21394.342667690107"/>
    <n v="0"/>
    <n v="5.8065101773817657E-2"/>
    <n v="5.8065101773817657E-2"/>
    <n v="0"/>
    <n v="0"/>
    <n v="4278.8685335380214"/>
    <n v="4278.8685335380214"/>
    <n v="0"/>
  </r>
  <r>
    <x v="39"/>
    <x v="10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</r>
  <r>
    <x v="40"/>
    <x v="10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</r>
  <r>
    <x v="42"/>
    <x v="2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</r>
  <r>
    <x v="43"/>
    <x v="10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8556.3906758497"/>
    <n v="0"/>
    <n v="0"/>
    <n v="0"/>
    <n v="0"/>
    <n v="0"/>
    <n v="2228556.3906758497"/>
    <n v="0"/>
    <n v="0"/>
    <n v="0"/>
    <n v="2228556.3906758497"/>
    <n v="0"/>
    <n v="32.299735597523586"/>
    <n v="0"/>
    <n v="32.299735597523586"/>
    <n v="0"/>
    <n v="1102206.848221764"/>
    <n v="0"/>
    <n v="1102206.848221764"/>
  </r>
  <r>
    <x v="47"/>
    <x v="10"/>
    <n v="0"/>
    <x v="1"/>
    <s v="Vestdanmark"/>
    <n v="614281.02378706157"/>
    <n v="0"/>
    <n v="0"/>
    <n v="0"/>
    <n v="0"/>
    <n v="0"/>
    <n v="0"/>
    <n v="614281.0237870615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476733.07017285493"/>
    <n v="31434.479653499999"/>
    <n v="0"/>
    <n v="101549.90665933446"/>
    <n v="0"/>
    <n v="0"/>
    <n v="0"/>
    <n v="0"/>
    <n v="343748.68386002048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41087049.47009271"/>
    <n v="0"/>
    <n v="0"/>
    <n v="0"/>
    <n v="0"/>
    <n v="0"/>
    <n v="441087049.47009271"/>
    <n v="0"/>
    <n v="0"/>
    <n v="0"/>
    <n v="441087049.47009271"/>
    <n v="0"/>
    <n v="0"/>
    <n v="0"/>
    <n v="0"/>
    <n v="0"/>
    <n v="0"/>
    <n v="0"/>
    <n v="0"/>
  </r>
  <r>
    <x v="4"/>
    <x v="10"/>
    <n v="0"/>
    <x v="2"/>
    <s v="Vestdanmark"/>
    <n v="17326468.088146493"/>
    <n v="0"/>
    <n v="0"/>
    <n v="0"/>
    <n v="0"/>
    <n v="12224522.62240437"/>
    <n v="0"/>
    <n v="0"/>
    <n v="5101945.4657421224"/>
    <n v="0"/>
    <n v="0"/>
    <n v="0"/>
    <n v="0"/>
    <n v="0"/>
    <n v="0"/>
    <n v="0"/>
    <n v="0"/>
    <n v="0"/>
    <n v="0"/>
  </r>
  <r>
    <x v="5"/>
    <x v="1"/>
    <n v="1"/>
    <x v="2"/>
    <s v="Vestdanmark"/>
    <n v="1599911.1658842943"/>
    <n v="0"/>
    <n v="0"/>
    <n v="0"/>
    <n v="1199933.3744132207"/>
    <n v="0"/>
    <n v="0"/>
    <n v="0"/>
    <n v="399977.79147107364"/>
    <n v="399977.79147107364"/>
    <n v="1199933.3744132207"/>
    <n v="0.2271978157521149"/>
    <n v="0.90879126300845936"/>
    <n v="0.68159344725634452"/>
    <n v="0.22719781575211484"/>
    <n v="17104.405311459373"/>
    <n v="68417.621245837479"/>
    <n v="51313.21593437811"/>
    <n v="17104.40531145937"/>
  </r>
  <r>
    <x v="6"/>
    <x v="2"/>
    <n v="1"/>
    <x v="2"/>
    <s v="Vestdanmark"/>
    <n v="1458137.3135203668"/>
    <n v="0"/>
    <n v="0"/>
    <n v="0"/>
    <n v="1312323.5821683302"/>
    <n v="55200.91258327102"/>
    <n v="0"/>
    <n v="0"/>
    <n v="90612.818768765545"/>
    <n v="90612.818768765545"/>
    <n v="1312323.5821683302"/>
    <n v="0.19518001162792098"/>
    <n v="3.0219250076185045"/>
    <n v="2.8267449959905835"/>
    <n v="0.19518001162792098"/>
    <n v="27183.845630629661"/>
    <n v="420880.92028112873"/>
    <n v="393697.07465049904"/>
    <n v="27183.845630629687"/>
  </r>
  <r>
    <x v="7"/>
    <x v="10"/>
    <n v="0"/>
    <x v="2"/>
    <s v="Vestdanmark"/>
    <n v="1126878.4675784998"/>
    <n v="1122659.9876249996"/>
    <n v="0"/>
    <n v="0"/>
    <n v="0"/>
    <n v="0"/>
    <n v="0"/>
    <n v="0"/>
    <n v="4218.4799535002094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</r>
  <r>
    <x v="10"/>
    <x v="10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</r>
  <r>
    <x v="11"/>
    <x v="10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8080859.3284295592"/>
    <n v="6306570.6128669288"/>
    <n v="0"/>
    <n v="0"/>
    <n v="0"/>
    <n v="0"/>
    <n v="0"/>
    <n v="3274130.6034294944"/>
    <n v="-1499841.887866864"/>
    <n v="0"/>
    <n v="0"/>
    <n v="0"/>
    <n v="0"/>
    <n v="0"/>
    <n v="0"/>
    <n v="0"/>
    <n v="0"/>
    <n v="0"/>
    <n v="0"/>
  </r>
  <r>
    <x v="14"/>
    <x v="10"/>
    <n v="0"/>
    <x v="2"/>
    <s v="Vestdanmark"/>
    <n v="547340.96996669995"/>
    <n v="547340.96996669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323570.52487821685"/>
    <n v="0"/>
    <n v="0"/>
    <n v="280672.65868343826"/>
    <n v="0"/>
    <n v="0"/>
    <n v="0"/>
    <n v="0"/>
    <n v="42897.866194778588"/>
    <n v="0"/>
    <n v="0"/>
    <n v="0"/>
    <n v="0"/>
    <n v="0"/>
    <n v="0"/>
    <n v="0"/>
    <n v="0"/>
    <n v="0"/>
    <n v="0"/>
  </r>
  <r>
    <x v="16"/>
    <x v="5"/>
    <n v="1"/>
    <x v="2"/>
    <s v="Vestdanmark"/>
    <n v="1738074.2627217553"/>
    <n v="394237.57109337207"/>
    <n v="367504.60397489293"/>
    <n v="0"/>
    <n v="0"/>
    <n v="0"/>
    <n v="0"/>
    <n v="1054723.8266823078"/>
    <n v="-78391.739028817508"/>
    <n v="0"/>
    <n v="0"/>
    <n v="0"/>
    <n v="0"/>
    <n v="0"/>
    <n v="0"/>
    <n v="0"/>
    <n v="0"/>
    <n v="0"/>
    <n v="0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477740.13297637849"/>
    <n v="0"/>
    <n v="0"/>
    <n v="0"/>
    <n v="-117774.26895292255"/>
    <n v="0"/>
    <n v="477740.13297637849"/>
    <n v="0"/>
    <n v="1.7595935870433448"/>
    <n v="1.7595935870433448"/>
    <n v="0"/>
    <n v="0"/>
    <n v="200650.85585007895"/>
    <n v="200650.85585007895"/>
    <n v="0"/>
  </r>
  <r>
    <x v="20"/>
    <x v="10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</r>
  <r>
    <x v="21"/>
    <x v="10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</r>
  <r>
    <x v="22"/>
    <x v="5"/>
    <n v="1"/>
    <x v="2"/>
    <s v="Vestdanmark"/>
    <n v="3920720.3662957777"/>
    <n v="3027382.7402155618"/>
    <n v="0"/>
    <n v="307470.55071854044"/>
    <n v="2778.0605350782976"/>
    <n v="0"/>
    <n v="0"/>
    <n v="0"/>
    <n v="583089.01482659718"/>
    <n v="583089.01482659718"/>
    <n v="2778.0605350782976"/>
    <n v="1.9969982433190199"/>
    <n v="2.0065127117231882"/>
    <n v="9.5144684041682595E-3"/>
    <n v="1.9969982433190199"/>
    <n v="180757.59459624512"/>
    <n v="181618.79336211938"/>
    <n v="861.19876587427223"/>
    <n v="180757.59459624512"/>
  </r>
  <r>
    <x v="23"/>
    <x v="10"/>
    <n v="0"/>
    <x v="2"/>
    <s v="Vestdanmark"/>
    <n v="0"/>
    <n v="0"/>
    <n v="0"/>
    <n v="0"/>
    <n v="0"/>
    <n v="605816.97301957663"/>
    <n v="0"/>
    <n v="0"/>
    <n v="-605816.97301957663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5730932.9261474209"/>
    <n v="636770.32512749103"/>
    <n v="0"/>
    <n v="0"/>
    <n v="0"/>
    <n v="0"/>
    <n v="5730932.9261474209"/>
    <n v="0"/>
    <n v="2.9009409378865634"/>
    <n v="2.9009409378865634"/>
    <n v="0"/>
    <n v="0"/>
    <n v="435550.902387204"/>
    <n v="435550.902387204"/>
    <n v="0"/>
  </r>
  <r>
    <x v="25"/>
    <x v="10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</r>
  <r>
    <x v="26"/>
    <x v="4"/>
    <n v="1"/>
    <x v="2"/>
    <s v="Vestdanmark"/>
    <n v="3204301.4084430053"/>
    <n v="2905054.1702372115"/>
    <n v="0"/>
    <n v="0"/>
    <n v="242163.91618130018"/>
    <n v="0"/>
    <n v="0"/>
    <n v="0"/>
    <n v="57083.322024493478"/>
    <n v="57083.322024493478"/>
    <n v="242163.91618130018"/>
    <n v="0.20492912606793159"/>
    <n v="1.0742975851587995"/>
    <n v="0.8693684590908678"/>
    <n v="0.20492912606793168"/>
    <n v="17124.996607348043"/>
    <n v="89774.171461738093"/>
    <n v="72649.174854390047"/>
    <n v="17124.996607348046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34302.712220301015"/>
    <n v="0"/>
    <n v="0"/>
    <n v="0"/>
    <n v="0"/>
    <n v="17091.345648539893"/>
    <n v="0"/>
    <n v="0"/>
    <n v="0"/>
    <n v="0"/>
    <n v="0"/>
    <n v="0"/>
    <n v="0"/>
    <n v="0"/>
    <n v="0"/>
    <n v="0"/>
  </r>
  <r>
    <x v="30"/>
    <x v="10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</r>
  <r>
    <x v="31"/>
    <x v="7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</r>
  <r>
    <x v="32"/>
    <x v="8"/>
    <n v="1"/>
    <x v="2"/>
    <s v="Vestdanmark"/>
    <n v="590645.34294209245"/>
    <n v="0"/>
    <n v="0"/>
    <n v="0"/>
    <n v="0"/>
    <n v="0"/>
    <n v="590645.34294209245"/>
    <n v="0"/>
    <n v="0"/>
    <n v="0"/>
    <n v="590645.34294209245"/>
    <n v="0"/>
    <n v="5.2930260518224923"/>
    <n v="0"/>
    <n v="5.2930260518224923"/>
    <n v="0"/>
    <n v="0"/>
    <n v="0"/>
    <n v="0"/>
  </r>
  <r>
    <x v="33"/>
    <x v="8"/>
    <n v="1"/>
    <x v="2"/>
    <s v="Vestdanmark"/>
    <n v="147661.33573552311"/>
    <n v="0"/>
    <n v="0"/>
    <n v="0"/>
    <n v="0"/>
    <n v="0"/>
    <n v="147661.33573552311"/>
    <n v="0"/>
    <n v="0"/>
    <n v="0"/>
    <n v="147661.33573552311"/>
    <n v="0"/>
    <n v="4.9124816951555159"/>
    <n v="0"/>
    <n v="4.9124816951555159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300760.85856881103"/>
    <n v="108068.52368843651"/>
    <n v="0"/>
    <n v="0"/>
    <n v="0"/>
    <n v="0"/>
    <n v="0"/>
    <n v="0"/>
    <n v="192692.33488037452"/>
    <n v="0"/>
    <n v="0"/>
    <n v="0"/>
    <n v="0"/>
    <n v="0"/>
    <n v="0"/>
    <n v="0"/>
    <n v="0"/>
    <n v="0"/>
    <n v="0"/>
  </r>
  <r>
    <x v="37"/>
    <x v="9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</r>
  <r>
    <x v="38"/>
    <x v="4"/>
    <n v="1"/>
    <x v="2"/>
    <s v="Vestdanmark"/>
    <n v="557517.61958207632"/>
    <n v="447226.91507024999"/>
    <n v="0"/>
    <n v="0"/>
    <n v="21018.882486311028"/>
    <n v="0"/>
    <n v="0"/>
    <n v="0"/>
    <n v="89271.822025515314"/>
    <n v="89271.822025515314"/>
    <n v="21018.882486311028"/>
    <n v="0.24228729585012959"/>
    <n v="0.29933338367327716"/>
    <n v="5.704608782314758E-2"/>
    <n v="0.24228729585012959"/>
    <n v="17854.364405103064"/>
    <n v="22058.140902365267"/>
    <n v="4203.7764972622053"/>
    <n v="17854.364405103061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3046562.3049170515"/>
    <n v="0"/>
    <n v="0"/>
    <n v="0"/>
    <n v="1015520.7683056835"/>
    <n v="1015520.7683056835"/>
    <n v="3046562.3049170515"/>
    <n v="0.50675501859221916"/>
    <n v="2.0270200743688775"/>
    <n v="1.5202650557766582"/>
    <n v="0.50675501859221939"/>
    <n v="60931.246098341006"/>
    <n v="243724.98439336408"/>
    <n v="182793.73829502307"/>
    <n v="60931.246098341013"/>
  </r>
  <r>
    <x v="42"/>
    <x v="2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</r>
  <r>
    <x v="43"/>
    <x v="10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354122.6497080862"/>
    <n v="0"/>
    <n v="0"/>
    <n v="0"/>
    <n v="0"/>
    <n v="0"/>
    <n v="2354122.6497080862"/>
    <n v="0"/>
    <n v="0"/>
    <n v="0"/>
    <n v="2354122.6497080862"/>
    <n v="0"/>
    <n v="34.119638824419908"/>
    <n v="0"/>
    <n v="34.119638824419908"/>
    <n v="0"/>
    <n v="1164309.8271681243"/>
    <n v="0"/>
    <n v="1164309.8271681243"/>
  </r>
  <r>
    <x v="47"/>
    <x v="10"/>
    <n v="0"/>
    <x v="2"/>
    <s v="Vestdanmark"/>
    <n v="695607.30474103929"/>
    <n v="0"/>
    <n v="0"/>
    <n v="0"/>
    <n v="0"/>
    <n v="0"/>
    <n v="0"/>
    <n v="695607.30474103929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4855.04646768686"/>
    <n v="5718.282542457694"/>
    <n v="0"/>
    <n v="37612.453499504722"/>
    <n v="0"/>
    <n v="0"/>
    <n v="0"/>
    <n v="0"/>
    <n v="141524.31042572443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9368116.94983545"/>
    <n v="0"/>
    <n v="0"/>
    <n v="0"/>
    <n v="0"/>
    <n v="0"/>
    <n v="119368116.94983545"/>
    <n v="0"/>
    <n v="0"/>
    <n v="0"/>
    <n v="119368116.94983545"/>
    <n v="0"/>
    <n v="0"/>
    <n v="0"/>
    <n v="0"/>
    <n v="0"/>
    <n v="0"/>
    <n v="0"/>
    <n v="0"/>
  </r>
  <r>
    <x v="4"/>
    <x v="10"/>
    <n v="0"/>
    <x v="1"/>
    <s v="Østdanmark"/>
    <n v="3958963.2992530242"/>
    <n v="0"/>
    <n v="0"/>
    <n v="0"/>
    <n v="0"/>
    <n v="3293941.0285514342"/>
    <n v="0"/>
    <n v="0"/>
    <n v="665022.27070158999"/>
    <n v="0"/>
    <n v="0"/>
    <n v="0"/>
    <n v="0"/>
    <n v="0"/>
    <n v="0"/>
    <n v="0"/>
    <n v="0"/>
    <n v="0"/>
    <n v="0"/>
  </r>
  <r>
    <x v="5"/>
    <x v="1"/>
    <n v="1"/>
    <x v="1"/>
    <s v="Østdanmark"/>
    <n v="291041.69021422468"/>
    <n v="0"/>
    <n v="0"/>
    <n v="0"/>
    <n v="145520.84510711234"/>
    <n v="0"/>
    <n v="0"/>
    <n v="0"/>
    <n v="145520.84510711234"/>
    <n v="145520.84510711234"/>
    <n v="145520.84510711234"/>
    <n v="8.2659634759068373E-2"/>
    <n v="0.16531926951813675"/>
    <n v="8.2659634759068373E-2"/>
    <n v="8.2659634759068373E-2"/>
    <n v="6222.9642971518751"/>
    <n v="12445.92859430375"/>
    <n v="6222.9642971518751"/>
    <n v="6222.9642971518751"/>
  </r>
  <r>
    <x v="6"/>
    <x v="2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</r>
  <r>
    <x v="7"/>
    <x v="10"/>
    <n v="0"/>
    <x v="1"/>
    <s v="Østdanmark"/>
    <n v="204991.76508265003"/>
    <n v="204224.37651634615"/>
    <n v="0"/>
    <n v="0"/>
    <n v="0"/>
    <n v="0"/>
    <n v="0"/>
    <n v="0"/>
    <n v="767.38856630388182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4054.80391136941"/>
    <n v="0"/>
    <n v="0"/>
    <n v="0"/>
    <n v="0"/>
    <n v="0"/>
    <n v="0"/>
    <n v="0"/>
    <n v="324054.80391136941"/>
    <n v="0"/>
    <n v="0"/>
    <n v="0"/>
    <n v="0"/>
    <n v="0"/>
    <n v="0"/>
    <n v="0"/>
    <n v="0"/>
    <n v="0"/>
    <n v="0"/>
  </r>
  <r>
    <x v="11"/>
    <x v="10"/>
    <n v="0"/>
    <x v="1"/>
    <s v="Østdanmark"/>
    <n v="22743.632326448162"/>
    <n v="0"/>
    <n v="0"/>
    <n v="223323.94265330929"/>
    <n v="0"/>
    <n v="0"/>
    <n v="0"/>
    <n v="0"/>
    <n v="-200580.31032686113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177849.870254152"/>
    <n v="1147235.5526749862"/>
    <n v="0"/>
    <n v="0"/>
    <n v="0"/>
    <n v="0"/>
    <n v="0"/>
    <n v="595600.88405130478"/>
    <n v="1435013.433527861"/>
    <n v="0"/>
    <n v="0"/>
    <n v="0"/>
    <n v="0"/>
    <n v="0"/>
    <n v="0"/>
    <n v="0"/>
    <n v="0"/>
    <n v="0"/>
    <n v="0"/>
  </r>
  <r>
    <x v="14"/>
    <x v="10"/>
    <n v="0"/>
    <x v="1"/>
    <s v="Østdanmark"/>
    <n v="99567.428754430017"/>
    <n v="99567.42875443001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23940.17641205002"/>
    <n v="0"/>
    <n v="0"/>
    <n v="233902.44520004498"/>
    <n v="0"/>
    <n v="0"/>
    <n v="0"/>
    <n v="0"/>
    <n v="-109962.26878799497"/>
    <n v="0"/>
    <n v="0"/>
    <n v="0"/>
    <n v="0"/>
    <n v="0"/>
    <n v="0"/>
    <n v="0"/>
    <n v="0"/>
    <n v="0"/>
    <n v="0"/>
  </r>
  <r>
    <x v="16"/>
    <x v="5"/>
    <n v="1"/>
    <x v="1"/>
    <s v="Østdanmark"/>
    <n v="681943.98989157612"/>
    <n v="71716.212427048929"/>
    <n v="77920.551603575906"/>
    <n v="0"/>
    <n v="0"/>
    <n v="0"/>
    <n v="254045.94024373771"/>
    <n v="278261.28561721352"/>
    <n v="0"/>
    <n v="0"/>
    <n v="254045.94024373771"/>
    <n v="0"/>
    <n v="2.6257696396025745"/>
    <n v="0"/>
    <n v="2.6257696396025745"/>
    <n v="0"/>
    <n v="215939.04920717704"/>
    <n v="0"/>
    <n v="215939.0492071770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</r>
  <r>
    <x v="20"/>
    <x v="10"/>
    <n v="0"/>
    <x v="1"/>
    <s v="Østdanmark"/>
    <n v="267374.72503848921"/>
    <n v="0"/>
    <n v="0"/>
    <n v="0"/>
    <n v="0"/>
    <n v="0"/>
    <n v="0"/>
    <n v="0"/>
    <n v="267374.72503848921"/>
    <n v="0"/>
    <n v="0"/>
    <n v="0"/>
    <n v="0"/>
    <n v="0"/>
    <n v="0"/>
    <n v="0"/>
    <n v="0"/>
    <n v="0"/>
    <n v="0"/>
  </r>
  <r>
    <x v="21"/>
    <x v="10"/>
    <n v="0"/>
    <x v="1"/>
    <s v="Østdanmark"/>
    <n v="565408.05688718066"/>
    <n v="0"/>
    <n v="0"/>
    <n v="106960.41463921656"/>
    <n v="0"/>
    <n v="0"/>
    <n v="0"/>
    <n v="0"/>
    <n v="458447.6422479641"/>
    <n v="0"/>
    <n v="0"/>
    <n v="0"/>
    <n v="0"/>
    <n v="0"/>
    <n v="0"/>
    <n v="0"/>
    <n v="0"/>
    <n v="0"/>
    <n v="0"/>
  </r>
  <r>
    <x v="22"/>
    <x v="5"/>
    <n v="1"/>
    <x v="1"/>
    <s v="Østdanmark"/>
    <n v="1535711.1993976305"/>
    <n v="550714.69493164914"/>
    <n v="0"/>
    <n v="256234.83946537593"/>
    <n v="919.8552163538659"/>
    <n v="0"/>
    <n v="0"/>
    <n v="0"/>
    <n v="727841.8097842515"/>
    <n v="679394.36200410523"/>
    <n v="919.8552163538659"/>
    <n v="2.3268305746533802"/>
    <n v="2.329980949989662"/>
    <n v="3.1503753362817017E-3"/>
    <n v="2.3268305746533802"/>
    <n v="210612.25222127262"/>
    <n v="210897.40733834234"/>
    <n v="285.15511706969841"/>
    <n v="210612.25222127265"/>
  </r>
  <r>
    <x v="23"/>
    <x v="10"/>
    <n v="0"/>
    <x v="1"/>
    <s v="Østdanmark"/>
    <n v="0"/>
    <n v="0"/>
    <n v="0"/>
    <n v="0"/>
    <n v="0"/>
    <n v="298971.86331119167"/>
    <n v="0"/>
    <n v="0"/>
    <n v="-298971.86331119167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53673.50359972543"/>
    <n v="184557.83453324181"/>
    <n v="0"/>
    <n v="0"/>
    <n v="0"/>
    <n v="0"/>
    <n v="553673.50359972543"/>
    <n v="0"/>
    <n v="0.28026399078714503"/>
    <n v="0.28026399078714503"/>
    <n v="0"/>
    <n v="0"/>
    <n v="42079.186273579129"/>
    <n v="42079.186273579129"/>
    <n v="0"/>
  </r>
  <r>
    <x v="25"/>
    <x v="10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</r>
  <r>
    <x v="26"/>
    <x v="4"/>
    <n v="1"/>
    <x v="1"/>
    <s v="Østdanmark"/>
    <n v="1230934.043362923"/>
    <n v="528461.76331446774"/>
    <n v="0"/>
    <n v="0"/>
    <n v="77888.653043517654"/>
    <n v="0"/>
    <n v="0"/>
    <n v="0"/>
    <n v="624583.62700493762"/>
    <n v="5684.6701463077916"/>
    <n v="77888.653043517654"/>
    <n v="2.0407965825244973E-2"/>
    <n v="0.30002823025147335"/>
    <n v="0.27962026442622839"/>
    <n v="2.0407965825244956E-2"/>
    <n v="1705.4010438923374"/>
    <n v="25071.996956947634"/>
    <n v="23366.595913055295"/>
    <n v="1705.4010438923397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00607.72383924882"/>
    <n v="0"/>
    <n v="0"/>
    <n v="0"/>
    <n v="0"/>
    <n v="0"/>
    <n v="0"/>
    <n v="0"/>
    <n v="400607.72383924882"/>
    <n v="0"/>
    <n v="0"/>
    <n v="0"/>
    <n v="0"/>
    <n v="0"/>
    <n v="0"/>
    <n v="0"/>
    <n v="0"/>
    <n v="0"/>
    <n v="0"/>
  </r>
  <r>
    <x v="31"/>
    <x v="7"/>
    <n v="1"/>
    <x v="1"/>
    <s v="Østdanmark"/>
    <n v="66681.39344549182"/>
    <n v="0"/>
    <n v="0"/>
    <n v="0"/>
    <n v="0"/>
    <n v="0"/>
    <n v="66681.39344549182"/>
    <n v="0"/>
    <n v="0"/>
    <n v="0"/>
    <n v="66681.39344549182"/>
    <n v="0"/>
    <n v="1.2269376393970493"/>
    <n v="0"/>
    <n v="1.2269376393970493"/>
    <n v="0"/>
    <n v="27672.778279879109"/>
    <n v="0"/>
    <n v="27672.778279879109"/>
  </r>
  <r>
    <x v="32"/>
    <x v="8"/>
    <n v="1"/>
    <x v="1"/>
    <s v="Østdanmark"/>
    <n v="155826.31994563958"/>
    <n v="0"/>
    <n v="0"/>
    <n v="0"/>
    <n v="0"/>
    <n v="0"/>
    <n v="155826.31994563958"/>
    <n v="0"/>
    <n v="0"/>
    <n v="0"/>
    <n v="155826.31994563958"/>
    <n v="0"/>
    <n v="1.396426435741424"/>
    <n v="0"/>
    <n v="1.396426435741424"/>
    <n v="0"/>
    <n v="0"/>
    <n v="0"/>
    <n v="0"/>
  </r>
  <r>
    <x v="33"/>
    <x v="8"/>
    <n v="1"/>
    <x v="1"/>
    <s v="Østdanmark"/>
    <n v="38956.579986409895"/>
    <n v="0"/>
    <n v="0"/>
    <n v="0"/>
    <n v="0"/>
    <n v="0"/>
    <n v="38956.579986409895"/>
    <n v="0"/>
    <n v="0"/>
    <n v="0"/>
    <n v="38956.579986409895"/>
    <n v="0"/>
    <n v="1.2960297638907334"/>
    <n v="0"/>
    <n v="1.2960297638907334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34695.12994987622"/>
    <n v="0"/>
    <n v="0"/>
    <n v="0"/>
    <n v="0"/>
    <n v="0"/>
    <n v="0"/>
    <n v="234695.1299498762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17347.56497493811"/>
    <n v="19658.870107237683"/>
    <n v="0"/>
    <n v="0"/>
    <n v="0"/>
    <n v="0"/>
    <n v="0"/>
    <n v="0"/>
    <n v="97688.694867700426"/>
    <n v="0"/>
    <n v="0"/>
    <n v="0"/>
    <n v="0"/>
    <n v="0"/>
    <n v="0"/>
    <n v="0"/>
    <n v="0"/>
    <n v="0"/>
    <n v="0"/>
  </r>
  <r>
    <x v="37"/>
    <x v="9"/>
    <n v="1"/>
    <x v="1"/>
    <s v="Østdanmark"/>
    <n v="75102.44158396039"/>
    <n v="0"/>
    <n v="0"/>
    <n v="0"/>
    <n v="0"/>
    <n v="0"/>
    <n v="75102.44158396039"/>
    <n v="0"/>
    <n v="0"/>
    <n v="0"/>
    <n v="75102.44158396039"/>
    <n v="0"/>
    <n v="2.6285854554386132"/>
    <n v="0"/>
    <n v="2.6285854554386132"/>
    <n v="0"/>
    <n v="0"/>
    <n v="0"/>
    <n v="0"/>
  </r>
  <r>
    <x v="38"/>
    <x v="4"/>
    <n v="1"/>
    <x v="1"/>
    <s v="Østdanmark"/>
    <n v="224108.96073862392"/>
    <n v="81355.565263148092"/>
    <n v="0"/>
    <n v="0"/>
    <n v="7250.6573323098974"/>
    <n v="0"/>
    <n v="0"/>
    <n v="0"/>
    <n v="135502.73814316595"/>
    <n v="105480.10532489244"/>
    <n v="7250.6573323098974"/>
    <n v="0.28627722505597109"/>
    <n v="0.30595579908215342"/>
    <n v="1.9678574026182356E-2"/>
    <n v="0.28627722505597109"/>
    <n v="21096.021064978489"/>
    <n v="22546.152531440472"/>
    <n v="1450.1314664619795"/>
    <n v="21096.021064978493"/>
  </r>
  <r>
    <x v="39"/>
    <x v="10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</r>
  <r>
    <x v="40"/>
    <x v="10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</r>
  <r>
    <x v="42"/>
    <x v="2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</r>
  <r>
    <x v="43"/>
    <x v="10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8116.49103494617"/>
    <n v="0"/>
    <n v="0"/>
    <n v="0"/>
    <n v="0"/>
    <n v="0"/>
    <n v="648116.49103494617"/>
    <n v="0"/>
    <n v="0"/>
    <n v="0"/>
    <n v="648116.49103494617"/>
    <n v="0"/>
    <n v="9.3935210185437228"/>
    <n v="0"/>
    <n v="9.3935210185437228"/>
    <n v="0"/>
    <n v="320547.61452436709"/>
    <n v="0"/>
    <n v="320547.61452436709"/>
  </r>
  <r>
    <x v="47"/>
    <x v="10"/>
    <n v="0"/>
    <x v="1"/>
    <s v="Østdanmark"/>
    <n v="178393.88316623261"/>
    <n v="0"/>
    <n v="0"/>
    <n v="0"/>
    <n v="0"/>
    <n v="0"/>
    <n v="0"/>
    <n v="178393.88316623261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172969.00798479689"/>
    <n v="3823.0915711153852"/>
    <n v="0"/>
    <n v="88596.006060305852"/>
    <n v="0"/>
    <n v="0"/>
    <n v="0"/>
    <n v="0"/>
    <n v="80549.9103533756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9356590.48091067"/>
    <n v="0"/>
    <n v="0"/>
    <n v="0"/>
    <n v="0"/>
    <n v="0"/>
    <n v="129356590.48091067"/>
    <n v="0"/>
    <n v="0"/>
    <n v="0"/>
    <n v="129356590.48091067"/>
    <n v="0"/>
    <n v="0"/>
    <n v="0"/>
    <n v="0"/>
    <n v="0"/>
    <n v="0"/>
    <n v="0"/>
    <n v="0"/>
  </r>
  <r>
    <x v="4"/>
    <x v="10"/>
    <n v="0"/>
    <x v="2"/>
    <s v="Østdanmark"/>
    <n v="4444390.8914948301"/>
    <n v="0"/>
    <n v="0"/>
    <n v="0"/>
    <n v="0"/>
    <n v="3135697.1726427898"/>
    <n v="0"/>
    <n v="0"/>
    <n v="1308693.7188520404"/>
    <n v="0"/>
    <n v="0"/>
    <n v="0"/>
    <n v="0"/>
    <n v="0"/>
    <n v="0"/>
    <n v="0"/>
    <n v="0"/>
    <n v="0"/>
    <n v="0"/>
  </r>
  <r>
    <x v="5"/>
    <x v="1"/>
    <n v="1"/>
    <x v="2"/>
    <s v="Østdanmark"/>
    <n v="194582.730818151"/>
    <n v="0"/>
    <n v="0"/>
    <n v="0"/>
    <n v="145937.04811361324"/>
    <n v="0"/>
    <n v="0"/>
    <n v="0"/>
    <n v="48645.682704537758"/>
    <n v="48645.682704537758"/>
    <n v="145937.04811361324"/>
    <n v="2.7632016306687129E-2"/>
    <n v="0.1105280652267485"/>
    <n v="8.2896048920061374E-2"/>
    <n v="2.7632016306687129E-2"/>
    <n v="2080.2541825406252"/>
    <n v="8321.0167301625006"/>
    <n v="6240.7625476218745"/>
    <n v="2080.2541825406261"/>
  </r>
  <r>
    <x v="6"/>
    <x v="2"/>
    <n v="1"/>
    <x v="2"/>
    <s v="Østdanmark"/>
    <n v="194332.65736576461"/>
    <n v="0"/>
    <n v="0"/>
    <n v="0"/>
    <n v="174899.39162918815"/>
    <n v="7356.8791717039439"/>
    <n v="0"/>
    <n v="0"/>
    <n v="12076.386564872519"/>
    <n v="12076.386564872519"/>
    <n v="174899.39162918815"/>
    <n v="2.6012536660735407E-2"/>
    <n v="0.40274582623000665"/>
    <n v="0.37673328956927127"/>
    <n v="2.6012536660735386E-2"/>
    <n v="3622.9159694617556"/>
    <n v="56092.733458218201"/>
    <n v="52469.817488756446"/>
    <n v="3622.9159694617556"/>
  </r>
  <r>
    <x v="7"/>
    <x v="10"/>
    <n v="0"/>
    <x v="2"/>
    <s v="Østdanmark"/>
    <n v="137052.04026150002"/>
    <n v="136538.9846826923"/>
    <n v="0"/>
    <n v="0"/>
    <n v="0"/>
    <n v="0"/>
    <n v="0"/>
    <n v="0"/>
    <n v="513.0555788077181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</r>
  <r>
    <x v="10"/>
    <x v="10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</r>
  <r>
    <x v="11"/>
    <x v="10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931884.6041549444"/>
    <n v="767011.16794249229"/>
    <n v="0"/>
    <n v="0"/>
    <n v="0"/>
    <n v="0"/>
    <n v="0"/>
    <n v="398202.90492095106"/>
    <n v="1766670.5312915011"/>
    <n v="266828.64342463715"/>
    <n v="0"/>
    <n v="0.49093135032090429"/>
    <n v="0.49093135032090429"/>
    <n v="0"/>
    <n v="0.49093135032090429"/>
    <n v="74712.020158898405"/>
    <n v="74712.020158898405"/>
    <n v="0"/>
    <n v="74712.020158898405"/>
  </r>
  <r>
    <x v="14"/>
    <x v="10"/>
    <n v="0"/>
    <x v="2"/>
    <s v="Østdanmark"/>
    <n v="66568.133841300005"/>
    <n v="66568.13384130000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17398.39981790849"/>
    <n v="0"/>
    <n v="0"/>
    <n v="244869.51675001203"/>
    <n v="0"/>
    <n v="0"/>
    <n v="0"/>
    <n v="0"/>
    <n v="-127471.11693210354"/>
    <n v="0"/>
    <n v="0"/>
    <n v="0"/>
    <n v="0"/>
    <n v="0"/>
    <n v="0"/>
    <n v="0"/>
    <n v="0"/>
    <n v="0"/>
    <n v="0"/>
  </r>
  <r>
    <x v="16"/>
    <x v="5"/>
    <n v="1"/>
    <x v="2"/>
    <s v="Østdanmark"/>
    <n v="630610.47583601228"/>
    <n v="47947.551595505945"/>
    <n v="51992.644823495335"/>
    <n v="0"/>
    <n v="0"/>
    <n v="0"/>
    <n v="7002.3670705014374"/>
    <n v="445276.17331769242"/>
    <n v="78391.739028817159"/>
    <n v="0"/>
    <n v="7002.3670705014374"/>
    <n v="0"/>
    <n v="7.2375109956234487E-2"/>
    <n v="0"/>
    <n v="7.2375109956234487E-2"/>
    <n v="0"/>
    <n v="5952.0120099262213"/>
    <n v="0"/>
    <n v="5952.01200992622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245291.86702362169"/>
    <n v="0"/>
    <n v="0"/>
    <n v="0"/>
    <n v="-60470.260555298446"/>
    <n v="0"/>
    <n v="245291.86702362169"/>
    <n v="0"/>
    <n v="0.90344931559265607"/>
    <n v="0.90344931559265607"/>
    <n v="0"/>
    <n v="0"/>
    <n v="103022.58414992111"/>
    <n v="103022.58414992111"/>
    <n v="0"/>
  </r>
  <r>
    <x v="20"/>
    <x v="10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</r>
  <r>
    <x v="21"/>
    <x v="10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</r>
  <r>
    <x v="22"/>
    <x v="5"/>
    <n v="1"/>
    <x v="2"/>
    <s v="Østdanmark"/>
    <n v="1422520.7615932694"/>
    <n v="368193.1930872486"/>
    <n v="0"/>
    <n v="268249.01834925939"/>
    <n v="1007.9394649217019"/>
    <n v="0"/>
    <n v="0"/>
    <n v="0"/>
    <n v="785070.61069183971"/>
    <n v="785070.61069183971"/>
    <n v="1007.9394649217019"/>
    <n v="2.6887569317340545"/>
    <n v="2.6922089832898863"/>
    <n v="3.4520515558317407E-3"/>
    <n v="2.6887569317340545"/>
    <n v="243371.88931447032"/>
    <n v="243684.35054859603"/>
    <n v="312.46123412572757"/>
    <n v="243371.88931447032"/>
  </r>
  <r>
    <x v="23"/>
    <x v="10"/>
    <n v="0"/>
    <x v="2"/>
    <s v="Østdanmark"/>
    <n v="0"/>
    <n v="0"/>
    <n v="0"/>
    <n v="0"/>
    <n v="0"/>
    <n v="292278.82851604407"/>
    <n v="0"/>
    <n v="0"/>
    <n v="-292278.82851604407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407320.38302962092"/>
    <n v="45257.820336624536"/>
    <n v="0"/>
    <n v="0"/>
    <n v="0"/>
    <n v="0"/>
    <n v="407320.38302962092"/>
    <n v="0"/>
    <n v="0.20618150468576385"/>
    <n v="0.20618150468576385"/>
    <n v="0"/>
    <n v="0"/>
    <n v="30956.349110251191"/>
    <n v="30956.349110251191"/>
    <n v="0"/>
  </r>
  <r>
    <x v="25"/>
    <x v="10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</r>
  <r>
    <x v="26"/>
    <x v="4"/>
    <n v="1"/>
    <x v="2"/>
    <s v="Østdanmark"/>
    <n v="1162586.9095964739"/>
    <n v="353315.47505450371"/>
    <n v="0"/>
    <n v="0"/>
    <n v="87862.083818699844"/>
    <n v="0"/>
    <n v="0"/>
    <n v="0"/>
    <n v="721409.35072327033"/>
    <n v="721409.35072327033"/>
    <n v="87862.083818699844"/>
    <n v="2.5898595690965407"/>
    <n v="2.9052844500056731"/>
    <n v="0.31542488090913245"/>
    <n v="2.5898595690965407"/>
    <n v="216422.8052169811"/>
    <n v="242781.43036259103"/>
    <n v="26358.625145609953"/>
    <n v="216422.80521698107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29926.992547120819"/>
    <n v="0"/>
    <n v="0"/>
    <n v="0"/>
    <n v="0"/>
    <n v="-26274.210773830127"/>
    <n v="0"/>
    <n v="0"/>
    <n v="0"/>
    <n v="0"/>
    <n v="0"/>
    <n v="0"/>
    <n v="0"/>
    <n v="0"/>
    <n v="0"/>
    <n v="0"/>
  </r>
  <r>
    <x v="30"/>
    <x v="10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</r>
  <r>
    <x v="31"/>
    <x v="7"/>
    <n v="1"/>
    <x v="2"/>
    <s v="Østdanmark"/>
    <n v="60719.109564821476"/>
    <n v="0"/>
    <n v="0"/>
    <n v="0"/>
    <n v="0"/>
    <n v="0"/>
    <n v="121438.21912964295"/>
    <n v="0"/>
    <n v="-60719.109564821476"/>
    <n v="0"/>
    <n v="121438.21912964295"/>
    <n v="0"/>
    <n v="2.2344632319854298"/>
    <n v="0"/>
    <n v="2.2344632319854298"/>
    <n v="0"/>
    <n v="50396.86093880183"/>
    <n v="0"/>
    <n v="50396.86093880183"/>
  </r>
  <r>
    <x v="32"/>
    <x v="8"/>
    <n v="1"/>
    <x v="2"/>
    <s v="Østdanmark"/>
    <n v="249354.65705790778"/>
    <n v="0"/>
    <n v="0"/>
    <n v="0"/>
    <n v="0"/>
    <n v="0"/>
    <n v="249354.65705790778"/>
    <n v="0"/>
    <n v="0"/>
    <n v="0"/>
    <n v="249354.65705790778"/>
    <n v="0"/>
    <n v="2.2345739481775073"/>
    <n v="0"/>
    <n v="2.2345739481775073"/>
    <n v="0"/>
    <n v="0"/>
    <n v="0"/>
    <n v="0"/>
  </r>
  <r>
    <x v="33"/>
    <x v="8"/>
    <n v="1"/>
    <x v="2"/>
    <s v="Østdanmark"/>
    <n v="62338.664264476945"/>
    <n v="0"/>
    <n v="0"/>
    <n v="0"/>
    <n v="0"/>
    <n v="0"/>
    <n v="62338.664264476945"/>
    <n v="0"/>
    <n v="0"/>
    <n v="0"/>
    <n v="62338.664264476945"/>
    <n v="0"/>
    <n v="2.0739183048444838"/>
    <n v="0"/>
    <n v="2.0739183048444838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9122.53024554974"/>
    <n v="13143.397523048965"/>
    <n v="0"/>
    <n v="0"/>
    <n v="0"/>
    <n v="0"/>
    <n v="0"/>
    <n v="0"/>
    <n v="95979.132722500784"/>
    <n v="0"/>
    <n v="0"/>
    <n v="0"/>
    <n v="0"/>
    <n v="0"/>
    <n v="0"/>
    <n v="0"/>
    <n v="0"/>
    <n v="0"/>
    <n v="0"/>
  </r>
  <r>
    <x v="37"/>
    <x v="9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</r>
  <r>
    <x v="38"/>
    <x v="4"/>
    <n v="1"/>
    <x v="2"/>
    <s v="Østdanmark"/>
    <n v="202279.77798791436"/>
    <n v="54392.166443596157"/>
    <n v="0"/>
    <n v="0"/>
    <n v="7626.1175136889688"/>
    <n v="0"/>
    <n v="0"/>
    <n v="0"/>
    <n v="140261.49403062923"/>
    <n v="140261.49403062923"/>
    <n v="7626.1175136889688"/>
    <n v="0.38067530525888893"/>
    <n v="0.40137289323574132"/>
    <n v="2.0697587976852408E-2"/>
    <n v="0.38067530525888893"/>
    <n v="28052.298806125847"/>
    <n v="29577.522308863641"/>
    <n v="1525.2235027377938"/>
    <n v="28052.298806125847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2622026.1401572018"/>
    <n v="0"/>
    <n v="0"/>
    <n v="0"/>
    <n v="874008.71338573378"/>
    <n v="874008.71338573378"/>
    <n v="2622026.1401572018"/>
    <n v="0.43613908806661505"/>
    <n v="1.7445563522664607"/>
    <n v="1.3084172641998455"/>
    <n v="0.43613908806661517"/>
    <n v="52440.522803144027"/>
    <n v="209762.09121257614"/>
    <n v="157321.5684094321"/>
    <n v="52440.522803144035"/>
  </r>
  <r>
    <x v="42"/>
    <x v="2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</r>
  <r>
    <x v="43"/>
    <x v="10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9773.75936305185"/>
    <n v="0"/>
    <n v="0"/>
    <n v="0"/>
    <n v="0"/>
    <n v="0"/>
    <n v="0"/>
    <n v="0"/>
    <n v="629773.75936305185"/>
    <n v="629773.75936305185"/>
    <n v="0"/>
    <n v="9.127669373228688"/>
    <n v="9.127669373228688"/>
    <n v="0"/>
    <n v="9.127669373228688"/>
    <n v="311475.6051516427"/>
    <n v="311475.6051516427"/>
    <n v="0"/>
    <n v="311475.6051516427"/>
  </r>
  <r>
    <x v="47"/>
    <x v="10"/>
    <n v="0"/>
    <x v="2"/>
    <s v="Østdanmark"/>
    <n v="179246.53073851895"/>
    <n v="0"/>
    <n v="0"/>
    <n v="0"/>
    <n v="0"/>
    <n v="0"/>
    <n v="0"/>
    <n v="179246.53073851895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5501193.7310524983"/>
    <s v="CO2 - atmosfære"/>
    <x v="0"/>
  </r>
  <r>
    <s v="Vestdanmark"/>
    <x v="1"/>
    <n v="3989123.5513910227"/>
    <s v="Landbrug"/>
    <x v="1"/>
  </r>
  <r>
    <s v="Vestdanmark"/>
    <x v="1"/>
    <n v="3561323.8419950246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23936.112883057391"/>
    <s v="Hav"/>
    <x v="3"/>
  </r>
  <r>
    <s v="Vestdanmark"/>
    <x v="1"/>
    <n v="-2254899.7375412527"/>
    <s v="Skov"/>
    <x v="4"/>
  </r>
  <r>
    <s v="Vestdanmark"/>
    <x v="1"/>
    <n v="-337159.06470198173"/>
    <s v="Biogasanlæg"/>
    <x v="5"/>
  </r>
  <r>
    <s v="Vestdanmark"/>
    <x v="1"/>
    <n v="-471054.80092049856"/>
    <s v="Pyrolyseproces"/>
    <x v="6"/>
  </r>
  <r>
    <s v="Vestdanmark"/>
    <x v="2"/>
    <n v="-18744.91141593724"/>
    <s v="CO2 - atmosfære"/>
    <x v="0"/>
  </r>
  <r>
    <s v="Vestdanmark"/>
    <x v="2"/>
    <n v="2526380.4485877971"/>
    <s v="Landbrug"/>
    <x v="1"/>
  </r>
  <r>
    <s v="Vestdanmark"/>
    <x v="2"/>
    <n v="3073975.5683808057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32111.211335450222"/>
    <s v="Hav"/>
    <x v="3"/>
  </r>
  <r>
    <s v="Vestdanmark"/>
    <x v="2"/>
    <n v="-4647398.7302654954"/>
    <s v="Skov"/>
    <x v="4"/>
  </r>
  <r>
    <s v="Vestdanmark"/>
    <x v="2"/>
    <n v="-251300.26211249206"/>
    <s v="Biogasanlæg"/>
    <x v="5"/>
  </r>
  <r>
    <s v="Vestdanmark"/>
    <x v="2"/>
    <n v="-688383.08421465277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067364.0045117363"/>
    <s v="CO2 - atmosfære"/>
    <x v="0"/>
  </r>
  <r>
    <s v="Østdanmark"/>
    <x v="1"/>
    <n v="350761.43577381992"/>
    <s v="Landbrug"/>
    <x v="1"/>
  </r>
  <r>
    <s v="Østdanmark"/>
    <x v="1"/>
    <n v="1167835.2543604563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674.70029884327505"/>
    <s v="Hav"/>
    <x v="3"/>
  </r>
  <r>
    <s v="Østdanmark"/>
    <x v="1"/>
    <n v="-348869.3119208861"/>
    <s v="Skov"/>
    <x v="4"/>
  </r>
  <r>
    <s v="Østdanmark"/>
    <x v="1"/>
    <n v="-31930.596208224615"/>
    <s v="Biogasanlæg"/>
    <x v="5"/>
  </r>
  <r>
    <s v="Østdanmark"/>
    <x v="1"/>
    <n v="-181611.86574616801"/>
    <s v="Pyrolyseproces"/>
    <x v="6"/>
  </r>
  <r>
    <s v="Østdanmark"/>
    <x v="2"/>
    <n v="355173.99861310259"/>
    <s v="CO2 - atmosfære"/>
    <x v="0"/>
  </r>
  <r>
    <s v="Østdanmark"/>
    <x v="2"/>
    <n v="224630.18771214719"/>
    <s v="Landbrug"/>
    <x v="1"/>
  </r>
  <r>
    <s v="Østdanmark"/>
    <x v="2"/>
    <n v="1115305.0699177778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8067.9044826491263"/>
    <s v="Hav"/>
    <x v="3"/>
  </r>
  <r>
    <s v="Østdanmark"/>
    <x v="2"/>
    <n v="-662123.27023035299"/>
    <s v="Skov"/>
    <x v="4"/>
  </r>
  <r>
    <s v="Østdanmark"/>
    <x v="2"/>
    <n v="-23963.12017950484"/>
    <s v="Biogasanlæg"/>
    <x v="5"/>
  </r>
  <r>
    <s v="Østdanmark"/>
    <x v="2"/>
    <n v="-290616.91578534723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70919.32655032468"/>
    <n v="47085.713440742315"/>
    <n v="0"/>
    <n v="43439.71273733316"/>
    <n v="0"/>
    <n v="0"/>
    <n v="0"/>
    <n v="0"/>
    <n v="480393.9003722491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95731167.19179565"/>
    <n v="0"/>
    <n v="0"/>
    <n v="0"/>
    <n v="0"/>
    <n v="0"/>
    <n v="495731167.19179565"/>
    <n v="0"/>
    <n v="0"/>
    <n v="0"/>
    <n v="495731167.19179565"/>
    <n v="0"/>
    <n v="0"/>
    <n v="0"/>
    <n v="0"/>
    <n v="0"/>
    <n v="0"/>
    <n v="0"/>
    <n v="0"/>
    <n v="0"/>
    <x v="1"/>
  </r>
  <r>
    <x v="4"/>
    <s v=""/>
    <n v="0"/>
    <x v="1"/>
    <s v="Vestdanmark"/>
    <n v="20288522.839408737"/>
    <n v="0"/>
    <n v="0"/>
    <n v="0"/>
    <n v="0"/>
    <n v="16880479.241128754"/>
    <n v="0"/>
    <n v="0"/>
    <n v="3408043.598279982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396507.2594762691"/>
    <n v="0"/>
    <n v="0"/>
    <n v="0"/>
    <n v="1198253.6297381346"/>
    <n v="0"/>
    <n v="0"/>
    <n v="0"/>
    <n v="1198253.6297381346"/>
    <n v="1198253.6297381346"/>
    <n v="1198253.6297381346"/>
    <n v="0.6806393084782959"/>
    <n v="1.3612786169565918"/>
    <n v="0.6806393084782959"/>
    <n v="0.6806393084782959"/>
    <n v="51241.384361838122"/>
    <n v="102482.76872367624"/>
    <n v="51241.384361838122"/>
    <n v="51241.384361838122"/>
    <n v="0"/>
    <x v="0"/>
  </r>
  <r>
    <x v="6"/>
    <s v="Husdyrgødning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  <n v="0"/>
    <x v="0"/>
  </r>
  <r>
    <x v="7"/>
    <s v=""/>
    <n v="0"/>
    <x v="1"/>
    <s v="Vestdanmark"/>
    <n v="1687951.4848605499"/>
    <n v="1681632.6228836535"/>
    <n v="0"/>
    <n v="0"/>
    <n v="0"/>
    <n v="0"/>
    <n v="0"/>
    <n v="0"/>
    <n v="6318.861976896412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91447.52086616959"/>
    <n v="0"/>
    <n v="0"/>
    <n v="0"/>
    <n v="0"/>
    <n v="0"/>
    <n v="0"/>
    <n v="0"/>
    <n v="991447.5208661695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69515.73753753565"/>
    <n v="0"/>
    <n v="0"/>
    <n v="257923.29437791562"/>
    <n v="0"/>
    <n v="0"/>
    <n v="0"/>
    <n v="0"/>
    <n v="-188407.55684037996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0811669.206179742"/>
    <n v="9446613.3985518552"/>
    <n v="0"/>
    <n v="0"/>
    <n v="0"/>
    <n v="0"/>
    <n v="0"/>
    <n v="4904320.894126229"/>
    <n v="-3539265.0864983425"/>
    <n v="0"/>
    <n v="0"/>
    <n v="0"/>
    <n v="0"/>
    <n v="0"/>
    <n v="0"/>
    <n v="0"/>
    <n v="0"/>
    <n v="0"/>
    <n v="0"/>
    <n v="1"/>
    <x v="1"/>
  </r>
  <r>
    <x v="14"/>
    <s v=""/>
    <n v="0"/>
    <x v="1"/>
    <s v="Vestdanmark"/>
    <n v="819862.14978940994"/>
    <n v="819862.14978940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378724.85097057559"/>
    <n v="0"/>
    <n v="0"/>
    <n v="270140.71358529059"/>
    <n v="0"/>
    <n v="0"/>
    <n v="0"/>
    <n v="0"/>
    <n v="108584.13738528499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115369.6842220044"/>
    <n v="590528.53760249668"/>
    <n v="548687.13677357347"/>
    <n v="0"/>
    <n v="0"/>
    <n v="0"/>
    <n v="254415.29546314781"/>
    <n v="721738.71438278642"/>
    <n v="0"/>
    <n v="0"/>
    <n v="254415.29546314781"/>
    <n v="0"/>
    <n v="2.6295872236207458"/>
    <n v="0"/>
    <n v="2.6295872236207458"/>
    <n v="0"/>
    <n v="216253.00114367562"/>
    <n v="0"/>
    <n v="216253.00114367562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  <n v="1"/>
    <x v="1"/>
  </r>
  <r>
    <x v="20"/>
    <s v=""/>
    <n v="0"/>
    <x v="1"/>
    <s v="Vestdanmark"/>
    <n v="832506.49987193861"/>
    <n v="0"/>
    <n v="0"/>
    <n v="0"/>
    <n v="0"/>
    <n v="0"/>
    <n v="0"/>
    <n v="0"/>
    <n v="832506.49987193861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6381.255966713"/>
    <n v="0"/>
    <n v="0"/>
    <n v="123531.68309679118"/>
    <n v="0"/>
    <n v="0"/>
    <n v="0"/>
    <n v="0"/>
    <n v="1662849.57286992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85068.9598603025"/>
    <n v="4534717.2198337205"/>
    <n v="0"/>
    <n v="295933.04302308214"/>
    <n v="2866.1447836461339"/>
    <n v="0"/>
    <n v="0"/>
    <n v="0"/>
    <n v="-48447.447780146264"/>
    <n v="0"/>
    <n v="2866.1447836461339"/>
    <n v="0"/>
    <n v="9.8161446237182998E-3"/>
    <n v="9.8161446237182998E-3"/>
    <n v="0"/>
    <n v="0"/>
    <n v="888.50488293030151"/>
    <n v="888.50488293030151"/>
    <n v="0"/>
    <n v="0"/>
    <x v="0"/>
  </r>
  <r>
    <x v="23"/>
    <s v=""/>
    <n v="0"/>
    <x v="1"/>
    <s v="Vestdanmark"/>
    <n v="0"/>
    <n v="0"/>
    <n v="0"/>
    <n v="0"/>
    <n v="0"/>
    <n v="479558.1969775256"/>
    <n v="0"/>
    <n v="0"/>
    <n v="-479558.19697752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790098.0268014707"/>
    <n v="2596699.342267157"/>
    <n v="0"/>
    <n v="0"/>
    <n v="0"/>
    <n v="0"/>
    <n v="7790098.0268014707"/>
    <n v="0"/>
    <n v="3.9432697201866369"/>
    <n v="3.9432697201866369"/>
    <n v="0"/>
    <n v="0"/>
    <n v="592047.45003691176"/>
    <n v="592047.45003691176"/>
    <n v="0"/>
    <n v="0"/>
    <x v="1"/>
  </r>
  <r>
    <x v="25"/>
    <s v="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3984719.6201805831"/>
    <n v="4351481.2300827308"/>
    <n v="0"/>
    <n v="0"/>
    <n v="252137.34695648224"/>
    <n v="0"/>
    <n v="0"/>
    <n v="0"/>
    <n v="-618898.95685862983"/>
    <n v="0"/>
    <n v="252137.34695648224"/>
    <n v="0"/>
    <n v="0.90517307557377136"/>
    <n v="0.90517307557377136"/>
    <n v="0"/>
    <n v="0"/>
    <n v="75641.204086944665"/>
    <n v="75641.204086944665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254211.7913728904"/>
    <n v="0"/>
    <n v="0"/>
    <n v="0"/>
    <n v="0"/>
    <n v="0"/>
    <n v="0"/>
    <n v="0"/>
    <n v="1254211.791372890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215758.44874789647"/>
    <n v="0"/>
    <n v="0"/>
    <n v="0"/>
    <n v="0"/>
    <n v="0"/>
    <n v="215758.44874789647"/>
    <n v="0"/>
    <n v="0"/>
    <n v="0"/>
    <n v="215758.44874789647"/>
    <n v="0"/>
    <n v="3.9699554569612943"/>
    <n v="0"/>
    <n v="3.9699554569612943"/>
    <n v="0"/>
    <n v="89539.756230377039"/>
    <n v="0"/>
    <n v="89539.756230377039"/>
    <n v="0"/>
    <x v="1"/>
  </r>
  <r>
    <x v="32"/>
    <s v="Pyrolyseprodukter"/>
    <n v="1"/>
    <x v="1"/>
    <s v="Vestdanmark"/>
    <n v="404173.68005436042"/>
    <n v="0"/>
    <n v="0"/>
    <n v="0"/>
    <n v="0"/>
    <n v="0"/>
    <n v="404173.68005436042"/>
    <n v="0"/>
    <n v="0"/>
    <n v="0"/>
    <n v="404173.68005436042"/>
    <n v="0"/>
    <n v="3.6219735642585746"/>
    <n v="0"/>
    <n v="3.6219735642585746"/>
    <n v="0"/>
    <n v="0"/>
    <n v="0"/>
    <n v="0"/>
    <n v="0"/>
    <x v="1"/>
  </r>
  <r>
    <x v="33"/>
    <s v="Pyrolyseprodukter"/>
    <n v="1"/>
    <x v="1"/>
    <s v="Vestdanmark"/>
    <n v="101043.4200135901"/>
    <n v="0"/>
    <n v="0"/>
    <n v="0"/>
    <n v="0"/>
    <n v="0"/>
    <n v="101043.4200135901"/>
    <n v="0"/>
    <n v="0"/>
    <n v="0"/>
    <n v="101043.4200135901"/>
    <n v="0"/>
    <n v="3.3615702361092654"/>
    <n v="0"/>
    <n v="3.3615702361092654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720643.86826877412"/>
    <n v="0"/>
    <n v="0"/>
    <n v="0"/>
    <n v="0"/>
    <n v="0"/>
    <n v="0"/>
    <n v="720643.8682687741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60321.93413438706"/>
    <n v="161875.86352463221"/>
    <n v="0"/>
    <n v="0"/>
    <n v="0"/>
    <n v="0"/>
    <n v="0"/>
    <n v="0"/>
    <n v="198446.0706097548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30606.03784600773"/>
    <n v="0"/>
    <n v="0"/>
    <n v="0"/>
    <n v="0"/>
    <n v="0"/>
    <n v="230606.03784600773"/>
    <n v="0"/>
    <n v="0"/>
    <n v="0"/>
    <n v="230606.03784600773"/>
    <n v="0"/>
    <n v="8.0712113246102692"/>
    <n v="0"/>
    <n v="8.0712113246102692"/>
    <n v="0"/>
    <n v="0"/>
    <n v="0"/>
    <n v="0"/>
    <n v="0"/>
    <x v="1"/>
  </r>
  <r>
    <x v="38"/>
    <s v="Græs og urter"/>
    <n v="1"/>
    <x v="1"/>
    <s v="Vestdanmark"/>
    <n v="661272.99652906856"/>
    <n v="669901.28667965194"/>
    <n v="0"/>
    <n v="0"/>
    <n v="21394.342667690107"/>
    <n v="0"/>
    <n v="0"/>
    <n v="0"/>
    <n v="-30022.632818273501"/>
    <n v="0"/>
    <n v="21394.342667690107"/>
    <n v="0"/>
    <n v="5.8065101773817657E-2"/>
    <n v="5.8065101773817657E-2"/>
    <n v="0"/>
    <n v="0"/>
    <n v="4278.8685335380214"/>
    <n v="4278.8685335380214"/>
    <n v="0"/>
    <n v="0"/>
    <x v="0"/>
  </r>
  <r>
    <x v="39"/>
    <s v="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n v="0"/>
    <x v="0"/>
  </r>
  <r>
    <x v="42"/>
    <s v="Husdyrgødning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  <n v="0"/>
    <x v="1"/>
  </r>
  <r>
    <x v="43"/>
    <s v="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8556.3906758497"/>
    <n v="0"/>
    <n v="0"/>
    <n v="0"/>
    <n v="0"/>
    <n v="0"/>
    <n v="2228556.3906758497"/>
    <n v="0"/>
    <n v="0"/>
    <n v="0"/>
    <n v="2228556.3906758497"/>
    <n v="0"/>
    <n v="32.299735597523586"/>
    <n v="0"/>
    <n v="32.299735597523586"/>
    <n v="0"/>
    <n v="1102206.848221764"/>
    <n v="0"/>
    <n v="1102206.848221764"/>
    <n v="0"/>
    <x v="1"/>
  </r>
  <r>
    <x v="47"/>
    <s v=""/>
    <n v="0"/>
    <x v="1"/>
    <s v="Vestdanmark"/>
    <n v="614281.02378706157"/>
    <n v="0"/>
    <n v="0"/>
    <n v="0"/>
    <n v="0"/>
    <n v="0"/>
    <n v="0"/>
    <n v="614281.0237870615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476733.07017285493"/>
    <n v="31434.479653499999"/>
    <n v="0"/>
    <n v="101549.90665933446"/>
    <n v="0"/>
    <n v="0"/>
    <n v="0"/>
    <n v="0"/>
    <n v="343748.6838600204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41087049.47009271"/>
    <n v="0"/>
    <n v="0"/>
    <n v="0"/>
    <n v="0"/>
    <n v="0"/>
    <n v="441087049.47009271"/>
    <n v="0"/>
    <n v="0"/>
    <n v="0"/>
    <n v="441087049.47009271"/>
    <n v="0"/>
    <n v="0"/>
    <n v="0"/>
    <n v="0"/>
    <n v="0"/>
    <n v="0"/>
    <n v="0"/>
    <n v="0"/>
    <n v="0"/>
    <x v="1"/>
  </r>
  <r>
    <x v="4"/>
    <s v=""/>
    <n v="0"/>
    <x v="2"/>
    <s v="Vestdanmark"/>
    <n v="17326468.088146493"/>
    <n v="0"/>
    <n v="0"/>
    <n v="0"/>
    <n v="0"/>
    <n v="12224522.62240437"/>
    <n v="0"/>
    <n v="0"/>
    <n v="5101945.465742122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99911.1658842943"/>
    <n v="0"/>
    <n v="0"/>
    <n v="0"/>
    <n v="1199933.3744132207"/>
    <n v="0"/>
    <n v="0"/>
    <n v="0"/>
    <n v="399977.79147107364"/>
    <n v="399977.79147107364"/>
    <n v="1199933.3744132207"/>
    <n v="0.2271978157521149"/>
    <n v="0.90879126300845936"/>
    <n v="0.68159344725634452"/>
    <n v="0.22719781575211484"/>
    <n v="17104.405311459373"/>
    <n v="68417.621245837479"/>
    <n v="51313.21593437811"/>
    <n v="17104.40531145937"/>
    <n v="0"/>
    <x v="0"/>
  </r>
  <r>
    <x v="6"/>
    <s v="Husdyrgødning"/>
    <n v="1"/>
    <x v="2"/>
    <s v="Vestdanmark"/>
    <n v="1458137.3135203668"/>
    <n v="0"/>
    <n v="0"/>
    <n v="0"/>
    <n v="1312323.5821683302"/>
    <n v="55200.91258327102"/>
    <n v="0"/>
    <n v="0"/>
    <n v="90612.818768765545"/>
    <n v="90612.818768765545"/>
    <n v="1312323.5821683302"/>
    <n v="0.19518001162792098"/>
    <n v="3.0219250076185045"/>
    <n v="2.8267449959905835"/>
    <n v="0.19518001162792098"/>
    <n v="27183.845630629661"/>
    <n v="420880.92028112873"/>
    <n v="393697.07465049904"/>
    <n v="27183.845630629687"/>
    <n v="0"/>
    <x v="0"/>
  </r>
  <r>
    <x v="7"/>
    <s v=""/>
    <n v="0"/>
    <x v="2"/>
    <s v="Vestdanmark"/>
    <n v="1126878.4675784998"/>
    <n v="1122659.9876249996"/>
    <n v="0"/>
    <n v="0"/>
    <n v="0"/>
    <n v="0"/>
    <n v="0"/>
    <n v="0"/>
    <n v="4218.479953500209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8080859.3284295592"/>
    <n v="6306570.6128669288"/>
    <n v="0"/>
    <n v="0"/>
    <n v="0"/>
    <n v="0"/>
    <n v="0"/>
    <n v="3274130.6034294944"/>
    <n v="-1499841.887866864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47340.96996669995"/>
    <n v="547340.9699666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323570.52487821685"/>
    <n v="0"/>
    <n v="0"/>
    <n v="280672.65868343826"/>
    <n v="0"/>
    <n v="0"/>
    <n v="0"/>
    <n v="0"/>
    <n v="42897.86619477858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1738074.2627217553"/>
    <n v="394237.57109337207"/>
    <n v="367504.60397489293"/>
    <n v="0"/>
    <n v="0"/>
    <n v="0"/>
    <n v="0"/>
    <n v="1054723.8266823078"/>
    <n v="-78391.739028817508"/>
    <n v="0"/>
    <n v="0"/>
    <n v="0"/>
    <n v="0"/>
    <n v="0"/>
    <n v="0"/>
    <n v="0"/>
    <n v="0"/>
    <n v="0"/>
    <n v="0"/>
    <n v="1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477740.13297637849"/>
    <n v="0"/>
    <n v="0"/>
    <n v="0"/>
    <n v="-117774.26895292255"/>
    <n v="0"/>
    <n v="477740.13297637849"/>
    <n v="0"/>
    <n v="1.7595935870433448"/>
    <n v="1.7595935870433448"/>
    <n v="0"/>
    <n v="0"/>
    <n v="200650.85585007895"/>
    <n v="200650.85585007895"/>
    <n v="0"/>
    <n v="1"/>
    <x v="1"/>
  </r>
  <r>
    <x v="20"/>
    <s v="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2778.0605350782976"/>
    <n v="0"/>
    <n v="0"/>
    <n v="0"/>
    <n v="583089.01482659718"/>
    <n v="583089.01482659718"/>
    <n v="2778.0605350782976"/>
    <n v="1.9969982433190199"/>
    <n v="2.0065127117231882"/>
    <n v="9.5144684041682595E-3"/>
    <n v="1.9969982433190199"/>
    <n v="180757.59459624512"/>
    <n v="181618.79336211938"/>
    <n v="861.19876587427223"/>
    <n v="180757.59459624512"/>
    <n v="0"/>
    <x v="0"/>
  </r>
  <r>
    <x v="23"/>
    <s v=""/>
    <n v="0"/>
    <x v="2"/>
    <s v="Vestdanmark"/>
    <n v="0"/>
    <n v="0"/>
    <n v="0"/>
    <n v="0"/>
    <n v="0"/>
    <n v="605816.97301957663"/>
    <n v="0"/>
    <n v="0"/>
    <n v="-605816.973019576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5730932.9261474209"/>
    <n v="636770.32512749103"/>
    <n v="0"/>
    <n v="0"/>
    <n v="0"/>
    <n v="0"/>
    <n v="5730932.9261474209"/>
    <n v="0"/>
    <n v="2.9009409378865634"/>
    <n v="2.9009409378865634"/>
    <n v="0"/>
    <n v="0"/>
    <n v="435550.902387204"/>
    <n v="435550.902387204"/>
    <n v="0"/>
    <n v="0"/>
    <x v="1"/>
  </r>
  <r>
    <x v="25"/>
    <s v="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3204301.4084430053"/>
    <n v="2905054.1702372115"/>
    <n v="0"/>
    <n v="0"/>
    <n v="242163.91618130018"/>
    <n v="0"/>
    <n v="0"/>
    <n v="0"/>
    <n v="57083.322024493478"/>
    <n v="57083.322024493478"/>
    <n v="242163.91618130018"/>
    <n v="0.20492912606793159"/>
    <n v="1.0742975851587995"/>
    <n v="0.8693684590908678"/>
    <n v="0.20492912606793168"/>
    <n v="17124.996607348043"/>
    <n v="89774.171461738093"/>
    <n v="72649.174854390047"/>
    <n v="17124.996607348046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34302.712220301015"/>
    <n v="0"/>
    <n v="0"/>
    <n v="0"/>
    <n v="0"/>
    <n v="17091.34564853989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  <n v="1"/>
    <x v="1"/>
  </r>
  <r>
    <x v="32"/>
    <s v="Pyrolyseprodukter"/>
    <n v="1"/>
    <x v="2"/>
    <s v="Vestdanmark"/>
    <n v="590645.34294209245"/>
    <n v="0"/>
    <n v="0"/>
    <n v="0"/>
    <n v="0"/>
    <n v="0"/>
    <n v="590645.34294209245"/>
    <n v="0"/>
    <n v="0"/>
    <n v="0"/>
    <n v="590645.34294209245"/>
    <n v="0"/>
    <n v="5.2930260518224923"/>
    <n v="0"/>
    <n v="5.2930260518224923"/>
    <n v="0"/>
    <n v="0"/>
    <n v="0"/>
    <n v="0"/>
    <n v="0"/>
    <x v="1"/>
  </r>
  <r>
    <x v="33"/>
    <s v="Pyrolyseprodukter"/>
    <n v="1"/>
    <x v="2"/>
    <s v="Vestdanmark"/>
    <n v="147661.33573552311"/>
    <n v="0"/>
    <n v="0"/>
    <n v="0"/>
    <n v="0"/>
    <n v="0"/>
    <n v="147661.33573552311"/>
    <n v="0"/>
    <n v="0"/>
    <n v="0"/>
    <n v="147661.33573552311"/>
    <n v="0"/>
    <n v="4.9124816951555159"/>
    <n v="0"/>
    <n v="4.9124816951555159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300760.85856881103"/>
    <n v="108068.52368843651"/>
    <n v="0"/>
    <n v="0"/>
    <n v="0"/>
    <n v="0"/>
    <n v="0"/>
    <n v="0"/>
    <n v="192692.3348803745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  <n v="0"/>
    <x v="1"/>
  </r>
  <r>
    <x v="38"/>
    <s v="Græs og urter"/>
    <n v="1"/>
    <x v="2"/>
    <s v="Vestdanmark"/>
    <n v="557517.61958207632"/>
    <n v="447226.91507024999"/>
    <n v="0"/>
    <n v="0"/>
    <n v="21018.882486311028"/>
    <n v="0"/>
    <n v="0"/>
    <n v="0"/>
    <n v="89271.822025515314"/>
    <n v="89271.822025515314"/>
    <n v="21018.882486311028"/>
    <n v="0.24228729585012959"/>
    <n v="0.29933338367327716"/>
    <n v="5.704608782314758E-2"/>
    <n v="0.24228729585012959"/>
    <n v="17854.364405103064"/>
    <n v="22058.140902365267"/>
    <n v="4203.7764972622053"/>
    <n v="17854.364405103061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046562.3049170515"/>
    <n v="0"/>
    <n v="0"/>
    <n v="0"/>
    <n v="1015520.7683056835"/>
    <n v="1015520.7683056835"/>
    <n v="3046562.3049170515"/>
    <n v="0.50675501859221916"/>
    <n v="2.0270200743688775"/>
    <n v="1.5202650557766582"/>
    <n v="0.50675501859221939"/>
    <n v="60931.246098341006"/>
    <n v="243724.98439336408"/>
    <n v="182793.73829502307"/>
    <n v="60931.246098341013"/>
    <n v="0"/>
    <x v="0"/>
  </r>
  <r>
    <x v="42"/>
    <s v="Husdyrgødning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  <n v="0"/>
    <x v="1"/>
  </r>
  <r>
    <x v="43"/>
    <s v="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354122.6497080862"/>
    <n v="0"/>
    <n v="0"/>
    <n v="0"/>
    <n v="0"/>
    <n v="0"/>
    <n v="2354122.6497080862"/>
    <n v="0"/>
    <n v="0"/>
    <n v="0"/>
    <n v="2354122.6497080862"/>
    <n v="0"/>
    <n v="34.119638824419908"/>
    <n v="0"/>
    <n v="34.119638824419908"/>
    <n v="0"/>
    <n v="1164309.8271681243"/>
    <n v="0"/>
    <n v="1164309.8271681243"/>
    <n v="0"/>
    <x v="0"/>
  </r>
  <r>
    <x v="47"/>
    <s v=""/>
    <n v="0"/>
    <x v="2"/>
    <s v="Vestdanmark"/>
    <n v="695607.30474103929"/>
    <n v="0"/>
    <n v="0"/>
    <n v="0"/>
    <n v="0"/>
    <n v="0"/>
    <n v="0"/>
    <n v="695607.30474103929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4855.04646768686"/>
    <n v="5718.282542457694"/>
    <n v="0"/>
    <n v="37612.453499504722"/>
    <n v="0"/>
    <n v="0"/>
    <n v="0"/>
    <n v="0"/>
    <n v="141524.3104257244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9368116.94983545"/>
    <n v="0"/>
    <n v="0"/>
    <n v="0"/>
    <n v="0"/>
    <n v="0"/>
    <n v="119368116.94983545"/>
    <n v="0"/>
    <n v="0"/>
    <n v="0"/>
    <n v="119368116.94983545"/>
    <n v="0"/>
    <n v="0"/>
    <n v="0"/>
    <n v="0"/>
    <n v="0"/>
    <n v="0"/>
    <n v="0"/>
    <n v="0"/>
    <n v="0"/>
    <x v="1"/>
  </r>
  <r>
    <x v="4"/>
    <s v=""/>
    <n v="0"/>
    <x v="1"/>
    <s v="Østdanmark"/>
    <n v="3958963.2992530242"/>
    <n v="0"/>
    <n v="0"/>
    <n v="0"/>
    <n v="0"/>
    <n v="3293941.0285514342"/>
    <n v="0"/>
    <n v="0"/>
    <n v="665022.2707015899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291041.69021422468"/>
    <n v="0"/>
    <n v="0"/>
    <n v="0"/>
    <n v="145520.84510711234"/>
    <n v="0"/>
    <n v="0"/>
    <n v="0"/>
    <n v="145520.84510711234"/>
    <n v="145520.84510711234"/>
    <n v="145520.84510711234"/>
    <n v="8.2659634759068373E-2"/>
    <n v="0.16531926951813675"/>
    <n v="8.2659634759068373E-2"/>
    <n v="8.2659634759068373E-2"/>
    <n v="6222.9642971518751"/>
    <n v="12445.92859430375"/>
    <n v="6222.9642971518751"/>
    <n v="6222.9642971518751"/>
    <n v="0"/>
    <x v="0"/>
  </r>
  <r>
    <x v="6"/>
    <s v="Husdyrgødning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  <n v="0"/>
    <x v="0"/>
  </r>
  <r>
    <x v="7"/>
    <s v=""/>
    <n v="0"/>
    <x v="1"/>
    <s v="Østdanmark"/>
    <n v="204991.76508265003"/>
    <n v="204224.37651634615"/>
    <n v="0"/>
    <n v="0"/>
    <n v="0"/>
    <n v="0"/>
    <n v="0"/>
    <n v="0"/>
    <n v="767.38856630388182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4054.80391136941"/>
    <n v="0"/>
    <n v="0"/>
    <n v="0"/>
    <n v="0"/>
    <n v="0"/>
    <n v="0"/>
    <n v="0"/>
    <n v="324054.80391136941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22743.632326448162"/>
    <n v="0"/>
    <n v="0"/>
    <n v="223323.94265330929"/>
    <n v="0"/>
    <n v="0"/>
    <n v="0"/>
    <n v="0"/>
    <n v="-200580.31032686113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177849.870254152"/>
    <n v="1147235.5526749862"/>
    <n v="0"/>
    <n v="0"/>
    <n v="0"/>
    <n v="0"/>
    <n v="0"/>
    <n v="595600.88405130478"/>
    <n v="1435013.433527861"/>
    <n v="0"/>
    <n v="0"/>
    <n v="0"/>
    <n v="0"/>
    <n v="0"/>
    <n v="0"/>
    <n v="0"/>
    <n v="0"/>
    <n v="0"/>
    <n v="0"/>
    <n v="1"/>
    <x v="1"/>
  </r>
  <r>
    <x v="14"/>
    <s v=""/>
    <n v="0"/>
    <x v="1"/>
    <s v="Østdanmark"/>
    <n v="99567.428754430017"/>
    <n v="99567.428754430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23940.17641205002"/>
    <n v="0"/>
    <n v="0"/>
    <n v="233902.44520004498"/>
    <n v="0"/>
    <n v="0"/>
    <n v="0"/>
    <n v="0"/>
    <n v="-109962.2687879949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681943.98989157612"/>
    <n v="71716.212427048929"/>
    <n v="77920.551603575906"/>
    <n v="0"/>
    <n v="0"/>
    <n v="0"/>
    <n v="254045.94024373771"/>
    <n v="278261.28561721352"/>
    <n v="0"/>
    <n v="0"/>
    <n v="254045.94024373771"/>
    <n v="0"/>
    <n v="2.6257696396025745"/>
    <n v="0"/>
    <n v="2.6257696396025745"/>
    <n v="0"/>
    <n v="215939.04920717704"/>
    <n v="0"/>
    <n v="215939.0492071770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  <n v="1"/>
    <x v="1"/>
  </r>
  <r>
    <x v="20"/>
    <s v=""/>
    <n v="0"/>
    <x v="1"/>
    <s v="Østdanmark"/>
    <n v="267374.72503848921"/>
    <n v="0"/>
    <n v="0"/>
    <n v="0"/>
    <n v="0"/>
    <n v="0"/>
    <n v="0"/>
    <n v="0"/>
    <n v="267374.72503848921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65408.05688718066"/>
    <n v="0"/>
    <n v="0"/>
    <n v="106960.41463921656"/>
    <n v="0"/>
    <n v="0"/>
    <n v="0"/>
    <n v="0"/>
    <n v="458447.6422479641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5711.1993976305"/>
    <n v="550714.69493164914"/>
    <n v="0"/>
    <n v="256234.83946537593"/>
    <n v="919.8552163538659"/>
    <n v="0"/>
    <n v="0"/>
    <n v="0"/>
    <n v="727841.8097842515"/>
    <n v="679394.36200410523"/>
    <n v="919.8552163538659"/>
    <n v="2.3268305746533802"/>
    <n v="2.329980949989662"/>
    <n v="3.1503753362817017E-3"/>
    <n v="2.3268305746533802"/>
    <n v="210612.25222127262"/>
    <n v="210897.40733834234"/>
    <n v="285.15511706969841"/>
    <n v="210612.25222127265"/>
    <n v="0"/>
    <x v="0"/>
  </r>
  <r>
    <x v="23"/>
    <s v=""/>
    <n v="0"/>
    <x v="1"/>
    <s v="Østdanmark"/>
    <n v="0"/>
    <n v="0"/>
    <n v="0"/>
    <n v="0"/>
    <n v="0"/>
    <n v="298971.86331119167"/>
    <n v="0"/>
    <n v="0"/>
    <n v="-298971.8633111916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53673.50359972543"/>
    <n v="184557.83453324181"/>
    <n v="0"/>
    <n v="0"/>
    <n v="0"/>
    <n v="0"/>
    <n v="553673.50359972543"/>
    <n v="0"/>
    <n v="0.28026399078714503"/>
    <n v="0.28026399078714503"/>
    <n v="0"/>
    <n v="0"/>
    <n v="42079.186273579129"/>
    <n v="42079.186273579129"/>
    <n v="0"/>
    <n v="0"/>
    <x v="1"/>
  </r>
  <r>
    <x v="25"/>
    <s v="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0934.043362923"/>
    <n v="528461.76331446774"/>
    <n v="0"/>
    <n v="0"/>
    <n v="77888.653043517654"/>
    <n v="0"/>
    <n v="0"/>
    <n v="0"/>
    <n v="624583.62700493762"/>
    <n v="5684.6701463077916"/>
    <n v="77888.653043517654"/>
    <n v="2.0407965825244973E-2"/>
    <n v="0.30002823025147335"/>
    <n v="0.27962026442622839"/>
    <n v="2.0407965825244956E-2"/>
    <n v="1705.4010438923374"/>
    <n v="25071.996956947634"/>
    <n v="23366.595913055295"/>
    <n v="1705.4010438923397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00607.72383924882"/>
    <n v="0"/>
    <n v="0"/>
    <n v="0"/>
    <n v="0"/>
    <n v="0"/>
    <n v="0"/>
    <n v="0"/>
    <n v="400607.72383924882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66681.39344549182"/>
    <n v="0"/>
    <n v="0"/>
    <n v="0"/>
    <n v="0"/>
    <n v="0"/>
    <n v="66681.39344549182"/>
    <n v="0"/>
    <n v="0"/>
    <n v="0"/>
    <n v="66681.39344549182"/>
    <n v="0"/>
    <n v="1.2269376393970493"/>
    <n v="0"/>
    <n v="1.2269376393970493"/>
    <n v="0"/>
    <n v="27672.778279879109"/>
    <n v="0"/>
    <n v="27672.778279879109"/>
    <n v="0"/>
    <x v="1"/>
  </r>
  <r>
    <x v="32"/>
    <s v="Pyrolyseprodukter"/>
    <n v="1"/>
    <x v="1"/>
    <s v="Østdanmark"/>
    <n v="155826.31994563958"/>
    <n v="0"/>
    <n v="0"/>
    <n v="0"/>
    <n v="0"/>
    <n v="0"/>
    <n v="155826.31994563958"/>
    <n v="0"/>
    <n v="0"/>
    <n v="0"/>
    <n v="155826.31994563958"/>
    <n v="0"/>
    <n v="1.396426435741424"/>
    <n v="0"/>
    <n v="1.396426435741424"/>
    <n v="0"/>
    <n v="0"/>
    <n v="0"/>
    <n v="0"/>
    <n v="0"/>
    <x v="1"/>
  </r>
  <r>
    <x v="33"/>
    <s v="Pyrolyseprodukter"/>
    <n v="1"/>
    <x v="1"/>
    <s v="Østdanmark"/>
    <n v="38956.579986409895"/>
    <n v="0"/>
    <n v="0"/>
    <n v="0"/>
    <n v="0"/>
    <n v="0"/>
    <n v="38956.579986409895"/>
    <n v="0"/>
    <n v="0"/>
    <n v="0"/>
    <n v="38956.579986409895"/>
    <n v="0"/>
    <n v="1.2960297638907334"/>
    <n v="0"/>
    <n v="1.2960297638907334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34695.12994987622"/>
    <n v="0"/>
    <n v="0"/>
    <n v="0"/>
    <n v="0"/>
    <n v="0"/>
    <n v="0"/>
    <n v="234695.1299498762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17347.56497493811"/>
    <n v="19658.870107237683"/>
    <n v="0"/>
    <n v="0"/>
    <n v="0"/>
    <n v="0"/>
    <n v="0"/>
    <n v="0"/>
    <n v="97688.69486770042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75102.44158396039"/>
    <n v="0"/>
    <n v="0"/>
    <n v="0"/>
    <n v="0"/>
    <n v="0"/>
    <n v="75102.44158396039"/>
    <n v="0"/>
    <n v="0"/>
    <n v="0"/>
    <n v="75102.44158396039"/>
    <n v="0"/>
    <n v="2.6285854554386132"/>
    <n v="0"/>
    <n v="2.6285854554386132"/>
    <n v="0"/>
    <n v="0"/>
    <n v="0"/>
    <n v="0"/>
    <n v="0"/>
    <x v="1"/>
  </r>
  <r>
    <x v="38"/>
    <s v="Græs og urter"/>
    <n v="1"/>
    <x v="1"/>
    <s v="Østdanmark"/>
    <n v="224108.96073862392"/>
    <n v="81355.565263148092"/>
    <n v="0"/>
    <n v="0"/>
    <n v="7250.6573323098974"/>
    <n v="0"/>
    <n v="0"/>
    <n v="0"/>
    <n v="135502.73814316595"/>
    <n v="105480.10532489244"/>
    <n v="7250.6573323098974"/>
    <n v="0.28627722505597109"/>
    <n v="0.30595579908215342"/>
    <n v="1.9678574026182356E-2"/>
    <n v="0.28627722505597109"/>
    <n v="21096.021064978489"/>
    <n v="22546.152531440472"/>
    <n v="1450.1314664619795"/>
    <n v="21096.021064978493"/>
    <n v="0"/>
    <x v="0"/>
  </r>
  <r>
    <x v="39"/>
    <s v="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n v="0"/>
    <x v="0"/>
  </r>
  <r>
    <x v="42"/>
    <s v="Husdyrgødning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  <n v="0"/>
    <x v="1"/>
  </r>
  <r>
    <x v="43"/>
    <s v="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8116.49103494617"/>
    <n v="0"/>
    <n v="0"/>
    <n v="0"/>
    <n v="0"/>
    <n v="0"/>
    <n v="648116.49103494617"/>
    <n v="0"/>
    <n v="0"/>
    <n v="0"/>
    <n v="648116.49103494617"/>
    <n v="0"/>
    <n v="9.3935210185437228"/>
    <n v="0"/>
    <n v="9.3935210185437228"/>
    <n v="0"/>
    <n v="320547.61452436709"/>
    <n v="0"/>
    <n v="320547.61452436709"/>
    <n v="0"/>
    <x v="1"/>
  </r>
  <r>
    <x v="47"/>
    <s v=""/>
    <n v="0"/>
    <x v="1"/>
    <s v="Østdanmark"/>
    <n v="178393.88316623261"/>
    <n v="0"/>
    <n v="0"/>
    <n v="0"/>
    <n v="0"/>
    <n v="0"/>
    <n v="0"/>
    <n v="178393.8831662326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172969.00798479689"/>
    <n v="3823.0915711153852"/>
    <n v="0"/>
    <n v="88596.006060305852"/>
    <n v="0"/>
    <n v="0"/>
    <n v="0"/>
    <n v="0"/>
    <n v="80549.9103533756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9356590.48091067"/>
    <n v="0"/>
    <n v="0"/>
    <n v="0"/>
    <n v="0"/>
    <n v="0"/>
    <n v="129356590.48091067"/>
    <n v="0"/>
    <n v="0"/>
    <n v="0"/>
    <n v="129356590.48091067"/>
    <n v="0"/>
    <n v="0"/>
    <n v="0"/>
    <n v="0"/>
    <n v="0"/>
    <n v="0"/>
    <n v="0"/>
    <n v="0"/>
    <n v="0"/>
    <x v="1"/>
  </r>
  <r>
    <x v="4"/>
    <s v=""/>
    <n v="0"/>
    <x v="2"/>
    <s v="Østdanmark"/>
    <n v="4444390.8914948301"/>
    <n v="0"/>
    <n v="0"/>
    <n v="0"/>
    <n v="0"/>
    <n v="3135697.1726427898"/>
    <n v="0"/>
    <n v="0"/>
    <n v="1308693.71885204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4582.730818151"/>
    <n v="0"/>
    <n v="0"/>
    <n v="0"/>
    <n v="145937.04811361324"/>
    <n v="0"/>
    <n v="0"/>
    <n v="0"/>
    <n v="48645.682704537758"/>
    <n v="48645.682704537758"/>
    <n v="145937.04811361324"/>
    <n v="2.7632016306687129E-2"/>
    <n v="0.1105280652267485"/>
    <n v="8.2896048920061374E-2"/>
    <n v="2.7632016306687129E-2"/>
    <n v="2080.2541825406252"/>
    <n v="8321.0167301625006"/>
    <n v="6240.7625476218745"/>
    <n v="2080.2541825406261"/>
    <n v="0"/>
    <x v="0"/>
  </r>
  <r>
    <x v="6"/>
    <s v="Husdyrgødning"/>
    <n v="1"/>
    <x v="2"/>
    <s v="Østdanmark"/>
    <n v="194332.65736576461"/>
    <n v="0"/>
    <n v="0"/>
    <n v="0"/>
    <n v="174899.39162918815"/>
    <n v="7356.8791717039439"/>
    <n v="0"/>
    <n v="0"/>
    <n v="12076.386564872519"/>
    <n v="12076.386564872519"/>
    <n v="174899.39162918815"/>
    <n v="2.6012536660735407E-2"/>
    <n v="0.40274582623000665"/>
    <n v="0.37673328956927127"/>
    <n v="2.6012536660735386E-2"/>
    <n v="3622.9159694617556"/>
    <n v="56092.733458218201"/>
    <n v="52469.817488756446"/>
    <n v="3622.9159694617556"/>
    <n v="0"/>
    <x v="0"/>
  </r>
  <r>
    <x v="7"/>
    <s v=""/>
    <n v="0"/>
    <x v="2"/>
    <s v="Østdanmark"/>
    <n v="137052.04026150002"/>
    <n v="136538.9846826923"/>
    <n v="0"/>
    <n v="0"/>
    <n v="0"/>
    <n v="0"/>
    <n v="0"/>
    <n v="0"/>
    <n v="513.0555788077181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931884.6041549444"/>
    <n v="767011.16794249229"/>
    <n v="0"/>
    <n v="0"/>
    <n v="0"/>
    <n v="0"/>
    <n v="0"/>
    <n v="398202.90492095106"/>
    <n v="1766670.5312915011"/>
    <n v="266828.64342463715"/>
    <n v="0"/>
    <n v="0.49093135032090429"/>
    <n v="0.49093135032090429"/>
    <n v="0"/>
    <n v="0.49093135032090429"/>
    <n v="74712.020158898405"/>
    <n v="74712.020158898405"/>
    <n v="0"/>
    <n v="74712.020158898405"/>
    <n v="0"/>
    <x v="0"/>
  </r>
  <r>
    <x v="14"/>
    <s v=""/>
    <n v="0"/>
    <x v="2"/>
    <s v="Østdanmark"/>
    <n v="66568.133841300005"/>
    <n v="66568.1338413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17398.39981790849"/>
    <n v="0"/>
    <n v="0"/>
    <n v="244869.51675001203"/>
    <n v="0"/>
    <n v="0"/>
    <n v="0"/>
    <n v="0"/>
    <n v="-127471.1169321035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630610.47583601228"/>
    <n v="47947.551595505945"/>
    <n v="51992.644823495335"/>
    <n v="0"/>
    <n v="0"/>
    <n v="0"/>
    <n v="7002.3670705014374"/>
    <n v="445276.17331769242"/>
    <n v="78391.739028817159"/>
    <n v="0"/>
    <n v="7002.3670705014374"/>
    <n v="0"/>
    <n v="7.2375109956234487E-2"/>
    <n v="0"/>
    <n v="7.2375109956234487E-2"/>
    <n v="0"/>
    <n v="5952.0120099262213"/>
    <n v="0"/>
    <n v="5952.0120099262213"/>
    <n v="1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245291.86702362169"/>
    <n v="0"/>
    <n v="0"/>
    <n v="0"/>
    <n v="-60470.260555298446"/>
    <n v="0"/>
    <n v="245291.86702362169"/>
    <n v="0"/>
    <n v="0.90344931559265607"/>
    <n v="0.90344931559265607"/>
    <n v="0"/>
    <n v="0"/>
    <n v="103022.58414992111"/>
    <n v="103022.58414992111"/>
    <n v="0"/>
    <n v="1"/>
    <x v="1"/>
  </r>
  <r>
    <x v="20"/>
    <s v="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1007.9394649217019"/>
    <n v="0"/>
    <n v="0"/>
    <n v="0"/>
    <n v="785070.61069183971"/>
    <n v="785070.61069183971"/>
    <n v="1007.9394649217019"/>
    <n v="2.6887569317340545"/>
    <n v="2.6922089832898863"/>
    <n v="3.4520515558317407E-3"/>
    <n v="2.6887569317340545"/>
    <n v="243371.88931447032"/>
    <n v="243684.35054859603"/>
    <n v="312.46123412572757"/>
    <n v="243371.88931447032"/>
    <n v="0"/>
    <x v="0"/>
  </r>
  <r>
    <x v="23"/>
    <s v=""/>
    <n v="0"/>
    <x v="2"/>
    <s v="Østdanmark"/>
    <n v="0"/>
    <n v="0"/>
    <n v="0"/>
    <n v="0"/>
    <n v="0"/>
    <n v="292278.82851604407"/>
    <n v="0"/>
    <n v="0"/>
    <n v="-292278.82851604407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407320.38302962092"/>
    <n v="45257.820336624536"/>
    <n v="0"/>
    <n v="0"/>
    <n v="0"/>
    <n v="0"/>
    <n v="407320.38302962092"/>
    <n v="0"/>
    <n v="0.20618150468576385"/>
    <n v="0.20618150468576385"/>
    <n v="0"/>
    <n v="0"/>
    <n v="30956.349110251191"/>
    <n v="30956.349110251191"/>
    <n v="0"/>
    <n v="0"/>
    <x v="1"/>
  </r>
  <r>
    <x v="25"/>
    <s v="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162586.9095964739"/>
    <n v="353315.47505450371"/>
    <n v="0"/>
    <n v="0"/>
    <n v="87862.083818699844"/>
    <n v="0"/>
    <n v="0"/>
    <n v="0"/>
    <n v="721409.35072327033"/>
    <n v="721409.35072327033"/>
    <n v="87862.083818699844"/>
    <n v="2.5898595690965407"/>
    <n v="2.9052844500056731"/>
    <n v="0.31542488090913245"/>
    <n v="2.5898595690965407"/>
    <n v="216422.8052169811"/>
    <n v="242781.43036259103"/>
    <n v="26358.625145609953"/>
    <n v="216422.80521698107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29926.992547120819"/>
    <n v="0"/>
    <n v="0"/>
    <n v="0"/>
    <n v="0"/>
    <n v="-26274.21077383012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60719.109564821476"/>
    <n v="0"/>
    <n v="0"/>
    <n v="0"/>
    <n v="0"/>
    <n v="0"/>
    <n v="121438.21912964295"/>
    <n v="0"/>
    <n v="-60719.109564821476"/>
    <n v="0"/>
    <n v="121438.21912964295"/>
    <n v="0"/>
    <n v="2.2344632319854298"/>
    <n v="0"/>
    <n v="2.2344632319854298"/>
    <n v="0"/>
    <n v="50396.86093880183"/>
    <n v="0"/>
    <n v="50396.86093880183"/>
    <n v="1"/>
    <x v="1"/>
  </r>
  <r>
    <x v="32"/>
    <s v="Pyrolyseprodukter"/>
    <n v="1"/>
    <x v="2"/>
    <s v="Østdanmark"/>
    <n v="249354.65705790778"/>
    <n v="0"/>
    <n v="0"/>
    <n v="0"/>
    <n v="0"/>
    <n v="0"/>
    <n v="249354.65705790778"/>
    <n v="0"/>
    <n v="0"/>
    <n v="0"/>
    <n v="249354.65705790778"/>
    <n v="0"/>
    <n v="2.2345739481775073"/>
    <n v="0"/>
    <n v="2.2345739481775073"/>
    <n v="0"/>
    <n v="0"/>
    <n v="0"/>
    <n v="0"/>
    <n v="0"/>
    <x v="1"/>
  </r>
  <r>
    <x v="33"/>
    <s v="Pyrolyseprodukter"/>
    <n v="1"/>
    <x v="2"/>
    <s v="Østdanmark"/>
    <n v="62338.664264476945"/>
    <n v="0"/>
    <n v="0"/>
    <n v="0"/>
    <n v="0"/>
    <n v="0"/>
    <n v="62338.664264476945"/>
    <n v="0"/>
    <n v="0"/>
    <n v="0"/>
    <n v="62338.664264476945"/>
    <n v="0"/>
    <n v="2.0739183048444838"/>
    <n v="0"/>
    <n v="2.0739183048444838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9122.53024554974"/>
    <n v="13143.397523048965"/>
    <n v="0"/>
    <n v="0"/>
    <n v="0"/>
    <n v="0"/>
    <n v="0"/>
    <n v="0"/>
    <n v="95979.13272250078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  <n v="0"/>
    <x v="1"/>
  </r>
  <r>
    <x v="38"/>
    <s v="Græs og urter"/>
    <n v="1"/>
    <x v="2"/>
    <s v="Østdanmark"/>
    <n v="202279.77798791436"/>
    <n v="54392.166443596157"/>
    <n v="0"/>
    <n v="0"/>
    <n v="7626.1175136889688"/>
    <n v="0"/>
    <n v="0"/>
    <n v="0"/>
    <n v="140261.49403062923"/>
    <n v="140261.49403062923"/>
    <n v="7626.1175136889688"/>
    <n v="0.38067530525888893"/>
    <n v="0.40137289323574132"/>
    <n v="2.0697587976852408E-2"/>
    <n v="0.38067530525888893"/>
    <n v="28052.298806125847"/>
    <n v="29577.522308863641"/>
    <n v="1525.2235027377938"/>
    <n v="28052.298806125847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622026.1401572018"/>
    <n v="0"/>
    <n v="0"/>
    <n v="0"/>
    <n v="874008.71338573378"/>
    <n v="874008.71338573378"/>
    <n v="2622026.1401572018"/>
    <n v="0.43613908806661505"/>
    <n v="1.7445563522664607"/>
    <n v="1.3084172641998455"/>
    <n v="0.43613908806661517"/>
    <n v="52440.522803144027"/>
    <n v="209762.09121257614"/>
    <n v="157321.5684094321"/>
    <n v="52440.522803144035"/>
    <n v="0"/>
    <x v="0"/>
  </r>
  <r>
    <x v="42"/>
    <s v="Husdyrgødning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  <n v="0"/>
    <x v="1"/>
  </r>
  <r>
    <x v="43"/>
    <s v="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9773.75936305185"/>
    <n v="0"/>
    <n v="0"/>
    <n v="0"/>
    <n v="0"/>
    <n v="0"/>
    <n v="0"/>
    <n v="0"/>
    <n v="629773.75936305185"/>
    <n v="629773.75936305185"/>
    <n v="0"/>
    <n v="9.127669373228688"/>
    <n v="9.127669373228688"/>
    <n v="0"/>
    <n v="9.127669373228688"/>
    <n v="311475.6051516427"/>
    <n v="311475.6051516427"/>
    <n v="0"/>
    <n v="311475.6051516427"/>
    <n v="0"/>
    <x v="0"/>
  </r>
  <r>
    <x v="47"/>
    <s v=""/>
    <n v="0"/>
    <x v="2"/>
    <s v="Østdanmark"/>
    <n v="179246.53073851895"/>
    <n v="0"/>
    <n v="0"/>
    <n v="0"/>
    <n v="0"/>
    <n v="0"/>
    <n v="0"/>
    <n v="179246.53073851895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70919.32655032468"/>
    <n v="47085.713440742315"/>
    <n v="0"/>
    <n v="43439.71273733316"/>
    <n v="0"/>
    <n v="0"/>
    <n v="0"/>
    <n v="0"/>
    <n v="480393.9003722491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95731167.19179565"/>
    <n v="0"/>
    <n v="0"/>
    <n v="0"/>
    <n v="0"/>
    <n v="0"/>
    <n v="495731167.19179565"/>
    <n v="0"/>
    <n v="0"/>
    <n v="0"/>
    <n v="495731167.19179565"/>
    <n v="0"/>
    <n v="0"/>
    <n v="0"/>
    <n v="0"/>
    <n v="0"/>
    <n v="0"/>
    <n v="0"/>
    <n v="0"/>
    <x v="0"/>
  </r>
  <r>
    <x v="4"/>
    <s v=""/>
    <n v="0"/>
    <x v="1"/>
    <s v="Vestdanmark"/>
    <n v="20288522.839408737"/>
    <n v="0"/>
    <n v="0"/>
    <n v="0"/>
    <n v="0"/>
    <n v="16880479.241128754"/>
    <n v="0"/>
    <n v="0"/>
    <n v="3408043.598279982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396507.2594762691"/>
    <n v="0"/>
    <n v="0"/>
    <n v="0"/>
    <n v="1198253.6297381346"/>
    <n v="0"/>
    <n v="0"/>
    <n v="0"/>
    <n v="1198253.6297381346"/>
    <n v="1198253.6297381346"/>
    <n v="1198253.6297381346"/>
    <n v="0.6806393084782959"/>
    <n v="1.3612786169565918"/>
    <n v="0.6806393084782959"/>
    <n v="0.6806393084782959"/>
    <n v="51241.384361838122"/>
    <n v="102482.76872367624"/>
    <n v="51241.384361838122"/>
    <n v="51241.384361838122"/>
    <x v="0"/>
  </r>
  <r>
    <x v="6"/>
    <s v="Husdyrgødning"/>
    <n v="1"/>
    <x v="1"/>
    <s v="Vestdanmark"/>
    <n v="2037297.4995217314"/>
    <n v="0"/>
    <n v="0"/>
    <n v="0"/>
    <n v="1527973.1246412985"/>
    <n v="192815.65620473531"/>
    <n v="0"/>
    <n v="0"/>
    <n v="316508.71867569746"/>
    <n v="316508.71867569746"/>
    <n v="1527973.1246412985"/>
    <n v="0.6817597800274523"/>
    <n v="3.9730138905048094"/>
    <n v="3.2912541104773569"/>
    <n v="0.68175978002745241"/>
    <n v="94952.615602709237"/>
    <n v="553344.55299509875"/>
    <n v="458391.93739238958"/>
    <n v="94952.615602709178"/>
    <x v="0"/>
  </r>
  <r>
    <x v="7"/>
    <s v=""/>
    <n v="0"/>
    <x v="1"/>
    <s v="Vestdanmark"/>
    <n v="1687951.4848605499"/>
    <n v="1681632.6228836535"/>
    <n v="0"/>
    <n v="0"/>
    <n v="0"/>
    <n v="0"/>
    <n v="0"/>
    <n v="0"/>
    <n v="6318.8619768964127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91447.52086616959"/>
    <n v="0"/>
    <n v="0"/>
    <n v="0"/>
    <n v="0"/>
    <n v="0"/>
    <n v="0"/>
    <n v="0"/>
    <n v="991447.52086616959"/>
    <n v="0"/>
    <n v="0"/>
    <n v="0"/>
    <n v="0"/>
    <n v="0"/>
    <n v="0"/>
    <n v="0"/>
    <n v="0"/>
    <n v="0"/>
    <n v="0"/>
    <x v="0"/>
  </r>
  <r>
    <x v="11"/>
    <s v=""/>
    <n v="0"/>
    <x v="1"/>
    <s v="Vestdanmark"/>
    <n v="69515.73753753565"/>
    <n v="0"/>
    <n v="0"/>
    <n v="257923.29437791562"/>
    <n v="0"/>
    <n v="0"/>
    <n v="0"/>
    <n v="0"/>
    <n v="-188407.55684037996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0811669.206179742"/>
    <n v="9446613.3985518552"/>
    <n v="0"/>
    <n v="0"/>
    <n v="0"/>
    <n v="0"/>
    <n v="0"/>
    <n v="4904320.894126229"/>
    <n v="-3539265.0864983425"/>
    <n v="0"/>
    <n v="0"/>
    <n v="0"/>
    <n v="0"/>
    <n v="0"/>
    <n v="0"/>
    <n v="0"/>
    <n v="0"/>
    <n v="0"/>
    <n v="0"/>
    <x v="1"/>
  </r>
  <r>
    <x v="14"/>
    <s v=""/>
    <n v="0"/>
    <x v="1"/>
    <s v="Vestdanmark"/>
    <n v="819862.14978940994"/>
    <n v="819862.14978940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378724.85097057559"/>
    <n v="0"/>
    <n v="0"/>
    <n v="270140.71358529059"/>
    <n v="0"/>
    <n v="0"/>
    <n v="0"/>
    <n v="0"/>
    <n v="108584.13738528499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115369.6842220044"/>
    <n v="590528.53760249668"/>
    <n v="548687.13677357347"/>
    <n v="0"/>
    <n v="0"/>
    <n v="0"/>
    <n v="254415.29546314781"/>
    <n v="721738.71438278642"/>
    <n v="0"/>
    <n v="0"/>
    <n v="254415.29546314781"/>
    <n v="0"/>
    <n v="2.6295872236207458"/>
    <n v="0"/>
    <n v="2.6295872236207458"/>
    <n v="0"/>
    <n v="216253.00114367562"/>
    <n v="0"/>
    <n v="216253.00114367562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48896.7894108406"/>
    <n v="0"/>
    <n v="0"/>
    <n v="0"/>
    <n v="506863.86710295174"/>
    <n v="0"/>
    <n v="0"/>
    <n v="0"/>
    <n v="-57967.077692111139"/>
    <n v="0"/>
    <n v="506863.86710295174"/>
    <n v="0"/>
    <n v="1.8668609741908415"/>
    <n v="1.8668609741908415"/>
    <n v="0"/>
    <n v="0"/>
    <n v="212882.82418323972"/>
    <n v="212882.82418323972"/>
    <n v="0"/>
    <x v="1"/>
  </r>
  <r>
    <x v="20"/>
    <s v=""/>
    <n v="0"/>
    <x v="1"/>
    <s v="Vestdanmark"/>
    <n v="832506.49987193861"/>
    <n v="0"/>
    <n v="0"/>
    <n v="0"/>
    <n v="0"/>
    <n v="0"/>
    <n v="0"/>
    <n v="0"/>
    <n v="832506.49987193861"/>
    <n v="0"/>
    <n v="0"/>
    <n v="0"/>
    <n v="0"/>
    <n v="0"/>
    <n v="0"/>
    <n v="0"/>
    <n v="0"/>
    <n v="0"/>
    <n v="0"/>
    <x v="0"/>
  </r>
  <r>
    <x v="21"/>
    <s v=""/>
    <n v="0"/>
    <x v="1"/>
    <s v="Vestdanmark"/>
    <n v="1786381.255966713"/>
    <n v="0"/>
    <n v="0"/>
    <n v="123531.68309679118"/>
    <n v="0"/>
    <n v="0"/>
    <n v="0"/>
    <n v="0"/>
    <n v="1662849.572869921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85068.9598603025"/>
    <n v="4534717.2198337205"/>
    <n v="0"/>
    <n v="295933.04302308214"/>
    <n v="2866.1447836461339"/>
    <n v="0"/>
    <n v="0"/>
    <n v="0"/>
    <n v="-48447.447780146264"/>
    <n v="0"/>
    <n v="2866.1447836461339"/>
    <n v="0"/>
    <n v="9.8161446237182998E-3"/>
    <n v="9.8161446237182998E-3"/>
    <n v="0"/>
    <n v="0"/>
    <n v="888.50488293030151"/>
    <n v="888.50488293030151"/>
    <n v="0"/>
    <x v="0"/>
  </r>
  <r>
    <x v="23"/>
    <s v=""/>
    <n v="0"/>
    <x v="1"/>
    <s v="Vestdanmark"/>
    <n v="0"/>
    <n v="0"/>
    <n v="0"/>
    <n v="0"/>
    <n v="0"/>
    <n v="479558.1969775256"/>
    <n v="0"/>
    <n v="0"/>
    <n v="-479558.1969775256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790098.0268014707"/>
    <n v="2596699.342267157"/>
    <n v="0"/>
    <n v="0"/>
    <n v="0"/>
    <n v="0"/>
    <n v="7790098.0268014707"/>
    <n v="0"/>
    <n v="3.9432697201866369"/>
    <n v="3.9432697201866369"/>
    <n v="0"/>
    <n v="0"/>
    <n v="592047.45003691176"/>
    <n v="592047.45003691176"/>
    <n v="0"/>
    <x v="0"/>
  </r>
  <r>
    <x v="25"/>
    <s v=""/>
    <n v="0"/>
    <x v="1"/>
    <s v="Vestdanmark"/>
    <n v="1296795.0922933305"/>
    <n v="1164894.7731358123"/>
    <n v="0"/>
    <n v="0"/>
    <n v="0"/>
    <n v="0"/>
    <n v="0"/>
    <n v="0"/>
    <n v="131900.31915751821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3984719.6201805831"/>
    <n v="4351481.2300827308"/>
    <n v="0"/>
    <n v="0"/>
    <n v="252137.34695648224"/>
    <n v="0"/>
    <n v="0"/>
    <n v="0"/>
    <n v="-618898.95685862983"/>
    <n v="0"/>
    <n v="252137.34695648224"/>
    <n v="0"/>
    <n v="0.90517307557377136"/>
    <n v="0.90517307557377136"/>
    <n v="0"/>
    <n v="0"/>
    <n v="75641.204086944665"/>
    <n v="75641.20408694466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254211.7913728904"/>
    <n v="0"/>
    <n v="0"/>
    <n v="0"/>
    <n v="0"/>
    <n v="0"/>
    <n v="0"/>
    <n v="0"/>
    <n v="1254211.791372890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215758.44874789647"/>
    <n v="0"/>
    <n v="0"/>
    <n v="0"/>
    <n v="0"/>
    <n v="0"/>
    <n v="215758.44874789647"/>
    <n v="0"/>
    <n v="0"/>
    <n v="0"/>
    <n v="215758.44874789647"/>
    <n v="0"/>
    <n v="3.9699554569612943"/>
    <n v="0"/>
    <n v="3.9699554569612943"/>
    <n v="0"/>
    <n v="89539.756230377039"/>
    <n v="0"/>
    <n v="89539.756230377039"/>
    <x v="0"/>
  </r>
  <r>
    <x v="32"/>
    <s v="Pyrolyseprodukter"/>
    <n v="1"/>
    <x v="1"/>
    <s v="Vestdanmark"/>
    <n v="404173.68005436042"/>
    <n v="0"/>
    <n v="0"/>
    <n v="0"/>
    <n v="0"/>
    <n v="0"/>
    <n v="404173.68005436042"/>
    <n v="0"/>
    <n v="0"/>
    <n v="0"/>
    <n v="404173.68005436042"/>
    <n v="0"/>
    <n v="3.6219735642585746"/>
    <n v="0"/>
    <n v="3.6219735642585746"/>
    <n v="0"/>
    <n v="0"/>
    <n v="0"/>
    <n v="0"/>
    <x v="0"/>
  </r>
  <r>
    <x v="33"/>
    <s v="Pyrolyseprodukter"/>
    <n v="1"/>
    <x v="1"/>
    <s v="Vestdanmark"/>
    <n v="101043.4200135901"/>
    <n v="0"/>
    <n v="0"/>
    <n v="0"/>
    <n v="0"/>
    <n v="0"/>
    <n v="101043.4200135901"/>
    <n v="0"/>
    <n v="0"/>
    <n v="0"/>
    <n v="101043.4200135901"/>
    <n v="0"/>
    <n v="3.3615702361092654"/>
    <n v="0"/>
    <n v="3.3615702361092654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720643.86826877412"/>
    <n v="0"/>
    <n v="0"/>
    <n v="0"/>
    <n v="0"/>
    <n v="0"/>
    <n v="0"/>
    <n v="720643.86826877412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60321.93413438706"/>
    <n v="161875.86352463221"/>
    <n v="0"/>
    <n v="0"/>
    <n v="0"/>
    <n v="0"/>
    <n v="0"/>
    <n v="0"/>
    <n v="198446.0706097548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30606.03784600773"/>
    <n v="0"/>
    <n v="0"/>
    <n v="0"/>
    <n v="0"/>
    <n v="0"/>
    <n v="230606.03784600773"/>
    <n v="0"/>
    <n v="0"/>
    <n v="0"/>
    <n v="230606.03784600773"/>
    <n v="0"/>
    <n v="8.0712113246102692"/>
    <n v="0"/>
    <n v="8.0712113246102692"/>
    <n v="0"/>
    <n v="0"/>
    <n v="0"/>
    <n v="0"/>
    <x v="0"/>
  </r>
  <r>
    <x v="38"/>
    <s v="Græs og urter"/>
    <n v="1"/>
    <x v="1"/>
    <s v="Vestdanmark"/>
    <n v="661272.99652906856"/>
    <n v="669901.28667965194"/>
    <n v="0"/>
    <n v="0"/>
    <n v="21394.342667690107"/>
    <n v="0"/>
    <n v="0"/>
    <n v="0"/>
    <n v="-30022.632818273501"/>
    <n v="0"/>
    <n v="21394.342667690107"/>
    <n v="0"/>
    <n v="5.8065101773817657E-2"/>
    <n v="5.8065101773817657E-2"/>
    <n v="0"/>
    <n v="0"/>
    <n v="4278.8685335380214"/>
    <n v="4278.8685335380214"/>
    <n v="0"/>
    <x v="0"/>
  </r>
  <r>
    <x v="39"/>
    <s v=""/>
    <n v="0"/>
    <x v="1"/>
    <s v="Vestdanmark"/>
    <n v="146835.36007534855"/>
    <n v="0"/>
    <n v="0"/>
    <n v="0"/>
    <n v="0"/>
    <n v="0"/>
    <n v="0"/>
    <n v="0"/>
    <n v="146835.36007534855"/>
    <n v="0"/>
    <n v="0"/>
    <n v="0"/>
    <n v="0"/>
    <n v="0"/>
    <n v="0"/>
    <n v="0"/>
    <n v="0"/>
    <n v="0"/>
    <n v="0"/>
    <x v="0"/>
  </r>
  <r>
    <x v="40"/>
    <s v=""/>
    <n v="0"/>
    <x v="1"/>
    <s v="Vestdanmark"/>
    <n v="97609.837071587375"/>
    <n v="29678.267865680002"/>
    <n v="0"/>
    <n v="0"/>
    <n v="0"/>
    <n v="0"/>
    <n v="0"/>
    <n v="0"/>
    <n v="67931.569205907377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x v="0"/>
  </r>
  <r>
    <x v="42"/>
    <s v="Husdyrgødning"/>
    <n v="1"/>
    <x v="1"/>
    <s v="Vestdanmark"/>
    <n v="11306124.881910803"/>
    <n v="0"/>
    <n v="0"/>
    <n v="0"/>
    <n v="8479593.6614331026"/>
    <n v="2826531.2204777007"/>
    <n v="0"/>
    <n v="0"/>
    <n v="0"/>
    <n v="0"/>
    <n v="8479593.6614331026"/>
    <n v="0"/>
    <n v="3.6530089493453812"/>
    <n v="3.6530089493453812"/>
    <n v="0"/>
    <n v="0"/>
    <n v="423979.68307165516"/>
    <n v="423979.68307165516"/>
    <n v="0"/>
    <x v="0"/>
  </r>
  <r>
    <x v="43"/>
    <s v=""/>
    <n v="0"/>
    <x v="1"/>
    <s v="Vestdanmark"/>
    <n v="1033509.7693363478"/>
    <n v="0"/>
    <n v="0"/>
    <n v="97500.435238944279"/>
    <n v="0"/>
    <n v="0"/>
    <n v="0"/>
    <n v="0"/>
    <n v="936009.33409740357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8556.3906758497"/>
    <n v="0"/>
    <n v="0"/>
    <n v="0"/>
    <n v="0"/>
    <n v="0"/>
    <n v="2228556.3906758497"/>
    <n v="0"/>
    <n v="0"/>
    <n v="0"/>
    <n v="2228556.3906758497"/>
    <n v="0"/>
    <n v="32.299735597523586"/>
    <n v="0"/>
    <n v="32.299735597523586"/>
    <n v="0"/>
    <n v="1102206.848221764"/>
    <n v="0"/>
    <n v="1102206.848221764"/>
    <x v="0"/>
  </r>
  <r>
    <x v="47"/>
    <s v=""/>
    <n v="0"/>
    <x v="1"/>
    <s v="Vestdanmark"/>
    <n v="614281.02378706157"/>
    <n v="0"/>
    <n v="0"/>
    <n v="0"/>
    <n v="0"/>
    <n v="0"/>
    <n v="0"/>
    <n v="614281.0237870615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476733.07017285493"/>
    <n v="31434.479653499999"/>
    <n v="0"/>
    <n v="101549.90665933446"/>
    <n v="0"/>
    <n v="0"/>
    <n v="0"/>
    <n v="0"/>
    <n v="343748.68386002048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41087049.47009271"/>
    <n v="0"/>
    <n v="0"/>
    <n v="0"/>
    <n v="0"/>
    <n v="0"/>
    <n v="441087049.47009271"/>
    <n v="0"/>
    <n v="0"/>
    <n v="0"/>
    <n v="441087049.47009271"/>
    <n v="0"/>
    <n v="0"/>
    <n v="0"/>
    <n v="0"/>
    <n v="0"/>
    <n v="0"/>
    <n v="0"/>
    <n v="0"/>
    <x v="0"/>
  </r>
  <r>
    <x v="4"/>
    <s v=""/>
    <n v="0"/>
    <x v="2"/>
    <s v="Vestdanmark"/>
    <n v="17326468.088146493"/>
    <n v="0"/>
    <n v="0"/>
    <n v="0"/>
    <n v="0"/>
    <n v="12224522.62240437"/>
    <n v="0"/>
    <n v="0"/>
    <n v="5101945.465742122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99911.1658842943"/>
    <n v="0"/>
    <n v="0"/>
    <n v="0"/>
    <n v="1199933.3744132207"/>
    <n v="0"/>
    <n v="0"/>
    <n v="0"/>
    <n v="399977.79147107364"/>
    <n v="399977.79147107364"/>
    <n v="1199933.3744132207"/>
    <n v="0.2271978157521149"/>
    <n v="0.90879126300845936"/>
    <n v="0.68159344725634452"/>
    <n v="0.22719781575211484"/>
    <n v="17104.405311459373"/>
    <n v="68417.621245837479"/>
    <n v="51313.21593437811"/>
    <n v="17104.40531145937"/>
    <x v="0"/>
  </r>
  <r>
    <x v="6"/>
    <s v="Husdyrgødning"/>
    <n v="1"/>
    <x v="2"/>
    <s v="Vestdanmark"/>
    <n v="1458137.3135203668"/>
    <n v="0"/>
    <n v="0"/>
    <n v="0"/>
    <n v="1312323.5821683302"/>
    <n v="55200.91258327102"/>
    <n v="0"/>
    <n v="0"/>
    <n v="90612.818768765545"/>
    <n v="90612.818768765545"/>
    <n v="1312323.5821683302"/>
    <n v="0.19518001162792098"/>
    <n v="3.0219250076185045"/>
    <n v="2.8267449959905835"/>
    <n v="0.19518001162792098"/>
    <n v="27183.845630629661"/>
    <n v="420880.92028112873"/>
    <n v="393697.07465049904"/>
    <n v="27183.845630629687"/>
    <x v="0"/>
  </r>
  <r>
    <x v="7"/>
    <s v=""/>
    <n v="0"/>
    <x v="2"/>
    <s v="Vestdanmark"/>
    <n v="1126878.4675784998"/>
    <n v="1122659.9876249996"/>
    <n v="0"/>
    <n v="0"/>
    <n v="0"/>
    <n v="0"/>
    <n v="0"/>
    <n v="0"/>
    <n v="4218.4799535002094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0168.939794840036"/>
    <n v="0"/>
    <n v="0"/>
    <n v="0"/>
    <n v="0"/>
    <n v="153489.81145508884"/>
    <n v="0"/>
    <n v="0"/>
    <n v="0"/>
    <n v="0"/>
    <n v="0"/>
    <n v="0"/>
    <n v="0"/>
    <n v="0"/>
    <n v="0"/>
    <n v="0"/>
    <x v="0"/>
  </r>
  <r>
    <x v="10"/>
    <s v=""/>
    <n v="0"/>
    <x v="2"/>
    <s v="Vestdanmark"/>
    <n v="792091.46065631567"/>
    <n v="0"/>
    <n v="0"/>
    <n v="0"/>
    <n v="0"/>
    <n v="0"/>
    <n v="0"/>
    <n v="0"/>
    <n v="792091.46065631567"/>
    <n v="0"/>
    <n v="0"/>
    <n v="0"/>
    <n v="0"/>
    <n v="0"/>
    <n v="0"/>
    <n v="0"/>
    <n v="0"/>
    <n v="0"/>
    <n v="0"/>
    <x v="0"/>
  </r>
  <r>
    <x v="11"/>
    <s v=""/>
    <n v="0"/>
    <x v="2"/>
    <s v="Vestdanmark"/>
    <n v="58253.649751305209"/>
    <n v="0"/>
    <n v="0"/>
    <n v="267978.92035102146"/>
    <n v="0"/>
    <n v="0"/>
    <n v="0"/>
    <n v="0"/>
    <n v="-209725.2705997162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8080859.3284295592"/>
    <n v="6306570.6128669288"/>
    <n v="0"/>
    <n v="0"/>
    <n v="0"/>
    <n v="0"/>
    <n v="0"/>
    <n v="3274130.6034294944"/>
    <n v="-1499841.887866864"/>
    <n v="0"/>
    <n v="0"/>
    <n v="0"/>
    <n v="0"/>
    <n v="0"/>
    <n v="0"/>
    <n v="0"/>
    <n v="0"/>
    <n v="0"/>
    <n v="0"/>
    <x v="0"/>
  </r>
  <r>
    <x v="14"/>
    <s v=""/>
    <n v="0"/>
    <x v="2"/>
    <s v="Vestdanmark"/>
    <n v="547340.96996669995"/>
    <n v="547340.96996669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323570.52487821685"/>
    <n v="0"/>
    <n v="0"/>
    <n v="280672.65868343826"/>
    <n v="0"/>
    <n v="0"/>
    <n v="0"/>
    <n v="0"/>
    <n v="42897.866194778588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1738074.2627217553"/>
    <n v="394237.57109337207"/>
    <n v="367504.60397489293"/>
    <n v="0"/>
    <n v="0"/>
    <n v="0"/>
    <n v="0"/>
    <n v="1054723.8266823078"/>
    <n v="-78391.739028817508"/>
    <n v="0"/>
    <n v="0"/>
    <n v="0"/>
    <n v="0"/>
    <n v="0"/>
    <n v="0"/>
    <n v="0"/>
    <n v="0"/>
    <n v="0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477740.13297637849"/>
    <n v="0"/>
    <n v="0"/>
    <n v="0"/>
    <n v="-117774.26895292255"/>
    <n v="0"/>
    <n v="477740.13297637849"/>
    <n v="0"/>
    <n v="1.7595935870433448"/>
    <n v="1.7595935870433448"/>
    <n v="0"/>
    <n v="0"/>
    <n v="200650.85585007895"/>
    <n v="200650.85585007895"/>
    <n v="0"/>
    <x v="1"/>
  </r>
  <r>
    <x v="20"/>
    <s v=""/>
    <n v="0"/>
    <x v="2"/>
    <s v="Vestdanmark"/>
    <n v="686144.91909286368"/>
    <n v="0"/>
    <n v="0"/>
    <n v="0"/>
    <n v="0"/>
    <n v="0"/>
    <n v="0"/>
    <n v="0"/>
    <n v="686144.91909286368"/>
    <n v="0"/>
    <n v="0"/>
    <n v="0"/>
    <n v="0"/>
    <n v="0"/>
    <n v="0"/>
    <n v="0"/>
    <n v="0"/>
    <n v="0"/>
    <n v="0"/>
    <x v="0"/>
  </r>
  <r>
    <x v="21"/>
    <s v=""/>
    <n v="0"/>
    <x v="2"/>
    <s v="Vestdanmark"/>
    <n v="1457061.1613346946"/>
    <n v="0"/>
    <n v="0"/>
    <n v="128347.79869443661"/>
    <n v="0"/>
    <n v="0"/>
    <n v="0"/>
    <n v="0"/>
    <n v="1328713.362640257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20720.3662957777"/>
    <n v="3027382.7402155618"/>
    <n v="0"/>
    <n v="307470.55071854044"/>
    <n v="2778.0605350782976"/>
    <n v="0"/>
    <n v="0"/>
    <n v="0"/>
    <n v="583089.01482659718"/>
    <n v="583089.01482659718"/>
    <n v="2778.0605350782976"/>
    <n v="1.9969982433190199"/>
    <n v="2.0065127117231882"/>
    <n v="9.5144684041682595E-3"/>
    <n v="1.9969982433190199"/>
    <n v="180757.59459624512"/>
    <n v="181618.79336211938"/>
    <n v="861.19876587427223"/>
    <n v="180757.59459624512"/>
    <x v="0"/>
  </r>
  <r>
    <x v="23"/>
    <s v=""/>
    <n v="0"/>
    <x v="2"/>
    <s v="Vestdanmark"/>
    <n v="0"/>
    <n v="0"/>
    <n v="0"/>
    <n v="0"/>
    <n v="0"/>
    <n v="605816.97301957663"/>
    <n v="0"/>
    <n v="0"/>
    <n v="-605816.973019576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5730932.9261474209"/>
    <n v="636770.32512749103"/>
    <n v="0"/>
    <n v="0"/>
    <n v="0"/>
    <n v="0"/>
    <n v="5730932.9261474209"/>
    <n v="0"/>
    <n v="2.9009409378865634"/>
    <n v="2.9009409378865634"/>
    <n v="0"/>
    <n v="0"/>
    <n v="435550.902387204"/>
    <n v="435550.902387204"/>
    <n v="0"/>
    <x v="0"/>
  </r>
  <r>
    <x v="25"/>
    <s v=""/>
    <n v="0"/>
    <x v="2"/>
    <s v="Vestdanmark"/>
    <n v="795441.73503903183"/>
    <n v="777685.16963622137"/>
    <n v="0"/>
    <n v="0"/>
    <n v="0"/>
    <n v="0"/>
    <n v="0"/>
    <n v="0"/>
    <n v="17756.565402810462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3204301.4084430053"/>
    <n v="2905054.1702372115"/>
    <n v="0"/>
    <n v="0"/>
    <n v="242163.91618130018"/>
    <n v="0"/>
    <n v="0"/>
    <n v="0"/>
    <n v="57083.322024493478"/>
    <n v="57083.322024493478"/>
    <n v="242163.91618130018"/>
    <n v="0.20492912606793159"/>
    <n v="1.0742975851587995"/>
    <n v="0.8693684590908678"/>
    <n v="0.20492912606793168"/>
    <n v="17124.996607348043"/>
    <n v="89774.171461738093"/>
    <n v="72649.174854390047"/>
    <n v="17124.996607348046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34302.712220301015"/>
    <n v="0"/>
    <n v="0"/>
    <n v="0"/>
    <n v="0"/>
    <n v="17091.345648539893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217.4078862639"/>
    <n v="0"/>
    <n v="0"/>
    <n v="0"/>
    <n v="0"/>
    <n v="0"/>
    <n v="0"/>
    <n v="0"/>
    <n v="1022217.407886263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67353.17803041782"/>
    <n v="0"/>
    <n v="0"/>
    <n v="0"/>
    <n v="0"/>
    <n v="0"/>
    <n v="167353.17803041782"/>
    <n v="0"/>
    <n v="0"/>
    <n v="0"/>
    <n v="167353.17803041782"/>
    <n v="0"/>
    <n v="3.0792984757596873"/>
    <n v="0"/>
    <n v="3.0792984757596873"/>
    <n v="0"/>
    <n v="69451.568882623396"/>
    <n v="0"/>
    <n v="69451.568882623396"/>
    <x v="1"/>
  </r>
  <r>
    <x v="32"/>
    <s v="Pyrolyseprodukter"/>
    <n v="1"/>
    <x v="2"/>
    <s v="Vestdanmark"/>
    <n v="590645.34294209245"/>
    <n v="0"/>
    <n v="0"/>
    <n v="0"/>
    <n v="0"/>
    <n v="0"/>
    <n v="590645.34294209245"/>
    <n v="0"/>
    <n v="0"/>
    <n v="0"/>
    <n v="590645.34294209245"/>
    <n v="0"/>
    <n v="5.2930260518224923"/>
    <n v="0"/>
    <n v="5.2930260518224923"/>
    <n v="0"/>
    <n v="0"/>
    <n v="0"/>
    <n v="0"/>
    <x v="0"/>
  </r>
  <r>
    <x v="33"/>
    <s v="Pyrolyseprodukter"/>
    <n v="1"/>
    <x v="2"/>
    <s v="Vestdanmark"/>
    <n v="147661.33573552311"/>
    <n v="0"/>
    <n v="0"/>
    <n v="0"/>
    <n v="0"/>
    <n v="0"/>
    <n v="147661.33573552311"/>
    <n v="0"/>
    <n v="0"/>
    <n v="0"/>
    <n v="147661.33573552311"/>
    <n v="0"/>
    <n v="4.9124816951555159"/>
    <n v="0"/>
    <n v="4.9124816951555159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601521.71713762206"/>
    <n v="0"/>
    <n v="0"/>
    <n v="0"/>
    <n v="0"/>
    <n v="0"/>
    <n v="0"/>
    <n v="601521.7171376220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300760.85856881103"/>
    <n v="108068.52368843651"/>
    <n v="0"/>
    <n v="0"/>
    <n v="0"/>
    <n v="0"/>
    <n v="0"/>
    <n v="0"/>
    <n v="192692.3348803745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92486.94948403907"/>
    <n v="0"/>
    <n v="0"/>
    <n v="0"/>
    <n v="0"/>
    <n v="0"/>
    <n v="192486.94948403907"/>
    <n v="0"/>
    <n v="0"/>
    <n v="0"/>
    <n v="192486.94948403907"/>
    <n v="0"/>
    <n v="6.7370432319413665"/>
    <n v="0"/>
    <n v="6.7370432319413665"/>
    <n v="0"/>
    <n v="0"/>
    <n v="0"/>
    <n v="0"/>
    <x v="0"/>
  </r>
  <r>
    <x v="38"/>
    <s v="Græs og urter"/>
    <n v="1"/>
    <x v="2"/>
    <s v="Vestdanmark"/>
    <n v="557517.61958207632"/>
    <n v="447226.91507024999"/>
    <n v="0"/>
    <n v="0"/>
    <n v="21018.882486311028"/>
    <n v="0"/>
    <n v="0"/>
    <n v="0"/>
    <n v="89271.822025515314"/>
    <n v="89271.822025515314"/>
    <n v="21018.882486311028"/>
    <n v="0.24228729585012959"/>
    <n v="0.29933338367327716"/>
    <n v="5.704608782314758E-2"/>
    <n v="0.24228729585012959"/>
    <n v="17854.364405103064"/>
    <n v="22058.140902365267"/>
    <n v="4203.7764972622053"/>
    <n v="17854.364405103061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19813.247781599999"/>
    <n v="0"/>
    <n v="0"/>
    <n v="0"/>
    <n v="0"/>
    <n v="0"/>
    <n v="0"/>
    <n v="43236.87635213136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046562.3049170515"/>
    <n v="0"/>
    <n v="0"/>
    <n v="0"/>
    <n v="1015520.7683056835"/>
    <n v="1015520.7683056835"/>
    <n v="3046562.3049170515"/>
    <n v="0.50675501859221916"/>
    <n v="2.0270200743688775"/>
    <n v="1.5202650557766582"/>
    <n v="0.50675501859221939"/>
    <n v="60931.246098341006"/>
    <n v="243724.98439336408"/>
    <n v="182793.73829502307"/>
    <n v="60931.246098341013"/>
    <x v="0"/>
  </r>
  <r>
    <x v="42"/>
    <s v="Husdyrgødning"/>
    <n v="1"/>
    <x v="2"/>
    <s v="Vestdanmark"/>
    <n v="7216145.8837897805"/>
    <n v="0"/>
    <n v="0"/>
    <n v="0"/>
    <n v="6494531.2954108026"/>
    <n v="721614.58837897785"/>
    <n v="0"/>
    <n v="0"/>
    <n v="0"/>
    <n v="0"/>
    <n v="6494531.2954108026"/>
    <n v="0"/>
    <n v="2.7978440820629742"/>
    <n v="2.7978440820629742"/>
    <n v="0"/>
    <n v="0"/>
    <n v="324726.56477054016"/>
    <n v="324726.56477054016"/>
    <n v="0"/>
    <x v="0"/>
  </r>
  <r>
    <x v="43"/>
    <s v=""/>
    <n v="0"/>
    <x v="2"/>
    <s v="Vestdanmark"/>
    <n v="670075.43744177814"/>
    <n v="0"/>
    <n v="0"/>
    <n v="69644.90056848996"/>
    <n v="0"/>
    <n v="0"/>
    <n v="0"/>
    <n v="0"/>
    <n v="600430.5368732882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354122.6497080862"/>
    <n v="0"/>
    <n v="0"/>
    <n v="0"/>
    <n v="0"/>
    <n v="0"/>
    <n v="2354122.6497080862"/>
    <n v="0"/>
    <n v="0"/>
    <n v="0"/>
    <n v="2354122.6497080862"/>
    <n v="0"/>
    <n v="34.119638824419908"/>
    <n v="0"/>
    <n v="34.119638824419908"/>
    <n v="0"/>
    <n v="1164309.8271681243"/>
    <n v="0"/>
    <n v="1164309.8271681243"/>
    <x v="0"/>
  </r>
  <r>
    <x v="47"/>
    <s v=""/>
    <n v="0"/>
    <x v="2"/>
    <s v="Vestdanmark"/>
    <n v="695607.30474103929"/>
    <n v="0"/>
    <n v="0"/>
    <n v="0"/>
    <n v="0"/>
    <n v="0"/>
    <n v="0"/>
    <n v="695607.30474103929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4855.04646768686"/>
    <n v="5718.282542457694"/>
    <n v="0"/>
    <n v="37612.453499504722"/>
    <n v="0"/>
    <n v="0"/>
    <n v="0"/>
    <n v="0"/>
    <n v="141524.31042572443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9368116.94983545"/>
    <n v="0"/>
    <n v="0"/>
    <n v="0"/>
    <n v="0"/>
    <n v="0"/>
    <n v="119368116.94983545"/>
    <n v="0"/>
    <n v="0"/>
    <n v="0"/>
    <n v="119368116.94983545"/>
    <n v="0"/>
    <n v="0"/>
    <n v="0"/>
    <n v="0"/>
    <n v="0"/>
    <n v="0"/>
    <n v="0"/>
    <n v="0"/>
    <x v="0"/>
  </r>
  <r>
    <x v="4"/>
    <s v=""/>
    <n v="0"/>
    <x v="1"/>
    <s v="Østdanmark"/>
    <n v="3958963.2992530242"/>
    <n v="0"/>
    <n v="0"/>
    <n v="0"/>
    <n v="0"/>
    <n v="3293941.0285514342"/>
    <n v="0"/>
    <n v="0"/>
    <n v="665022.27070158999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291041.69021422468"/>
    <n v="0"/>
    <n v="0"/>
    <n v="0"/>
    <n v="145520.84510711234"/>
    <n v="0"/>
    <n v="0"/>
    <n v="0"/>
    <n v="145520.84510711234"/>
    <n v="145520.84510711234"/>
    <n v="145520.84510711234"/>
    <n v="8.2659634759068373E-2"/>
    <n v="0.16531926951813675"/>
    <n v="8.2659634759068373E-2"/>
    <n v="8.2659634759068373E-2"/>
    <n v="6222.9642971518751"/>
    <n v="12445.92859430375"/>
    <n v="6222.9642971518751"/>
    <n v="6222.9642971518751"/>
    <x v="0"/>
  </r>
  <r>
    <x v="6"/>
    <s v="Husdyrgødning"/>
    <n v="1"/>
    <x v="1"/>
    <s v="Østdanmark"/>
    <n v="272382.94042340637"/>
    <n v="0"/>
    <n v="0"/>
    <n v="0"/>
    <n v="204287.20531755476"/>
    <n v="25779.099718643818"/>
    <n v="0"/>
    <n v="0"/>
    <n v="42316.635387207789"/>
    <n v="42316.635387207789"/>
    <n v="204287.20531755476"/>
    <n v="9.1150032624045585E-2"/>
    <n v="0.53118467287805848"/>
    <n v="0.44003464025401295"/>
    <n v="9.1150032624045529E-2"/>
    <n v="12694.990616162337"/>
    <n v="73981.152211428765"/>
    <n v="61286.161595266429"/>
    <n v="12694.990616162337"/>
    <x v="0"/>
  </r>
  <r>
    <x v="7"/>
    <s v=""/>
    <n v="0"/>
    <x v="1"/>
    <s v="Østdanmark"/>
    <n v="204991.76508265003"/>
    <n v="204224.37651634615"/>
    <n v="0"/>
    <n v="0"/>
    <n v="0"/>
    <n v="0"/>
    <n v="0"/>
    <n v="0"/>
    <n v="767.38856630388182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4054.80391136941"/>
    <n v="0"/>
    <n v="0"/>
    <n v="0"/>
    <n v="0"/>
    <n v="0"/>
    <n v="0"/>
    <n v="0"/>
    <n v="324054.80391136941"/>
    <n v="0"/>
    <n v="0"/>
    <n v="0"/>
    <n v="0"/>
    <n v="0"/>
    <n v="0"/>
    <n v="0"/>
    <n v="0"/>
    <n v="0"/>
    <n v="0"/>
    <x v="0"/>
  </r>
  <r>
    <x v="11"/>
    <s v=""/>
    <n v="0"/>
    <x v="1"/>
    <s v="Østdanmark"/>
    <n v="22743.632326448162"/>
    <n v="0"/>
    <n v="0"/>
    <n v="223323.94265330929"/>
    <n v="0"/>
    <n v="0"/>
    <n v="0"/>
    <n v="0"/>
    <n v="-200580.31032686113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177849.870254152"/>
    <n v="1147235.5526749862"/>
    <n v="0"/>
    <n v="0"/>
    <n v="0"/>
    <n v="0"/>
    <n v="0"/>
    <n v="595600.88405130478"/>
    <n v="1435013.433527861"/>
    <n v="0"/>
    <n v="0"/>
    <n v="0"/>
    <n v="0"/>
    <n v="0"/>
    <n v="0"/>
    <n v="0"/>
    <n v="0"/>
    <n v="0"/>
    <n v="0"/>
    <x v="1"/>
  </r>
  <r>
    <x v="14"/>
    <s v=""/>
    <n v="0"/>
    <x v="1"/>
    <s v="Østdanmark"/>
    <n v="99567.428754430017"/>
    <n v="99567.42875443001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23940.17641205002"/>
    <n v="0"/>
    <n v="0"/>
    <n v="233902.44520004498"/>
    <n v="0"/>
    <n v="0"/>
    <n v="0"/>
    <n v="0"/>
    <n v="-109962.26878799497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681943.98989157612"/>
    <n v="71716.212427048929"/>
    <n v="77920.551603575906"/>
    <n v="0"/>
    <n v="0"/>
    <n v="0"/>
    <n v="254045.94024373771"/>
    <n v="278261.28561721352"/>
    <n v="0"/>
    <n v="0"/>
    <n v="254045.94024373771"/>
    <n v="0"/>
    <n v="2.6257696396025745"/>
    <n v="0"/>
    <n v="2.6257696396025745"/>
    <n v="0"/>
    <n v="215939.04920717704"/>
    <n v="0"/>
    <n v="215939.0492071770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4046.46530890666"/>
    <n v="0"/>
    <n v="0"/>
    <n v="0"/>
    <n v="219104.13289704846"/>
    <n v="0"/>
    <n v="0"/>
    <n v="0"/>
    <n v="-25057.667588141805"/>
    <n v="0"/>
    <n v="219104.13289704846"/>
    <n v="0"/>
    <n v="0.80699568767315955"/>
    <n v="0.80699568767315955"/>
    <n v="0"/>
    <n v="0"/>
    <n v="92023.735816760352"/>
    <n v="92023.735816760352"/>
    <n v="0"/>
    <x v="1"/>
  </r>
  <r>
    <x v="20"/>
    <s v=""/>
    <n v="0"/>
    <x v="1"/>
    <s v="Østdanmark"/>
    <n v="267374.72503848921"/>
    <n v="0"/>
    <n v="0"/>
    <n v="0"/>
    <n v="0"/>
    <n v="0"/>
    <n v="0"/>
    <n v="0"/>
    <n v="267374.72503848921"/>
    <n v="0"/>
    <n v="0"/>
    <n v="0"/>
    <n v="0"/>
    <n v="0"/>
    <n v="0"/>
    <n v="0"/>
    <n v="0"/>
    <n v="0"/>
    <n v="0"/>
    <x v="0"/>
  </r>
  <r>
    <x v="21"/>
    <s v=""/>
    <n v="0"/>
    <x v="1"/>
    <s v="Østdanmark"/>
    <n v="565408.05688718066"/>
    <n v="0"/>
    <n v="0"/>
    <n v="106960.41463921656"/>
    <n v="0"/>
    <n v="0"/>
    <n v="0"/>
    <n v="0"/>
    <n v="458447.6422479641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5711.1993976305"/>
    <n v="550714.69493164914"/>
    <n v="0"/>
    <n v="256234.83946537593"/>
    <n v="919.8552163538659"/>
    <n v="0"/>
    <n v="0"/>
    <n v="0"/>
    <n v="727841.8097842515"/>
    <n v="679394.36200410523"/>
    <n v="919.8552163538659"/>
    <n v="2.3268305746533802"/>
    <n v="2.329980949989662"/>
    <n v="3.1503753362817017E-3"/>
    <n v="2.3268305746533802"/>
    <n v="210612.25222127262"/>
    <n v="210897.40733834234"/>
    <n v="285.15511706969841"/>
    <n v="210612.25222127265"/>
    <x v="0"/>
  </r>
  <r>
    <x v="23"/>
    <s v=""/>
    <n v="0"/>
    <x v="1"/>
    <s v="Østdanmark"/>
    <n v="0"/>
    <n v="0"/>
    <n v="0"/>
    <n v="0"/>
    <n v="0"/>
    <n v="298971.86331119167"/>
    <n v="0"/>
    <n v="0"/>
    <n v="-298971.8633111916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53673.50359972543"/>
    <n v="184557.83453324181"/>
    <n v="0"/>
    <n v="0"/>
    <n v="0"/>
    <n v="0"/>
    <n v="553673.50359972543"/>
    <n v="0"/>
    <n v="0.28026399078714503"/>
    <n v="0.28026399078714503"/>
    <n v="0"/>
    <n v="0"/>
    <n v="42079.186273579129"/>
    <n v="42079.186273579129"/>
    <n v="0"/>
    <x v="0"/>
  </r>
  <r>
    <x v="25"/>
    <s v=""/>
    <n v="0"/>
    <x v="1"/>
    <s v="Østdanmark"/>
    <n v="92168.427114874314"/>
    <n v="141469.60847064349"/>
    <n v="0"/>
    <n v="0"/>
    <n v="0"/>
    <n v="0"/>
    <n v="0"/>
    <n v="0"/>
    <n v="-49301.1813557691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0934.043362923"/>
    <n v="528461.76331446774"/>
    <n v="0"/>
    <n v="0"/>
    <n v="77888.653043517654"/>
    <n v="0"/>
    <n v="0"/>
    <n v="0"/>
    <n v="624583.62700493762"/>
    <n v="5684.6701463077916"/>
    <n v="77888.653043517654"/>
    <n v="2.0407965825244973E-2"/>
    <n v="0.30002823025147335"/>
    <n v="0.27962026442622839"/>
    <n v="2.0407965825244956E-2"/>
    <n v="1705.4010438923374"/>
    <n v="25071.996956947634"/>
    <n v="23366.595913055295"/>
    <n v="1705.4010438923397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00607.72383924882"/>
    <n v="0"/>
    <n v="0"/>
    <n v="0"/>
    <n v="0"/>
    <n v="0"/>
    <n v="0"/>
    <n v="0"/>
    <n v="400607.72383924882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66681.39344549182"/>
    <n v="0"/>
    <n v="0"/>
    <n v="0"/>
    <n v="0"/>
    <n v="0"/>
    <n v="66681.39344549182"/>
    <n v="0"/>
    <n v="0"/>
    <n v="0"/>
    <n v="66681.39344549182"/>
    <n v="0"/>
    <n v="1.2269376393970493"/>
    <n v="0"/>
    <n v="1.2269376393970493"/>
    <n v="0"/>
    <n v="27672.778279879109"/>
    <n v="0"/>
    <n v="27672.778279879109"/>
    <x v="0"/>
  </r>
  <r>
    <x v="32"/>
    <s v="Pyrolyseprodukter"/>
    <n v="1"/>
    <x v="1"/>
    <s v="Østdanmark"/>
    <n v="155826.31994563958"/>
    <n v="0"/>
    <n v="0"/>
    <n v="0"/>
    <n v="0"/>
    <n v="0"/>
    <n v="155826.31994563958"/>
    <n v="0"/>
    <n v="0"/>
    <n v="0"/>
    <n v="155826.31994563958"/>
    <n v="0"/>
    <n v="1.396426435741424"/>
    <n v="0"/>
    <n v="1.396426435741424"/>
    <n v="0"/>
    <n v="0"/>
    <n v="0"/>
    <n v="0"/>
    <x v="0"/>
  </r>
  <r>
    <x v="33"/>
    <s v="Pyrolyseprodukter"/>
    <n v="1"/>
    <x v="1"/>
    <s v="Østdanmark"/>
    <n v="38956.579986409895"/>
    <n v="0"/>
    <n v="0"/>
    <n v="0"/>
    <n v="0"/>
    <n v="0"/>
    <n v="38956.579986409895"/>
    <n v="0"/>
    <n v="0"/>
    <n v="0"/>
    <n v="38956.579986409895"/>
    <n v="0"/>
    <n v="1.2960297638907334"/>
    <n v="0"/>
    <n v="1.2960297638907334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34695.12994987622"/>
    <n v="0"/>
    <n v="0"/>
    <n v="0"/>
    <n v="0"/>
    <n v="0"/>
    <n v="0"/>
    <n v="234695.1299498762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17347.56497493811"/>
    <n v="19658.870107237683"/>
    <n v="0"/>
    <n v="0"/>
    <n v="0"/>
    <n v="0"/>
    <n v="0"/>
    <n v="0"/>
    <n v="97688.69486770042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75102.44158396039"/>
    <n v="0"/>
    <n v="0"/>
    <n v="0"/>
    <n v="0"/>
    <n v="0"/>
    <n v="75102.44158396039"/>
    <n v="0"/>
    <n v="0"/>
    <n v="0"/>
    <n v="75102.44158396039"/>
    <n v="0"/>
    <n v="2.6285854554386132"/>
    <n v="0"/>
    <n v="2.6285854554386132"/>
    <n v="0"/>
    <n v="0"/>
    <n v="0"/>
    <n v="0"/>
    <x v="0"/>
  </r>
  <r>
    <x v="38"/>
    <s v="Græs og urter"/>
    <n v="1"/>
    <x v="1"/>
    <s v="Østdanmark"/>
    <n v="224108.96073862392"/>
    <n v="81355.565263148092"/>
    <n v="0"/>
    <n v="0"/>
    <n v="7250.6573323098974"/>
    <n v="0"/>
    <n v="0"/>
    <n v="0"/>
    <n v="135502.73814316595"/>
    <n v="105480.10532489244"/>
    <n v="7250.6573323098974"/>
    <n v="0.28627722505597109"/>
    <n v="0.30595579908215342"/>
    <n v="1.9678574026182356E-2"/>
    <n v="0.28627722505597109"/>
    <n v="21096.021064978489"/>
    <n v="22546.152531440472"/>
    <n v="1450.1314664619795"/>
    <n v="21096.021064978493"/>
    <x v="0"/>
  </r>
  <r>
    <x v="39"/>
    <s v=""/>
    <n v="0"/>
    <x v="1"/>
    <s v="Østdanmark"/>
    <n v="17150.132696154993"/>
    <n v="0"/>
    <n v="0"/>
    <n v="0"/>
    <n v="0"/>
    <n v="0"/>
    <n v="0"/>
    <n v="0"/>
    <n v="17150.132696154993"/>
    <n v="0"/>
    <n v="0"/>
    <n v="0"/>
    <n v="0"/>
    <n v="0"/>
    <n v="0"/>
    <n v="0"/>
    <n v="0"/>
    <n v="0"/>
    <n v="0"/>
    <x v="0"/>
  </r>
  <r>
    <x v="40"/>
    <s v=""/>
    <n v="0"/>
    <x v="1"/>
    <s v="Østdanmark"/>
    <n v="13741.973573647057"/>
    <n v="3604.250814640001"/>
    <n v="0"/>
    <n v="0"/>
    <n v="0"/>
    <n v="0"/>
    <n v="0"/>
    <n v="0"/>
    <n v="10137.722759007056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x v="0"/>
  </r>
  <r>
    <x v="42"/>
    <s v="Husdyrgødning"/>
    <n v="1"/>
    <x v="1"/>
    <s v="Østdanmark"/>
    <n v="1638224.8785321345"/>
    <n v="0"/>
    <n v="0"/>
    <n v="0"/>
    <n v="1228668.658899101"/>
    <n v="409556.21963303362"/>
    <n v="0"/>
    <n v="0"/>
    <n v="0"/>
    <n v="0"/>
    <n v="1228668.658899101"/>
    <n v="0"/>
    <n v="0.5293104582537328"/>
    <n v="0.5293104582537328"/>
    <n v="0"/>
    <n v="0"/>
    <n v="61433.43294495505"/>
    <n v="61433.43294495505"/>
    <n v="0"/>
    <x v="0"/>
  </r>
  <r>
    <x v="43"/>
    <s v=""/>
    <n v="0"/>
    <x v="1"/>
    <s v="Østdanmark"/>
    <n v="149752.58402122525"/>
    <n v="0"/>
    <n v="0"/>
    <n v="84421.151879638346"/>
    <n v="0"/>
    <n v="0"/>
    <n v="0"/>
    <n v="0"/>
    <n v="65331.4321415869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8116.49103494617"/>
    <n v="0"/>
    <n v="0"/>
    <n v="0"/>
    <n v="0"/>
    <n v="0"/>
    <n v="648116.49103494617"/>
    <n v="0"/>
    <n v="0"/>
    <n v="0"/>
    <n v="648116.49103494617"/>
    <n v="0"/>
    <n v="9.3935210185437228"/>
    <n v="0"/>
    <n v="9.3935210185437228"/>
    <n v="0"/>
    <n v="320547.61452436709"/>
    <n v="0"/>
    <n v="320547.61452436709"/>
    <x v="0"/>
  </r>
  <r>
    <x v="47"/>
    <s v=""/>
    <n v="0"/>
    <x v="1"/>
    <s v="Østdanmark"/>
    <n v="178393.88316623261"/>
    <n v="0"/>
    <n v="0"/>
    <n v="0"/>
    <n v="0"/>
    <n v="0"/>
    <n v="0"/>
    <n v="178393.88316623261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172969.00798479689"/>
    <n v="3823.0915711153852"/>
    <n v="0"/>
    <n v="88596.006060305852"/>
    <n v="0"/>
    <n v="0"/>
    <n v="0"/>
    <n v="0"/>
    <n v="80549.9103533756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9356590.48091067"/>
    <n v="0"/>
    <n v="0"/>
    <n v="0"/>
    <n v="0"/>
    <n v="0"/>
    <n v="129356590.48091067"/>
    <n v="0"/>
    <n v="0"/>
    <n v="0"/>
    <n v="129356590.48091067"/>
    <n v="0"/>
    <n v="0"/>
    <n v="0"/>
    <n v="0"/>
    <n v="0"/>
    <n v="0"/>
    <n v="0"/>
    <n v="0"/>
    <x v="0"/>
  </r>
  <r>
    <x v="4"/>
    <s v=""/>
    <n v="0"/>
    <x v="2"/>
    <s v="Østdanmark"/>
    <n v="4444390.8914948301"/>
    <n v="0"/>
    <n v="0"/>
    <n v="0"/>
    <n v="0"/>
    <n v="3135697.1726427898"/>
    <n v="0"/>
    <n v="0"/>
    <n v="1308693.71885204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4582.730818151"/>
    <n v="0"/>
    <n v="0"/>
    <n v="0"/>
    <n v="145937.04811361324"/>
    <n v="0"/>
    <n v="0"/>
    <n v="0"/>
    <n v="48645.682704537758"/>
    <n v="48645.682704537758"/>
    <n v="145937.04811361324"/>
    <n v="2.7632016306687129E-2"/>
    <n v="0.1105280652267485"/>
    <n v="8.2896048920061374E-2"/>
    <n v="2.7632016306687129E-2"/>
    <n v="2080.2541825406252"/>
    <n v="8321.0167301625006"/>
    <n v="6240.7625476218745"/>
    <n v="2080.2541825406261"/>
    <x v="0"/>
  </r>
  <r>
    <x v="6"/>
    <s v="Husdyrgødning"/>
    <n v="1"/>
    <x v="2"/>
    <s v="Østdanmark"/>
    <n v="194332.65736576461"/>
    <n v="0"/>
    <n v="0"/>
    <n v="0"/>
    <n v="174899.39162918815"/>
    <n v="7356.8791717039439"/>
    <n v="0"/>
    <n v="0"/>
    <n v="12076.386564872519"/>
    <n v="12076.386564872519"/>
    <n v="174899.39162918815"/>
    <n v="2.6012536660735407E-2"/>
    <n v="0.40274582623000665"/>
    <n v="0.37673328956927127"/>
    <n v="2.6012536660735386E-2"/>
    <n v="3622.9159694617556"/>
    <n v="56092.733458218201"/>
    <n v="52469.817488756446"/>
    <n v="3622.9159694617556"/>
    <x v="0"/>
  </r>
  <r>
    <x v="7"/>
    <s v=""/>
    <n v="0"/>
    <x v="2"/>
    <s v="Østdanmark"/>
    <n v="137052.04026150002"/>
    <n v="136538.9846826923"/>
    <n v="0"/>
    <n v="0"/>
    <n v="0"/>
    <n v="0"/>
    <n v="0"/>
    <n v="0"/>
    <n v="513.05557880771812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7596.15120364408"/>
    <n v="0"/>
    <n v="0"/>
    <n v="0"/>
    <n v="0"/>
    <n v="-3021.0363108320744"/>
    <n v="0"/>
    <n v="0"/>
    <n v="0"/>
    <n v="0"/>
    <n v="0"/>
    <n v="0"/>
    <n v="0"/>
    <n v="0"/>
    <n v="0"/>
    <n v="0"/>
    <x v="0"/>
  </r>
  <r>
    <x v="10"/>
    <s v=""/>
    <n v="0"/>
    <x v="2"/>
    <s v="Østdanmark"/>
    <n v="287387.86171913851"/>
    <n v="0"/>
    <n v="0"/>
    <n v="0"/>
    <n v="0"/>
    <n v="0"/>
    <n v="0"/>
    <n v="0"/>
    <n v="287387.86171913851"/>
    <n v="0"/>
    <n v="0"/>
    <n v="0"/>
    <n v="0"/>
    <n v="0"/>
    <n v="0"/>
    <n v="0"/>
    <n v="0"/>
    <n v="0"/>
    <n v="0"/>
    <x v="0"/>
  </r>
  <r>
    <x v="11"/>
    <s v=""/>
    <n v="0"/>
    <x v="2"/>
    <s v="Østdanmark"/>
    <n v="21135.685502875454"/>
    <n v="0"/>
    <n v="0"/>
    <n v="233795.01599247381"/>
    <n v="0"/>
    <n v="0"/>
    <n v="0"/>
    <n v="0"/>
    <n v="-212659.3304895983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931884.6041549444"/>
    <n v="767011.16794249229"/>
    <n v="0"/>
    <n v="0"/>
    <n v="0"/>
    <n v="0"/>
    <n v="0"/>
    <n v="398202.90492095106"/>
    <n v="1766670.5312915011"/>
    <n v="266828.64342463715"/>
    <n v="0"/>
    <n v="0.49093135032090429"/>
    <n v="0.49093135032090429"/>
    <n v="0"/>
    <n v="0.49093135032090429"/>
    <n v="74712.020158898405"/>
    <n v="74712.020158898405"/>
    <n v="0"/>
    <n v="74712.020158898405"/>
    <x v="0"/>
  </r>
  <r>
    <x v="14"/>
    <s v=""/>
    <n v="0"/>
    <x v="2"/>
    <s v="Østdanmark"/>
    <n v="66568.133841300005"/>
    <n v="66568.13384130000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17398.39981790849"/>
    <n v="0"/>
    <n v="0"/>
    <n v="244869.51675001203"/>
    <n v="0"/>
    <n v="0"/>
    <n v="0"/>
    <n v="0"/>
    <n v="-127471.1169321035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630610.47583601228"/>
    <n v="47947.551595505945"/>
    <n v="51992.644823495335"/>
    <n v="0"/>
    <n v="0"/>
    <n v="0"/>
    <n v="7002.3670705014374"/>
    <n v="445276.17331769242"/>
    <n v="78391.739028817159"/>
    <n v="0"/>
    <n v="7002.3670705014374"/>
    <n v="0"/>
    <n v="7.2375109956234487E-2"/>
    <n v="0"/>
    <n v="7.2375109956234487E-2"/>
    <n v="0"/>
    <n v="5952.0120099262213"/>
    <n v="0"/>
    <n v="5952.0120099262213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245291.86702362169"/>
    <n v="0"/>
    <n v="0"/>
    <n v="0"/>
    <n v="-60470.260555298446"/>
    <n v="0"/>
    <n v="245291.86702362169"/>
    <n v="0"/>
    <n v="0.90344931559265607"/>
    <n v="0.90344931559265607"/>
    <n v="0"/>
    <n v="0"/>
    <n v="103022.58414992111"/>
    <n v="103022.58414992111"/>
    <n v="0"/>
    <x v="1"/>
  </r>
  <r>
    <x v="20"/>
    <s v=""/>
    <n v="0"/>
    <x v="2"/>
    <s v="Østdanmark"/>
    <n v="248947.97885223315"/>
    <n v="0"/>
    <n v="0"/>
    <n v="0"/>
    <n v="0"/>
    <n v="0"/>
    <n v="0"/>
    <n v="0"/>
    <n v="248947.97885223315"/>
    <n v="0"/>
    <n v="0"/>
    <n v="0"/>
    <n v="0"/>
    <n v="0"/>
    <n v="0"/>
    <n v="0"/>
    <n v="0"/>
    <n v="0"/>
    <n v="0"/>
    <x v="0"/>
  </r>
  <r>
    <x v="21"/>
    <s v=""/>
    <n v="0"/>
    <x v="2"/>
    <s v="Østdanmark"/>
    <n v="528652.13279396389"/>
    <n v="0"/>
    <n v="0"/>
    <n v="111975.50765955324"/>
    <n v="0"/>
    <n v="0"/>
    <n v="0"/>
    <n v="0"/>
    <n v="416676.6251344106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22520.7615932694"/>
    <n v="368193.1930872486"/>
    <n v="0"/>
    <n v="268249.01834925939"/>
    <n v="1007.9394649217019"/>
    <n v="0"/>
    <n v="0"/>
    <n v="0"/>
    <n v="785070.61069183971"/>
    <n v="785070.61069183971"/>
    <n v="1007.9394649217019"/>
    <n v="2.6887569317340545"/>
    <n v="2.6922089832898863"/>
    <n v="3.4520515558317407E-3"/>
    <n v="2.6887569317340545"/>
    <n v="243371.88931447032"/>
    <n v="243684.35054859603"/>
    <n v="312.46123412572757"/>
    <n v="243371.88931447032"/>
    <x v="0"/>
  </r>
  <r>
    <x v="23"/>
    <s v=""/>
    <n v="0"/>
    <x v="2"/>
    <s v="Østdanmark"/>
    <n v="0"/>
    <n v="0"/>
    <n v="0"/>
    <n v="0"/>
    <n v="0"/>
    <n v="292278.82851604407"/>
    <n v="0"/>
    <n v="0"/>
    <n v="-292278.82851604407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407320.38302962092"/>
    <n v="45257.820336624536"/>
    <n v="0"/>
    <n v="0"/>
    <n v="0"/>
    <n v="0"/>
    <n v="407320.38302962092"/>
    <n v="0"/>
    <n v="0.20618150468576385"/>
    <n v="0.20618150468576385"/>
    <n v="0"/>
    <n v="0"/>
    <n v="30956.349110251191"/>
    <n v="30956.349110251191"/>
    <n v="0"/>
    <x v="0"/>
  </r>
  <r>
    <x v="25"/>
    <s v=""/>
    <n v="0"/>
    <x v="2"/>
    <s v="Østdanmark"/>
    <n v="56535.233681691527"/>
    <n v="94582.816378404299"/>
    <n v="0"/>
    <n v="0"/>
    <n v="0"/>
    <n v="0"/>
    <n v="0"/>
    <n v="0"/>
    <n v="-38047.582696712772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162586.9095964739"/>
    <n v="353315.47505450371"/>
    <n v="0"/>
    <n v="0"/>
    <n v="87862.083818699844"/>
    <n v="0"/>
    <n v="0"/>
    <n v="0"/>
    <n v="721409.35072327033"/>
    <n v="721409.35072327033"/>
    <n v="87862.083818699844"/>
    <n v="2.5898595690965407"/>
    <n v="2.9052844500056731"/>
    <n v="0.31542488090913245"/>
    <n v="2.5898595690965407"/>
    <n v="216422.8052169811"/>
    <n v="242781.43036259103"/>
    <n v="26358.625145609953"/>
    <n v="216422.80521698107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29926.992547120819"/>
    <n v="0"/>
    <n v="0"/>
    <n v="0"/>
    <n v="0"/>
    <n v="-26274.210773830127"/>
    <n v="0"/>
    <n v="0"/>
    <n v="0"/>
    <n v="0"/>
    <n v="0"/>
    <n v="0"/>
    <n v="0"/>
    <n v="0"/>
    <n v="0"/>
    <n v="0"/>
    <x v="1"/>
  </r>
  <r>
    <x v="30"/>
    <s v=""/>
    <n v="0"/>
    <x v="2"/>
    <s v="Østdanmark"/>
    <n v="370882.10534501984"/>
    <n v="0"/>
    <n v="0"/>
    <n v="0"/>
    <n v="0"/>
    <n v="0"/>
    <n v="0"/>
    <n v="0"/>
    <n v="370882.1053450198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60719.109564821476"/>
    <n v="0"/>
    <n v="0"/>
    <n v="0"/>
    <n v="0"/>
    <n v="0"/>
    <n v="121438.21912964295"/>
    <n v="0"/>
    <n v="-60719.109564821476"/>
    <n v="0"/>
    <n v="121438.21912964295"/>
    <n v="0"/>
    <n v="2.2344632319854298"/>
    <n v="0"/>
    <n v="2.2344632319854298"/>
    <n v="0"/>
    <n v="50396.86093880183"/>
    <n v="0"/>
    <n v="50396.86093880183"/>
    <x v="1"/>
  </r>
  <r>
    <x v="32"/>
    <s v="Pyrolyseprodukter"/>
    <n v="1"/>
    <x v="2"/>
    <s v="Østdanmark"/>
    <n v="249354.65705790778"/>
    <n v="0"/>
    <n v="0"/>
    <n v="0"/>
    <n v="0"/>
    <n v="0"/>
    <n v="249354.65705790778"/>
    <n v="0"/>
    <n v="0"/>
    <n v="0"/>
    <n v="249354.65705790778"/>
    <n v="0"/>
    <n v="2.2345739481775073"/>
    <n v="0"/>
    <n v="2.2345739481775073"/>
    <n v="0"/>
    <n v="0"/>
    <n v="0"/>
    <n v="0"/>
    <x v="0"/>
  </r>
  <r>
    <x v="33"/>
    <s v="Pyrolyseprodukter"/>
    <n v="1"/>
    <x v="2"/>
    <s v="Østdanmark"/>
    <n v="62338.664264476945"/>
    <n v="0"/>
    <n v="0"/>
    <n v="0"/>
    <n v="0"/>
    <n v="0"/>
    <n v="62338.664264476945"/>
    <n v="0"/>
    <n v="0"/>
    <n v="0"/>
    <n v="62338.664264476945"/>
    <n v="0"/>
    <n v="2.0739183048444838"/>
    <n v="0"/>
    <n v="2.0739183048444838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18245.06049109949"/>
    <n v="0"/>
    <n v="0"/>
    <n v="0"/>
    <n v="0"/>
    <n v="0"/>
    <n v="0"/>
    <n v="218245.0604910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9122.53024554974"/>
    <n v="13143.397523048965"/>
    <n v="0"/>
    <n v="0"/>
    <n v="0"/>
    <n v="0"/>
    <n v="0"/>
    <n v="0"/>
    <n v="95979.13272250078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9838.419357151841"/>
    <n v="0"/>
    <n v="0"/>
    <n v="0"/>
    <n v="0"/>
    <n v="0"/>
    <n v="69838.419357151841"/>
    <n v="0"/>
    <n v="0"/>
    <n v="0"/>
    <n v="69838.419357151841"/>
    <n v="0"/>
    <n v="2.4443446775003141"/>
    <n v="0"/>
    <n v="2.4443446775003141"/>
    <n v="0"/>
    <n v="0"/>
    <n v="0"/>
    <n v="0"/>
    <x v="0"/>
  </r>
  <r>
    <x v="38"/>
    <s v="Græs og urter"/>
    <n v="1"/>
    <x v="2"/>
    <s v="Østdanmark"/>
    <n v="202279.77798791436"/>
    <n v="54392.166443596157"/>
    <n v="0"/>
    <n v="0"/>
    <n v="7626.1175136889688"/>
    <n v="0"/>
    <n v="0"/>
    <n v="0"/>
    <n v="140261.49403062923"/>
    <n v="140261.49403062923"/>
    <n v="7626.1175136889688"/>
    <n v="0.38067530525888893"/>
    <n v="0.40137289323574132"/>
    <n v="2.0697587976852408E-2"/>
    <n v="0.38067530525888893"/>
    <n v="28052.298806125847"/>
    <n v="29577.522308863641"/>
    <n v="1525.2235027377938"/>
    <n v="28052.298806125847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2409.7062024000002"/>
    <n v="0"/>
    <n v="0"/>
    <n v="0"/>
    <n v="0"/>
    <n v="0"/>
    <n v="0"/>
    <n v="6483.180689105516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622026.1401572018"/>
    <n v="0"/>
    <n v="0"/>
    <n v="0"/>
    <n v="874008.71338573378"/>
    <n v="874008.71338573378"/>
    <n v="2622026.1401572018"/>
    <n v="0.43613908806661505"/>
    <n v="1.7445563522664607"/>
    <n v="1.3084172641998455"/>
    <n v="0.43613908806661517"/>
    <n v="52440.522803144027"/>
    <n v="209762.09121257614"/>
    <n v="157321.5684094321"/>
    <n v="52440.522803144035"/>
    <x v="0"/>
  </r>
  <r>
    <x v="42"/>
    <s v="Husdyrgødning"/>
    <n v="1"/>
    <x v="2"/>
    <s v="Østdanmark"/>
    <n v="1045598.7208186348"/>
    <n v="0"/>
    <n v="0"/>
    <n v="0"/>
    <n v="941038.84873677138"/>
    <n v="104559.87208186346"/>
    <n v="0"/>
    <n v="0"/>
    <n v="0"/>
    <n v="0"/>
    <n v="941038.84873677138"/>
    <n v="0"/>
    <n v="0.4053995360358012"/>
    <n v="0.4053995360358012"/>
    <n v="0"/>
    <n v="0"/>
    <n v="47051.942436838573"/>
    <n v="47051.942436838573"/>
    <n v="0"/>
    <x v="0"/>
  </r>
  <r>
    <x v="43"/>
    <s v=""/>
    <n v="0"/>
    <x v="2"/>
    <s v="Østdanmark"/>
    <n v="97091.997795525866"/>
    <n v="0"/>
    <n v="0"/>
    <n v="60760.863656275607"/>
    <n v="0"/>
    <n v="0"/>
    <n v="0"/>
    <n v="0"/>
    <n v="36331.13413925025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9773.75936305185"/>
    <n v="0"/>
    <n v="0"/>
    <n v="0"/>
    <n v="0"/>
    <n v="0"/>
    <n v="0"/>
    <n v="0"/>
    <n v="629773.75936305185"/>
    <n v="629773.75936305185"/>
    <n v="0"/>
    <n v="9.127669373228688"/>
    <n v="9.127669373228688"/>
    <n v="0"/>
    <n v="9.127669373228688"/>
    <n v="311475.6051516427"/>
    <n v="311475.6051516427"/>
    <n v="0"/>
    <n v="311475.6051516427"/>
    <x v="0"/>
  </r>
  <r>
    <x v="47"/>
    <s v=""/>
    <n v="0"/>
    <x v="2"/>
    <s v="Østdanmark"/>
    <n v="179246.53073851895"/>
    <n v="0"/>
    <n v="0"/>
    <n v="0"/>
    <n v="0"/>
    <n v="0"/>
    <n v="0"/>
    <n v="179246.53073851895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54892.22499100864"/>
    <n v="3889794.49718697"/>
    <n v="1262238.3143371718"/>
    <n v="1262238.3143371718"/>
  </r>
  <r>
    <x v="0"/>
    <x v="1"/>
    <x v="1"/>
    <s v="Konventionel"/>
    <x v="0"/>
    <s v="Halm"/>
    <n v="124850.75062297694"/>
    <n v="481923.89740469103"/>
    <n v="142241.21167725138"/>
    <n v="142241.21167725138"/>
  </r>
  <r>
    <x v="0"/>
    <x v="2"/>
    <x v="1"/>
    <s v="Konventionel"/>
    <x v="0"/>
    <s v="Halm"/>
    <n v="138723.05624775216"/>
    <n v="610381.44749010948"/>
    <n v="324112.54861724819"/>
    <n v="324112.54861724819"/>
  </r>
  <r>
    <x v="0"/>
    <x v="3"/>
    <x v="1"/>
    <s v="Konventionel"/>
    <x v="0"/>
    <s v="Græs"/>
    <n v="90169.986561038895"/>
    <n v="4474234.7331587505"/>
    <n v="0"/>
    <n v="4474234.7331587505"/>
  </r>
  <r>
    <x v="0"/>
    <x v="4"/>
    <x v="1"/>
    <s v="Konventionel"/>
    <x v="0"/>
    <s v="Grøntsager"/>
    <n v="13872.305624775214"/>
    <n v="287850.34171408572"/>
    <n v="0"/>
    <n v="287850.34171408572"/>
  </r>
  <r>
    <x v="0"/>
    <x v="5"/>
    <x v="1"/>
    <s v="Konventionel"/>
    <x v="0"/>
    <s v="Kartofler"/>
    <n v="34680.76406193804"/>
    <n v="1472923.2440485535"/>
    <n v="0"/>
    <n v="1472923.2440485535"/>
  </r>
  <r>
    <x v="0"/>
    <x v="6"/>
    <x v="1"/>
    <s v="Konventionel"/>
    <x v="0"/>
    <s v="Roer"/>
    <n v="6936.1528123876069"/>
    <n v="563588.29717370344"/>
    <n v="0"/>
    <n v="563588.29717370344"/>
  </r>
  <r>
    <x v="0"/>
    <x v="7"/>
    <x v="1"/>
    <s v="Konventionel"/>
    <x v="0"/>
    <s v="Majs"/>
    <n v="69361.52812387608"/>
    <n v="3087281.6167937247"/>
    <n v="0"/>
    <n v="3087281.6167937247"/>
  </r>
  <r>
    <x v="0"/>
    <x v="8"/>
    <x v="1"/>
    <s v="Konventionel"/>
    <x v="0"/>
    <s v="Frugt"/>
    <n v="6936.1528123876069"/>
    <n v="58887.937377170791"/>
    <n v="0"/>
    <n v="58887.937377170791"/>
  </r>
  <r>
    <x v="0"/>
    <x v="9"/>
    <x v="1"/>
    <s v="Konventionel"/>
    <x v="0"/>
    <s v="Øvrige"/>
    <n v="34680.76406193804"/>
    <n v="1033346.0868102438"/>
    <n v="0"/>
    <n v="1033346.0868102438"/>
  </r>
  <r>
    <x v="0"/>
    <x v="10"/>
    <x v="1"/>
    <s v="Konventionel"/>
    <x v="0"/>
    <s v="Halm"/>
    <n v="56037.604882581254"/>
    <n v="800713.53346272616"/>
    <n v="132248.74752289176"/>
    <n v="132248.74752289176"/>
  </r>
  <r>
    <x v="0"/>
    <x v="11"/>
    <x v="1"/>
    <s v="Konventionel"/>
    <x v="0"/>
    <s v="Juletræer"/>
    <n v="13872.305624775214"/>
    <n v="693615.2812387608"/>
    <n v="0"/>
    <n v="693615.2812387608"/>
  </r>
  <r>
    <x v="0"/>
    <x v="12"/>
    <x v="1"/>
    <s v="Konventionel"/>
    <x v="0"/>
    <s v="Pil &amp; poppel"/>
    <n v="6936.1528123876069"/>
    <n v="169174.45883872214"/>
    <n v="0"/>
    <n v="169174.45883872214"/>
  </r>
  <r>
    <x v="0"/>
    <x v="13"/>
    <x v="1"/>
    <s v="Konventionel"/>
    <x v="0"/>
    <s v="Græs"/>
    <n v="235829.19562117866"/>
    <n v="3252084.6076160539"/>
    <n v="0"/>
    <n v="3252084.6076160539"/>
  </r>
  <r>
    <x v="0"/>
    <x v="0"/>
    <x v="2"/>
    <s v="Konventionel"/>
    <x v="0"/>
    <s v="Halm"/>
    <n v="456814.61907104118"/>
    <n v="3202270.4796879985"/>
    <n v="1039136.7706587557"/>
    <n v="1039136.7706587557"/>
  </r>
  <r>
    <x v="0"/>
    <x v="1"/>
    <x v="2"/>
    <s v="Konventionel"/>
    <x v="0"/>
    <s v="Halm"/>
    <n v="102783.28929098426"/>
    <n v="396743.49666319927"/>
    <n v="117099.97365632544"/>
    <n v="117099.97365632544"/>
  </r>
  <r>
    <x v="0"/>
    <x v="2"/>
    <x v="2"/>
    <s v="Konventionel"/>
    <x v="0"/>
    <s v="Halm"/>
    <n v="114203.65476776029"/>
    <n v="502496.0809781453"/>
    <n v="266825.41899939516"/>
    <n v="266825.41899939516"/>
  </r>
  <r>
    <x v="0"/>
    <x v="3"/>
    <x v="2"/>
    <s v="Konventionel"/>
    <x v="0"/>
    <s v="Græs"/>
    <n v="74232.375599044186"/>
    <n v="3683410.477224573"/>
    <n v="0"/>
    <n v="3683410.477224573"/>
  </r>
  <r>
    <x v="0"/>
    <x v="4"/>
    <x v="2"/>
    <s v="Konventionel"/>
    <x v="0"/>
    <s v="Grøntsager"/>
    <n v="11420.365476776029"/>
    <n v="236972.58364310261"/>
    <n v="0"/>
    <n v="236972.58364310261"/>
  </r>
  <r>
    <x v="0"/>
    <x v="5"/>
    <x v="2"/>
    <s v="Konventionel"/>
    <x v="0"/>
    <s v="Kartofler"/>
    <n v="28550.913691940073"/>
    <n v="1212582.9852127142"/>
    <n v="0"/>
    <n v="1212582.9852127142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5710.1827383880145"/>
    <n v="48479.451448914246"/>
    <n v="0"/>
    <n v="48479.451448914246"/>
  </r>
  <r>
    <x v="0"/>
    <x v="9"/>
    <x v="2"/>
    <s v="Konventionel"/>
    <x v="0"/>
    <s v="Øvrige"/>
    <n v="28550.913691940073"/>
    <n v="850701.41147214919"/>
    <n v="0"/>
    <n v="850701.41147214919"/>
  </r>
  <r>
    <x v="0"/>
    <x v="10"/>
    <x v="2"/>
    <s v="Konventionel"/>
    <x v="0"/>
    <s v="Halm"/>
    <n v="46132.91730390468"/>
    <n v="659186.8317847302"/>
    <n v="108873.68483721506"/>
    <n v="108873.68483721506"/>
  </r>
  <r>
    <x v="0"/>
    <x v="11"/>
    <x v="2"/>
    <s v="Konventionel"/>
    <x v="0"/>
    <s v="Juletræer"/>
    <n v="11420.365476776029"/>
    <n v="571018.27383880154"/>
    <n v="0"/>
    <n v="571018.27383880154"/>
  </r>
  <r>
    <x v="0"/>
    <x v="12"/>
    <x v="2"/>
    <s v="Konventionel"/>
    <x v="0"/>
    <s v="Pil &amp; poppel"/>
    <n v="5710.1827383880145"/>
    <n v="139272.74971678085"/>
    <n v="0"/>
    <n v="139272.74971678085"/>
  </r>
  <r>
    <x v="0"/>
    <x v="13"/>
    <x v="2"/>
    <s v="Konventionel"/>
    <x v="0"/>
    <s v="Græs"/>
    <n v="194146.21310519252"/>
    <n v="2677276.2787206052"/>
    <n v="0"/>
    <n v="2677276.2787206052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6601.676732700769"/>
    <n v="406742.09511047573"/>
    <n v="131987.80986334936"/>
    <n v="131987.80986334936"/>
  </r>
  <r>
    <x v="0"/>
    <x v="1"/>
    <x v="1"/>
    <s v="Økologisk"/>
    <x v="0"/>
    <s v="Halm"/>
    <n v="19485.377264857674"/>
    <n v="42871.727058139862"/>
    <n v="12653.712414525426"/>
    <n v="12653.712414525426"/>
  </r>
  <r>
    <x v="0"/>
    <x v="2"/>
    <x v="1"/>
    <s v="Økologisk"/>
    <x v="0"/>
    <s v="Halm"/>
    <n v="21650.419183175192"/>
    <n v="52394.014423283974"/>
    <n v="27821.221658763785"/>
    <n v="27821.221658763785"/>
  </r>
  <r>
    <x v="0"/>
    <x v="3"/>
    <x v="1"/>
    <s v="Økologisk"/>
    <x v="0"/>
    <s v="Græs"/>
    <n v="14072.772469063875"/>
    <n v="544666.95653366065"/>
    <n v="0"/>
    <n v="544666.95653366065"/>
  </r>
  <r>
    <x v="0"/>
    <x v="4"/>
    <x v="1"/>
    <s v="Økologisk"/>
    <x v="0"/>
    <s v="Grøntsager"/>
    <n v="2165.041918317519"/>
    <n v="25607.033288900457"/>
    <n v="0"/>
    <n v="25607.033288900457"/>
  </r>
  <r>
    <x v="0"/>
    <x v="5"/>
    <x v="1"/>
    <s v="Økologisk"/>
    <x v="0"/>
    <s v="Kartofler"/>
    <n v="5412.6047957937981"/>
    <n v="131030.57066998405"/>
    <n v="0"/>
    <n v="131030.57066998405"/>
  </r>
  <r>
    <x v="0"/>
    <x v="6"/>
    <x v="1"/>
    <s v="Økologisk"/>
    <x v="0"/>
    <s v="Roer"/>
    <n v="1082.5209591587595"/>
    <n v="50136.554297706913"/>
    <n v="0"/>
    <n v="50136.554297706913"/>
  </r>
  <r>
    <x v="0"/>
    <x v="7"/>
    <x v="1"/>
    <s v="Økologisk"/>
    <x v="0"/>
    <s v="Majs"/>
    <n v="10825.209591587596"/>
    <n v="399918.96550489805"/>
    <n v="0"/>
    <n v="399918.96550489805"/>
  </r>
  <r>
    <x v="0"/>
    <x v="8"/>
    <x v="1"/>
    <s v="Økologisk"/>
    <x v="0"/>
    <s v="Frugt"/>
    <n v="1082.5209591587595"/>
    <n v="5238.6436776569863"/>
    <n v="0"/>
    <n v="5238.6436776569863"/>
  </r>
  <r>
    <x v="0"/>
    <x v="9"/>
    <x v="1"/>
    <s v="Økologisk"/>
    <x v="0"/>
    <s v="Øvrige"/>
    <n v="5412.6047957937981"/>
    <n v="91925.990034737857"/>
    <n v="0"/>
    <n v="91925.990034737857"/>
  </r>
  <r>
    <x v="0"/>
    <x v="10"/>
    <x v="1"/>
    <s v="Økologisk"/>
    <x v="0"/>
    <s v="Halm"/>
    <n v="8745.7533631774204"/>
    <n v="71231.105664689894"/>
    <n v="11764.787424146265"/>
    <n v="11764.787424146265"/>
  </r>
  <r>
    <x v="0"/>
    <x v="11"/>
    <x v="1"/>
    <s v="Økologisk"/>
    <x v="0"/>
    <s v="Juletræer"/>
    <n v="2165.041918317519"/>
    <n v="61703.694672049292"/>
    <n v="0"/>
    <n v="61703.694672049292"/>
  </r>
  <r>
    <x v="0"/>
    <x v="12"/>
    <x v="1"/>
    <s v="Økologisk"/>
    <x v="0"/>
    <s v="Pil &amp; poppel"/>
    <n v="1082.5209591587595"/>
    <n v="15049.681627329097"/>
    <n v="0"/>
    <n v="15049.681627329097"/>
  </r>
  <r>
    <x v="0"/>
    <x v="13"/>
    <x v="1"/>
    <s v="Økologisk"/>
    <x v="0"/>
    <s v="Græs"/>
    <n v="36805.712611397823"/>
    <n v="507550.77691117604"/>
    <n v="0"/>
    <n v="507550.77691117604"/>
  </r>
  <r>
    <x v="0"/>
    <x v="0"/>
    <x v="2"/>
    <s v="Økologisk"/>
    <x v="0"/>
    <s v="Halm"/>
    <n v="96900.070712039029"/>
    <n v="455110.56211323367"/>
    <n v="147683.37740574437"/>
    <n v="147683.37740574437"/>
  </r>
  <r>
    <x v="0"/>
    <x v="1"/>
    <x v="2"/>
    <s v="Økologisk"/>
    <x v="0"/>
    <s v="Halm"/>
    <n v="21802.515910208782"/>
    <n v="47969.895505641362"/>
    <n v="14158.451360264802"/>
    <n v="14158.451360264802"/>
  </r>
  <r>
    <x v="0"/>
    <x v="2"/>
    <x v="2"/>
    <s v="Økologisk"/>
    <x v="0"/>
    <s v="Halm"/>
    <n v="24225.017678009757"/>
    <n v="58624.542780783624"/>
    <n v="31129.632216596103"/>
    <n v="31129.632216596103"/>
  </r>
  <r>
    <x v="0"/>
    <x v="3"/>
    <x v="2"/>
    <s v="Økologisk"/>
    <x v="0"/>
    <s v="Græs"/>
    <n v="15746.261490706343"/>
    <n v="609437.00623170205"/>
    <n v="0"/>
    <n v="609437.00623170205"/>
  </r>
  <r>
    <x v="0"/>
    <x v="4"/>
    <x v="2"/>
    <s v="Økologisk"/>
    <x v="0"/>
    <s v="Grøntsager"/>
    <n v="2422.5017678009758"/>
    <n v="28652.139658666041"/>
    <n v="0"/>
    <n v="28652.139658666041"/>
  </r>
  <r>
    <x v="0"/>
    <x v="5"/>
    <x v="2"/>
    <s v="Økologisk"/>
    <x v="0"/>
    <s v="Kartofler"/>
    <n v="6056.2544195024393"/>
    <n v="146612.30639390086"/>
    <n v="0"/>
    <n v="146612.30639390086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1211.2508839004879"/>
    <n v="5861.6064024596308"/>
    <n v="0"/>
    <n v="5861.6064024596308"/>
  </r>
  <r>
    <x v="0"/>
    <x v="9"/>
    <x v="2"/>
    <s v="Økologisk"/>
    <x v="0"/>
    <s v="Øvrige"/>
    <n v="6056.2544195024393"/>
    <n v="102857.53429617804"/>
    <n v="0"/>
    <n v="102857.53429617804"/>
  </r>
  <r>
    <x v="0"/>
    <x v="10"/>
    <x v="2"/>
    <s v="Økologisk"/>
    <x v="0"/>
    <s v="Halm"/>
    <n v="9785.7703371919033"/>
    <n v="79701.680570335564"/>
    <n v="13163.818257590547"/>
    <n v="13163.818257590547"/>
  </r>
  <r>
    <x v="0"/>
    <x v="11"/>
    <x v="2"/>
    <s v="Økologisk"/>
    <x v="0"/>
    <s v="Juletræer"/>
    <n v="2422.5017678009758"/>
    <n v="69041.300382327798"/>
    <n v="0"/>
    <n v="69041.300382327798"/>
  </r>
  <r>
    <x v="0"/>
    <x v="12"/>
    <x v="2"/>
    <s v="Økologisk"/>
    <x v="0"/>
    <s v="Pil &amp; poppel"/>
    <n v="1211.2508839004879"/>
    <n v="16839.34155666532"/>
    <n v="0"/>
    <n v="16839.34155666532"/>
  </r>
  <r>
    <x v="0"/>
    <x v="13"/>
    <x v="2"/>
    <s v="Økologisk"/>
    <x v="0"/>
    <s v="Græs"/>
    <n v="41182.530052616588"/>
    <n v="567907.08942558279"/>
    <n v="0"/>
    <n v="567907.0894255827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49103.611239321639"/>
    <n v="49103.611239321639"/>
  </r>
  <r>
    <x v="0"/>
    <x v="1"/>
    <x v="1"/>
    <s v="Konventionel"/>
    <x v="1"/>
    <s v="Halm"/>
    <n v="1542.0658644465243"/>
    <n v="7142.8490841163002"/>
    <n v="2108.2322624463368"/>
    <n v="2108.2322624463368"/>
  </r>
  <r>
    <x v="0"/>
    <x v="2"/>
    <x v="1"/>
    <s v="Konventionel"/>
    <x v="1"/>
    <s v="Halm"/>
    <n v="1651.2179103063932"/>
    <n v="8718.4305664177573"/>
    <n v="4629.4866307678276"/>
    <n v="4629.4866307678276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8025.1632678672395"/>
    <n v="8025.1632678672395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1896795207595032"/>
    <n v="1.1896795207595032"/>
  </r>
  <r>
    <x v="0"/>
    <x v="1"/>
    <x v="2"/>
    <s v="Konventionel"/>
    <x v="1"/>
    <s v="Halm"/>
    <n v="3.7361084700125495E-2"/>
    <n v="0.1730565443309813"/>
    <n v="5.107813222560717E-2"/>
    <n v="5.107813222560717E-2"/>
  </r>
  <r>
    <x v="0"/>
    <x v="2"/>
    <x v="2"/>
    <s v="Konventionel"/>
    <x v="1"/>
    <s v="Halm"/>
    <n v="4.0005614304589723E-2"/>
    <n v="0.21122964352823376"/>
    <n v="0.11216294071349212"/>
    <n v="0.11216294071349212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19443320256021493"/>
    <n v="0.19443320256021493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5134.5914873949623"/>
    <n v="5134.5914873949623"/>
  </r>
  <r>
    <x v="0"/>
    <x v="1"/>
    <x v="1"/>
    <s v="Økologisk"/>
    <x v="1"/>
    <s v="Halm"/>
    <n v="240.66923895986218"/>
    <n v="635.42455147138662"/>
    <n v="187.54736716213364"/>
    <n v="187.54736716213364"/>
  </r>
  <r>
    <x v="0"/>
    <x v="2"/>
    <x v="1"/>
    <s v="Økologisk"/>
    <x v="1"/>
    <s v="Halm"/>
    <n v="257.704529354177"/>
    <n v="748.37395324453018"/>
    <n v="397.3865691728455"/>
    <n v="397.3865691728455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713.91481325131133"/>
    <n v="713.91481325131133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16907869552612334"/>
    <n v="0.16907869552612334"/>
  </r>
  <r>
    <x v="0"/>
    <x v="1"/>
    <x v="2"/>
    <s v="Økologisk"/>
    <x v="1"/>
    <s v="Halm"/>
    <n v="7.9250785727538933E-3"/>
    <n v="2.0924109450927736E-2"/>
    <n v="6.1758105327325025E-3"/>
    <n v="6.1758105327325025E-3"/>
  </r>
  <r>
    <x v="0"/>
    <x v="2"/>
    <x v="2"/>
    <s v="Økologisk"/>
    <x v="1"/>
    <s v="Halm"/>
    <n v="8.4860393979432746E-3"/>
    <n v="2.464345841162727E-2"/>
    <n v="1.3085676416574083E-2"/>
    <n v="1.3085676416574083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2.3508741764098708E-2"/>
    <n v="2.3508741764098708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0.94503263983697616"/>
    <n v="0.94503263983697616"/>
  </r>
  <r>
    <x v="0"/>
    <x v="1"/>
    <x v="1"/>
    <s v="Konventionel"/>
    <x v="2"/>
    <s v="Halm"/>
    <n v="1.7086450333499009E-2"/>
    <n v="9.2335177602228646E-2"/>
    <n v="2.7252990800632915E-2"/>
    <n v="2.7252990800632915E-2"/>
  </r>
  <r>
    <x v="0"/>
    <x v="2"/>
    <x v="1"/>
    <s v="Konventionel"/>
    <x v="2"/>
    <s v="Halm"/>
    <n v="2.2126179468366147E-2"/>
    <n v="0.13629726552513546"/>
    <n v="7.2373847993846926E-2"/>
    <n v="7.2373847993846926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22494335517932812"/>
    <n v="0.22494335517932812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0.90133170851503497"/>
    <n v="0.90133170851503497"/>
  </r>
  <r>
    <x v="0"/>
    <x v="1"/>
    <x v="2"/>
    <s v="Konventionel"/>
    <x v="2"/>
    <s v="Halm"/>
    <n v="1.6296325462585758E-2"/>
    <n v="8.8065342799813429E-2"/>
    <n v="2.5992736890777059E-2"/>
    <n v="2.5992736890777059E-2"/>
  </r>
  <r>
    <x v="0"/>
    <x v="2"/>
    <x v="2"/>
    <s v="Konventionel"/>
    <x v="2"/>
    <s v="Halm"/>
    <n v="2.1103003539193144E-2"/>
    <n v="0.12999450180142977"/>
    <n v="6.9027080456559198E-2"/>
    <n v="6.9027080456559198E-2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21454135031554414"/>
    <n v="0.21454135031554414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9.881873095173932E-2"/>
    <n v="9.881873095173932E-2"/>
  </r>
  <r>
    <x v="0"/>
    <x v="1"/>
    <x v="1"/>
    <s v="Økologisk"/>
    <x v="2"/>
    <s v="Halm"/>
    <n v="2.6666714393322154E-3"/>
    <n v="8.2140947011462347E-3"/>
    <n v="2.4244134590852054E-3"/>
    <n v="2.4244134590852054E-3"/>
  </r>
  <r>
    <x v="0"/>
    <x v="2"/>
    <x v="1"/>
    <s v="Økologisk"/>
    <x v="2"/>
    <s v="Halm"/>
    <n v="3.4532187609588785E-3"/>
    <n v="1.1699505162128679E-2"/>
    <n v="6.2124372410903295E-3"/>
    <n v="6.2124372410903295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0010856856704395E-2"/>
    <n v="2.0010856856704395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12809835493743982"/>
    <n v="0.12809835493743982"/>
  </r>
  <r>
    <x v="0"/>
    <x v="1"/>
    <x v="2"/>
    <s v="Økologisk"/>
    <x v="2"/>
    <s v="Halm"/>
    <n v="3.4567963102454641E-3"/>
    <n v="1.06479005385229E-2"/>
    <n v="3.1427581877030439E-3"/>
    <n v="3.1427581877030439E-3"/>
  </r>
  <r>
    <x v="0"/>
    <x v="2"/>
    <x v="2"/>
    <s v="Økologisk"/>
    <x v="2"/>
    <s v="Halm"/>
    <n v="4.4763946901318786E-3"/>
    <n v="1.5166025210166807E-2"/>
    <n v="8.053159386598575E-3"/>
    <n v="8.053159386598575E-3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2.5939999629061253E-2"/>
    <n v="2.5939999629061253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1961.83100899146"/>
    <n v="1275552.4353730301"/>
    <n v="413916.76527854824"/>
    <n v="413916.76527854824"/>
  </r>
  <r>
    <x v="1"/>
    <x v="1"/>
    <x v="1"/>
    <s v="Konventionel"/>
    <x v="0"/>
    <s v="Halm"/>
    <n v="40941.411977023075"/>
    <n v="158033.85023130907"/>
    <n v="46644.141251302615"/>
    <n v="46644.141251302615"/>
  </r>
  <r>
    <x v="1"/>
    <x v="2"/>
    <x v="1"/>
    <s v="Konventionel"/>
    <x v="0"/>
    <s v="Halm"/>
    <n v="45490.457752247865"/>
    <n v="200158.01410989062"/>
    <n v="106283.90549235193"/>
    <n v="106283.90549235193"/>
  </r>
  <r>
    <x v="1"/>
    <x v="3"/>
    <x v="1"/>
    <s v="Konventionel"/>
    <x v="0"/>
    <s v="Græs"/>
    <n v="29568.797538961109"/>
    <n v="1467203.7338832503"/>
    <n v="0"/>
    <n v="1467203.7338832503"/>
  </r>
  <r>
    <x v="1"/>
    <x v="4"/>
    <x v="1"/>
    <s v="Konventionel"/>
    <x v="0"/>
    <s v="Grøntsager"/>
    <n v="4549.0457752247858"/>
    <n v="94392.699835914304"/>
    <n v="0"/>
    <n v="94392.699835914304"/>
  </r>
  <r>
    <x v="1"/>
    <x v="5"/>
    <x v="1"/>
    <s v="Konventionel"/>
    <x v="0"/>
    <s v="Kartofler"/>
    <n v="11372.614438061966"/>
    <n v="483005.16452022962"/>
    <n v="0"/>
    <n v="483005.16452022962"/>
  </r>
  <r>
    <x v="1"/>
    <x v="6"/>
    <x v="1"/>
    <s v="Konventionel"/>
    <x v="0"/>
    <s v="Roer"/>
    <n v="2274.5228876123929"/>
    <n v="184813.47164420696"/>
    <n v="0"/>
    <n v="184813.47164420696"/>
  </r>
  <r>
    <x v="1"/>
    <x v="7"/>
    <x v="1"/>
    <s v="Konventionel"/>
    <x v="0"/>
    <s v="Majs"/>
    <n v="22745.228876123932"/>
    <n v="1012390.1372762762"/>
    <n v="0"/>
    <n v="1012390.1372762762"/>
  </r>
  <r>
    <x v="1"/>
    <x v="8"/>
    <x v="1"/>
    <s v="Konventionel"/>
    <x v="0"/>
    <s v="Frugt"/>
    <n v="2274.5228876123929"/>
    <n v="19310.699315829217"/>
    <n v="0"/>
    <n v="19310.699315829217"/>
  </r>
  <r>
    <x v="1"/>
    <x v="9"/>
    <x v="1"/>
    <s v="Konventionel"/>
    <x v="0"/>
    <s v="Øvrige"/>
    <n v="11372.614438061966"/>
    <n v="338857.77733687829"/>
    <n v="0"/>
    <n v="338857.77733687829"/>
  </r>
  <r>
    <x v="1"/>
    <x v="10"/>
    <x v="1"/>
    <s v="Konventionel"/>
    <x v="0"/>
    <s v="Halm"/>
    <n v="18376.010206230789"/>
    <n v="262572.25115186628"/>
    <n v="43367.38408670466"/>
    <n v="43367.38408670466"/>
  </r>
  <r>
    <x v="1"/>
    <x v="11"/>
    <x v="1"/>
    <s v="Konventionel"/>
    <x v="0"/>
    <s v="Juletræer"/>
    <n v="4549.0457752247858"/>
    <n v="227452.28876123927"/>
    <n v="0"/>
    <n v="227452.28876123927"/>
  </r>
  <r>
    <x v="1"/>
    <x v="12"/>
    <x v="1"/>
    <s v="Konventionel"/>
    <x v="0"/>
    <s v="Pil &amp; poppel"/>
    <n v="2274.5228876123929"/>
    <n v="55476.167990546179"/>
    <n v="0"/>
    <n v="55476.167990546179"/>
  </r>
  <r>
    <x v="1"/>
    <x v="13"/>
    <x v="1"/>
    <s v="Konventionel"/>
    <x v="0"/>
    <s v="Græs"/>
    <n v="77333.778178821362"/>
    <n v="1066432.8010859468"/>
    <n v="0"/>
    <n v="1066432.8010859468"/>
  </r>
  <r>
    <x v="1"/>
    <x v="0"/>
    <x v="2"/>
    <s v="Konventionel"/>
    <x v="0"/>
    <s v="Halm"/>
    <n v="165742.2609289588"/>
    <n v="1161853.2491120012"/>
    <n v="377021.37933684443"/>
    <n v="377021.37933684443"/>
  </r>
  <r>
    <x v="1"/>
    <x v="1"/>
    <x v="2"/>
    <s v="Konventionel"/>
    <x v="0"/>
    <s v="Halm"/>
    <n v="37292.008709015725"/>
    <n v="143947.1536168007"/>
    <n v="42486.412602094526"/>
    <n v="42486.412602094526"/>
  </r>
  <r>
    <x v="1"/>
    <x v="2"/>
    <x v="2"/>
    <s v="Konventionel"/>
    <x v="0"/>
    <s v="Halm"/>
    <n v="41435.5652322397"/>
    <n v="182316.4870218547"/>
    <n v="96810.054608604842"/>
    <n v="96810.054608604842"/>
  </r>
  <r>
    <x v="1"/>
    <x v="3"/>
    <x v="2"/>
    <s v="Konventionel"/>
    <x v="0"/>
    <s v="Græs"/>
    <n v="26933.117400955805"/>
    <n v="1336421.285435427"/>
    <n v="0"/>
    <n v="1336421.285435427"/>
  </r>
  <r>
    <x v="1"/>
    <x v="4"/>
    <x v="2"/>
    <s v="Konventionel"/>
    <x v="0"/>
    <s v="Grøntsager"/>
    <n v="4143.5565232239696"/>
    <n v="85978.797856897378"/>
    <n v="0"/>
    <n v="85978.797856897378"/>
  </r>
  <r>
    <x v="1"/>
    <x v="5"/>
    <x v="2"/>
    <s v="Konventionel"/>
    <x v="0"/>
    <s v="Kartofler"/>
    <n v="10358.891308059925"/>
    <n v="439951.43137458741"/>
    <n v="0"/>
    <n v="439951.43137458741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2071.7782616119848"/>
    <n v="17589.397441085752"/>
    <n v="0"/>
    <n v="17589.397441085752"/>
  </r>
  <r>
    <x v="1"/>
    <x v="9"/>
    <x v="2"/>
    <s v="Konventionel"/>
    <x v="0"/>
    <s v="Øvrige"/>
    <n v="10358.891308059925"/>
    <n v="308652.94022239564"/>
    <n v="0"/>
    <n v="308652.94022239564"/>
  </r>
  <r>
    <x v="1"/>
    <x v="10"/>
    <x v="2"/>
    <s v="Konventionel"/>
    <x v="0"/>
    <s v="Halm"/>
    <n v="16738.023911640095"/>
    <n v="239167.29306250089"/>
    <n v="39501.736431470628"/>
    <n v="39501.736431470628"/>
  </r>
  <r>
    <x v="1"/>
    <x v="11"/>
    <x v="2"/>
    <s v="Konventionel"/>
    <x v="0"/>
    <s v="Juletræer"/>
    <n v="4143.5565232239696"/>
    <n v="207177.82616119849"/>
    <n v="0"/>
    <n v="207177.82616119849"/>
  </r>
  <r>
    <x v="1"/>
    <x v="12"/>
    <x v="2"/>
    <s v="Konventionel"/>
    <x v="0"/>
    <s v="Pil &amp; poppel"/>
    <n v="2071.7782616119848"/>
    <n v="50531.177112487436"/>
    <n v="0"/>
    <n v="50531.177112487436"/>
  </r>
  <r>
    <x v="1"/>
    <x v="13"/>
    <x v="2"/>
    <s v="Konventionel"/>
    <x v="0"/>
    <s v="Græs"/>
    <n v="70440.460894807489"/>
    <n v="971373.95573939534"/>
    <n v="0"/>
    <n v="971373.955739395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398.667267299243"/>
    <n v="133380.02055432435"/>
    <n v="43281.816669878259"/>
    <n v="43281.816669878259"/>
  </r>
  <r>
    <x v="1"/>
    <x v="1"/>
    <x v="1"/>
    <s v="Økologisk"/>
    <x v="0"/>
    <s v="Halm"/>
    <n v="6389.7001351423296"/>
    <n v="14058.618237340153"/>
    <n v="4149.4412361707937"/>
    <n v="4149.4412361707937"/>
  </r>
  <r>
    <x v="1"/>
    <x v="2"/>
    <x v="1"/>
    <s v="Økologisk"/>
    <x v="0"/>
    <s v="Halm"/>
    <n v="7099.6668168248107"/>
    <n v="17181.193696716044"/>
    <n v="9123.2138529562199"/>
    <n v="9123.2138529562199"/>
  </r>
  <r>
    <x v="1"/>
    <x v="3"/>
    <x v="1"/>
    <s v="Økologisk"/>
    <x v="0"/>
    <s v="Græs"/>
    <n v="4614.7834309361278"/>
    <n v="178608.73199757951"/>
    <n v="0"/>
    <n v="178608.73199757951"/>
  </r>
  <r>
    <x v="1"/>
    <x v="4"/>
    <x v="1"/>
    <s v="Økologisk"/>
    <x v="0"/>
    <s v="Grøntsager"/>
    <n v="709.96668168248107"/>
    <n v="8397.1309275995427"/>
    <n v="0"/>
    <n v="8397.1309275995427"/>
  </r>
  <r>
    <x v="1"/>
    <x v="5"/>
    <x v="1"/>
    <s v="Økologisk"/>
    <x v="0"/>
    <s v="Kartofler"/>
    <n v="1774.9167042062027"/>
    <n v="42967.916080730247"/>
    <n v="0"/>
    <n v="42967.916080730247"/>
  </r>
  <r>
    <x v="1"/>
    <x v="6"/>
    <x v="1"/>
    <s v="Økologisk"/>
    <x v="0"/>
    <s v="Roer"/>
    <n v="354.98334084124053"/>
    <n v="16440.92097459159"/>
    <n v="0"/>
    <n v="16440.92097459159"/>
  </r>
  <r>
    <x v="1"/>
    <x v="7"/>
    <x v="1"/>
    <s v="Økologisk"/>
    <x v="0"/>
    <s v="Majs"/>
    <n v="3549.8334084124053"/>
    <n v="131142.56055700203"/>
    <n v="0"/>
    <n v="131142.56055700203"/>
  </r>
  <r>
    <x v="1"/>
    <x v="8"/>
    <x v="1"/>
    <s v="Økologisk"/>
    <x v="0"/>
    <s v="Frugt"/>
    <n v="354.98334084124053"/>
    <n v="1717.8708813330152"/>
    <n v="0"/>
    <n v="1717.8708813330152"/>
  </r>
  <r>
    <x v="1"/>
    <x v="9"/>
    <x v="1"/>
    <s v="Økologisk"/>
    <x v="0"/>
    <s v="Øvrige"/>
    <n v="1774.9167042062027"/>
    <n v="30144.631174650611"/>
    <n v="0"/>
    <n v="30144.631174650611"/>
  </r>
  <r>
    <x v="1"/>
    <x v="10"/>
    <x v="1"/>
    <s v="Økologisk"/>
    <x v="0"/>
    <s v="Halm"/>
    <n v="2867.9322287180994"/>
    <n v="23358.306041775846"/>
    <n v="3857.9424340715868"/>
    <n v="3857.9424340715868"/>
  </r>
  <r>
    <x v="1"/>
    <x v="11"/>
    <x v="1"/>
    <s v="Økologisk"/>
    <x v="0"/>
    <s v="Juletræer"/>
    <n v="709.96668168248107"/>
    <n v="20234.050427950711"/>
    <n v="0"/>
    <n v="20234.050427950711"/>
  </r>
  <r>
    <x v="1"/>
    <x v="12"/>
    <x v="1"/>
    <s v="Økologisk"/>
    <x v="0"/>
    <s v="Pil &amp; poppel"/>
    <n v="354.98334084124053"/>
    <n v="4935.134250719685"/>
    <n v="0"/>
    <n v="4935.134250719685"/>
  </r>
  <r>
    <x v="1"/>
    <x v="13"/>
    <x v="1"/>
    <s v="Økologisk"/>
    <x v="0"/>
    <s v="Græs"/>
    <n v="12069.433588602178"/>
    <n v="166437.48918682407"/>
    <n v="0"/>
    <n v="166437.48918682407"/>
  </r>
  <r>
    <x v="1"/>
    <x v="0"/>
    <x v="2"/>
    <s v="Økologisk"/>
    <x v="0"/>
    <s v="Halm"/>
    <n v="35157.449287960953"/>
    <n v="165123.99207076619"/>
    <n v="53582.735426963634"/>
    <n v="53582.735426963634"/>
  </r>
  <r>
    <x v="1"/>
    <x v="1"/>
    <x v="2"/>
    <s v="Økologisk"/>
    <x v="0"/>
    <s v="Halm"/>
    <n v="7910.4260897912154"/>
    <n v="17404.519482758635"/>
    <n v="5136.9935237077916"/>
    <n v="5136.9935237077916"/>
  </r>
  <r>
    <x v="1"/>
    <x v="2"/>
    <x v="2"/>
    <s v="Økologisk"/>
    <x v="0"/>
    <s v="Halm"/>
    <n v="8789.3623219902383"/>
    <n v="21270.256819216378"/>
    <n v="11294.506371003898"/>
    <n v="11294.506371003898"/>
  </r>
  <r>
    <x v="1"/>
    <x v="3"/>
    <x v="2"/>
    <s v="Økologisk"/>
    <x v="0"/>
    <s v="Græs"/>
    <n v="5713.0855092936554"/>
    <n v="221116.97631749796"/>
    <n v="0"/>
    <n v="221116.97631749796"/>
  </r>
  <r>
    <x v="1"/>
    <x v="4"/>
    <x v="2"/>
    <s v="Økologisk"/>
    <x v="0"/>
    <s v="Grøntsager"/>
    <n v="878.93623219902383"/>
    <n v="10395.618286333955"/>
    <n v="0"/>
    <n v="10395.618286333955"/>
  </r>
  <r>
    <x v="1"/>
    <x v="5"/>
    <x v="2"/>
    <s v="Økologisk"/>
    <x v="0"/>
    <s v="Kartofler"/>
    <n v="2197.3405804975596"/>
    <n v="53194.127611654651"/>
    <n v="0"/>
    <n v="53194.127611654651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439.46811609951192"/>
    <n v="2126.718054240368"/>
    <n v="0"/>
    <n v="2126.718054240368"/>
  </r>
  <r>
    <x v="1"/>
    <x v="9"/>
    <x v="2"/>
    <s v="Økologisk"/>
    <x v="0"/>
    <s v="Øvrige"/>
    <n v="2197.3405804975596"/>
    <n v="37318.94640870783"/>
    <n v="0"/>
    <n v="37318.94640870783"/>
  </r>
  <r>
    <x v="1"/>
    <x v="10"/>
    <x v="2"/>
    <s v="Økologisk"/>
    <x v="0"/>
    <s v="Halm"/>
    <n v="3550.4899206509294"/>
    <n v="28917.499979375105"/>
    <n v="4776.1190412596297"/>
    <n v="4776.1190412596297"/>
  </r>
  <r>
    <x v="1"/>
    <x v="11"/>
    <x v="2"/>
    <s v="Økologisk"/>
    <x v="0"/>
    <s v="Juletræer"/>
    <n v="878.93623219902383"/>
    <n v="25049.682617672181"/>
    <n v="0"/>
    <n v="25049.682617672181"/>
  </r>
  <r>
    <x v="1"/>
    <x v="12"/>
    <x v="2"/>
    <s v="Økologisk"/>
    <x v="0"/>
    <s v="Pil &amp; poppel"/>
    <n v="439.46811609951192"/>
    <n v="6109.6786872371167"/>
    <n v="0"/>
    <n v="6109.6786872371167"/>
  </r>
  <r>
    <x v="1"/>
    <x v="13"/>
    <x v="2"/>
    <s v="Økologisk"/>
    <x v="0"/>
    <s v="Græs"/>
    <n v="14941.915947383406"/>
    <n v="206049.0209144172"/>
    <n v="0"/>
    <n v="206049.020914417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6943.04934282881"/>
    <n v="6943.04934282881"/>
  </r>
  <r>
    <x v="1"/>
    <x v="1"/>
    <x v="1"/>
    <s v="Konventionel"/>
    <x v="1"/>
    <s v="Halm"/>
    <n v="68.781025480452769"/>
    <n v="318.59371002545726"/>
    <n v="94.03384142355003"/>
    <n v="94.03384142355003"/>
  </r>
  <r>
    <x v="1"/>
    <x v="2"/>
    <x v="1"/>
    <s v="Konventionel"/>
    <x v="1"/>
    <s v="Halm"/>
    <n v="277.81730642917057"/>
    <n v="1466.8753779460208"/>
    <n v="778.91082568933689"/>
    <n v="778.91082568933689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2481.1670493580382"/>
    <n v="2481.1670493580382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16821580748089759"/>
    <n v="0.16821580748089759"/>
  </r>
  <r>
    <x v="1"/>
    <x v="1"/>
    <x v="2"/>
    <s v="Konventionel"/>
    <x v="1"/>
    <s v="Halm"/>
    <n v="1.6664228020370887E-3"/>
    <n v="7.7188704190357948E-3"/>
    <n v="2.2782466009594014E-3"/>
    <n v="2.2782466009594014E-3"/>
  </r>
  <r>
    <x v="1"/>
    <x v="2"/>
    <x v="2"/>
    <s v="Konventionel"/>
    <x v="1"/>
    <s v="Halm"/>
    <n v="6.7309420148972078E-3"/>
    <n v="3.5539373838657261E-2"/>
    <n v="1.8871407508327002E-2"/>
    <n v="1.8871407508327002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6.0113575187801929E-2"/>
    <n v="6.0113575187801929E-2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726.01018850735954"/>
    <n v="726.01018850735954"/>
  </r>
  <r>
    <x v="1"/>
    <x v="1"/>
    <x v="1"/>
    <s v="Økologisk"/>
    <x v="1"/>
    <s v="Halm"/>
    <n v="10.734610913134247"/>
    <n v="28.341949117293566"/>
    <n v="8.3652070491817039"/>
    <n v="8.3652070491817039"/>
  </r>
  <r>
    <x v="1"/>
    <x v="2"/>
    <x v="1"/>
    <s v="Økologisk"/>
    <x v="1"/>
    <s v="Halm"/>
    <n v="43.358770367558421"/>
    <n v="125.91386914738968"/>
    <n v="66.860264517263914"/>
    <n v="66.860264517263914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220.72347335040578"/>
    <n v="220.72347335040578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2.3907034457133627E-2"/>
    <n v="2.3907034457133627E-2"/>
  </r>
  <r>
    <x v="1"/>
    <x v="1"/>
    <x v="2"/>
    <s v="Økologisk"/>
    <x v="1"/>
    <s v="Halm"/>
    <n v="3.5348362467453397E-4"/>
    <n v="9.3328160521069156E-4"/>
    <n v="2.7546072538872765E-4"/>
    <n v="2.7546072538872765E-4"/>
  </r>
  <r>
    <x v="1"/>
    <x v="2"/>
    <x v="2"/>
    <s v="Økologisk"/>
    <x v="1"/>
    <s v="Halm"/>
    <n v="1.4277755789175895E-3"/>
    <n v="4.1462602811766806E-3"/>
    <n v="2.2016642093048173E-3"/>
    <n v="2.2016642093048173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7.268277727252412E-3"/>
    <n v="7.268277727252412E-3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4571312909679709"/>
    <n v="0.14571312909679709"/>
  </r>
  <r>
    <x v="1"/>
    <x v="1"/>
    <x v="1"/>
    <s v="Konventionel"/>
    <x v="2"/>
    <s v="Halm"/>
    <n v="8.3106047603679744E-4"/>
    <n v="4.4910508125028531E-3"/>
    <n v="1.3255464456415479E-3"/>
    <n v="1.3255464456415479E-3"/>
  </r>
  <r>
    <x v="1"/>
    <x v="2"/>
    <x v="1"/>
    <s v="Konventionel"/>
    <x v="2"/>
    <s v="Halm"/>
    <n v="4.0595359645178462E-3"/>
    <n v="2.5006741541429935E-2"/>
    <n v="1.3278579758499293E-2"/>
    <n v="1.3278579758499293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7.5838608149631781E-2"/>
    <n v="7.5838608149631781E-2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13897494971659835"/>
    <n v="0.13897494971659835"/>
  </r>
  <r>
    <x v="1"/>
    <x v="1"/>
    <x v="2"/>
    <s v="Konventionel"/>
    <x v="2"/>
    <s v="Halm"/>
    <n v="7.9262993379232123E-4"/>
    <n v="4.283372162213704E-3"/>
    <n v="1.264249500178355E-3"/>
    <n v="1.264249500178355E-3"/>
  </r>
  <r>
    <x v="1"/>
    <x v="2"/>
    <x v="2"/>
    <s v="Konventionel"/>
    <x v="2"/>
    <s v="Halm"/>
    <n v="3.8718117580661539E-3"/>
    <n v="2.3850360429687509E-2"/>
    <n v="1.2664541388164067E-2"/>
    <n v="1.2664541388164067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7.2331620489533219E-2"/>
    <n v="7.2331620489533219E-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1.523670812347433E-2"/>
    <n v="1.523670812347433E-2"/>
  </r>
  <r>
    <x v="1"/>
    <x v="1"/>
    <x v="1"/>
    <s v="Økologisk"/>
    <x v="2"/>
    <s v="Halm"/>
    <n v="1.2970308007510711E-4"/>
    <n v="3.9952180349375088E-4"/>
    <n v="1.1791999883481743E-4"/>
    <n v="1.1791999883481743E-4"/>
  </r>
  <r>
    <x v="1"/>
    <x v="2"/>
    <x v="1"/>
    <s v="Økologisk"/>
    <x v="2"/>
    <s v="Halm"/>
    <n v="6.3356919677446158E-4"/>
    <n v="2.1465324386718758E-3"/>
    <n v="1.139808724934766E-3"/>
    <n v="1.139808724934766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6.746567511114643E-3"/>
    <n v="6.746567511114643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1.9751288308207465E-2"/>
    <n v="1.9751288308207465E-2"/>
  </r>
  <r>
    <x v="1"/>
    <x v="1"/>
    <x v="2"/>
    <s v="Økologisk"/>
    <x v="2"/>
    <s v="Halm"/>
    <n v="1.6813362231958326E-4"/>
    <n v="5.1789863415856597E-4"/>
    <n v="1.5285925774883742E-4"/>
    <n v="1.5285925774883742E-4"/>
  </r>
  <r>
    <x v="1"/>
    <x v="2"/>
    <x v="2"/>
    <s v="Økologisk"/>
    <x v="2"/>
    <s v="Halm"/>
    <n v="8.2129340322615392E-4"/>
    <n v="2.7825420501302097E-3"/>
    <n v="1.4775298286191414E-3"/>
    <n v="1.477529828619141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8.7455504773708333E-3"/>
    <n v="8.7455504773708333E-3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785068.9598603025"/>
  </r>
  <r>
    <x v="1"/>
    <x v="0"/>
    <x v="1"/>
    <n v="570919.32655032468"/>
  </r>
  <r>
    <x v="2"/>
    <x v="0"/>
    <x v="1"/>
    <n v="720643.86826877412"/>
  </r>
  <r>
    <x v="3"/>
    <x v="0"/>
    <x v="1"/>
    <n v="10811669.206179742"/>
  </r>
  <r>
    <x v="4"/>
    <x v="0"/>
    <x v="1"/>
    <n v="378724.85097057559"/>
  </r>
  <r>
    <x v="5"/>
    <x v="0"/>
    <x v="1"/>
    <n v="1786381.255966713"/>
  </r>
  <r>
    <x v="6"/>
    <x v="0"/>
    <x v="1"/>
    <n v="661272.99652906856"/>
  </r>
  <r>
    <x v="7"/>
    <x v="0"/>
    <x v="1"/>
    <n v="3984719.6201805831"/>
  </r>
  <r>
    <x v="8"/>
    <x v="0"/>
    <x v="1"/>
    <n v="69515.73753753565"/>
  </r>
  <r>
    <x v="9"/>
    <x v="0"/>
    <x v="1"/>
    <n v="1254211.7913728904"/>
  </r>
  <r>
    <x v="10"/>
    <x v="0"/>
    <x v="1"/>
    <n v="991447.52086616959"/>
  </r>
  <r>
    <x v="11"/>
    <x v="0"/>
    <x v="1"/>
    <n v="832506.49987193861"/>
  </r>
  <r>
    <x v="12"/>
    <x v="0"/>
    <x v="1"/>
    <n v="215758.44874789647"/>
  </r>
  <r>
    <x v="0"/>
    <x v="0"/>
    <x v="2"/>
    <n v="3920720.3662957777"/>
  </r>
  <r>
    <x v="1"/>
    <x v="0"/>
    <x v="2"/>
    <n v="476733.07017285493"/>
  </r>
  <r>
    <x v="2"/>
    <x v="0"/>
    <x v="2"/>
    <n v="601521.71713762206"/>
  </r>
  <r>
    <x v="3"/>
    <x v="0"/>
    <x v="2"/>
    <n v="8080859.3284295592"/>
  </r>
  <r>
    <x v="4"/>
    <x v="0"/>
    <x v="2"/>
    <n v="323570.52487821685"/>
  </r>
  <r>
    <x v="5"/>
    <x v="0"/>
    <x v="2"/>
    <n v="1457061.1613346946"/>
  </r>
  <r>
    <x v="6"/>
    <x v="0"/>
    <x v="2"/>
    <n v="557517.61958207632"/>
  </r>
  <r>
    <x v="7"/>
    <x v="0"/>
    <x v="2"/>
    <n v="3204301.4084430053"/>
  </r>
  <r>
    <x v="8"/>
    <x v="0"/>
    <x v="2"/>
    <n v="58253.649751305209"/>
  </r>
  <r>
    <x v="9"/>
    <x v="0"/>
    <x v="2"/>
    <n v="1022217.4078862639"/>
  </r>
  <r>
    <x v="10"/>
    <x v="0"/>
    <x v="2"/>
    <n v="792091.46065631567"/>
  </r>
  <r>
    <x v="11"/>
    <x v="0"/>
    <x v="2"/>
    <n v="686144.91909286368"/>
  </r>
  <r>
    <x v="12"/>
    <x v="0"/>
    <x v="2"/>
    <n v="167353.17803041782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35711.1993976305"/>
  </r>
  <r>
    <x v="1"/>
    <x v="1"/>
    <x v="1"/>
    <n v="184855.04646768686"/>
  </r>
  <r>
    <x v="2"/>
    <x v="1"/>
    <x v="1"/>
    <n v="234695.12994987622"/>
  </r>
  <r>
    <x v="3"/>
    <x v="1"/>
    <x v="1"/>
    <n v="3177849.870254152"/>
  </r>
  <r>
    <x v="4"/>
    <x v="1"/>
    <x v="1"/>
    <n v="123940.17641205002"/>
  </r>
  <r>
    <x v="5"/>
    <x v="1"/>
    <x v="1"/>
    <n v="565408.05688718066"/>
  </r>
  <r>
    <x v="6"/>
    <x v="1"/>
    <x v="1"/>
    <n v="224108.96073862392"/>
  </r>
  <r>
    <x v="7"/>
    <x v="1"/>
    <x v="1"/>
    <n v="1230934.043362923"/>
  </r>
  <r>
    <x v="8"/>
    <x v="1"/>
    <x v="1"/>
    <n v="22743.632326448162"/>
  </r>
  <r>
    <x v="9"/>
    <x v="1"/>
    <x v="1"/>
    <n v="400607.72383924882"/>
  </r>
  <r>
    <x v="10"/>
    <x v="1"/>
    <x v="1"/>
    <n v="324054.80391136941"/>
  </r>
  <r>
    <x v="11"/>
    <x v="1"/>
    <x v="1"/>
    <n v="267374.72503848921"/>
  </r>
  <r>
    <x v="12"/>
    <x v="1"/>
    <x v="1"/>
    <n v="66681.39344549182"/>
  </r>
  <r>
    <x v="0"/>
    <x v="1"/>
    <x v="2"/>
    <n v="1422520.7615932694"/>
  </r>
  <r>
    <x v="1"/>
    <x v="1"/>
    <x v="2"/>
    <n v="172969.00798479689"/>
  </r>
  <r>
    <x v="2"/>
    <x v="1"/>
    <x v="2"/>
    <n v="218245.06049109949"/>
  </r>
  <r>
    <x v="3"/>
    <x v="1"/>
    <x v="2"/>
    <n v="2931884.6041549444"/>
  </r>
  <r>
    <x v="4"/>
    <x v="1"/>
    <x v="2"/>
    <n v="117398.39981790849"/>
  </r>
  <r>
    <x v="5"/>
    <x v="1"/>
    <x v="2"/>
    <n v="528652.13279396389"/>
  </r>
  <r>
    <x v="6"/>
    <x v="1"/>
    <x v="2"/>
    <n v="202279.77798791436"/>
  </r>
  <r>
    <x v="7"/>
    <x v="1"/>
    <x v="2"/>
    <n v="1162586.9095964739"/>
  </r>
  <r>
    <x v="8"/>
    <x v="1"/>
    <x v="2"/>
    <n v="21135.685502875454"/>
  </r>
  <r>
    <x v="9"/>
    <x v="1"/>
    <x v="2"/>
    <n v="370882.10534501984"/>
  </r>
  <r>
    <x v="10"/>
    <x v="1"/>
    <x v="2"/>
    <n v="287387.86171913851"/>
  </r>
  <r>
    <x v="11"/>
    <x v="1"/>
    <x v="2"/>
    <n v="248947.97885223315"/>
  </r>
  <r>
    <x v="12"/>
    <x v="1"/>
    <x v="2"/>
    <n v="60719.109564821476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03734.7543092733"/>
  </r>
  <r>
    <x v="0"/>
    <x v="2"/>
    <x v="1"/>
    <s v="JB1-10"/>
    <n v="678400.843520874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5901.24569072668"/>
  </r>
  <r>
    <x v="1"/>
    <x v="2"/>
    <x v="1"/>
    <s v="JB1-10"/>
    <n v="153499.1564791252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69644.90056848996"/>
  </r>
  <r>
    <x v="0"/>
    <s v="Vestdanmark"/>
    <x v="4"/>
    <x v="2"/>
    <n v="34302.712220301015"/>
  </r>
  <r>
    <x v="0"/>
    <s v="Vestdanmark"/>
    <x v="5"/>
    <x v="2"/>
    <n v="101549.9066593344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0168.939794840036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0760.863656275607"/>
  </r>
  <r>
    <x v="0"/>
    <s v="Østdanmark"/>
    <x v="4"/>
    <x v="2"/>
    <n v="29926.992547120819"/>
  </r>
  <r>
    <x v="0"/>
    <s v="Østdanmark"/>
    <x v="5"/>
    <x v="2"/>
    <n v="88596.006060305852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7596.15120364408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8479593.6614331026"/>
  </r>
  <r>
    <x v="1"/>
    <s v="Vestdanmark"/>
    <x v="15"/>
    <x v="1"/>
    <n v="7790098.0268014707"/>
  </r>
  <r>
    <x v="1"/>
    <s v="Vestdanmark"/>
    <x v="16"/>
    <x v="1"/>
    <n v="6257.0446016591122"/>
  </r>
  <r>
    <x v="1"/>
    <s v="Vestdanmark"/>
    <x v="17"/>
    <x v="1"/>
    <n v="1974779.4199139304"/>
  </r>
  <r>
    <x v="1"/>
    <s v="Vestdanmark"/>
    <x v="18"/>
    <x v="1"/>
    <n v="195082.24112879002"/>
  </r>
  <r>
    <x v="1"/>
    <s v="Vestdanmark"/>
    <x v="19"/>
    <x v="1"/>
    <n v="506863.86710295174"/>
  </r>
  <r>
    <x v="1"/>
    <s v="Vestdanmark"/>
    <x v="20"/>
    <x v="1"/>
    <n v="1527973.1246412985"/>
  </r>
  <r>
    <x v="1"/>
    <s v="Vestdanmark"/>
    <x v="21"/>
    <x v="1"/>
    <n v="1198253.6297381346"/>
  </r>
  <r>
    <x v="1"/>
    <s v="Vestdanmark"/>
    <x v="22"/>
    <x v="1"/>
    <n v="0"/>
  </r>
  <r>
    <x v="1"/>
    <s v="Vestdanmark"/>
    <x v="0"/>
    <x v="1"/>
    <n v="2866.1447836461339"/>
  </r>
  <r>
    <x v="1"/>
    <s v="Vestdanmark"/>
    <x v="23"/>
    <x v="1"/>
    <n v="0"/>
  </r>
  <r>
    <x v="1"/>
    <s v="Vestdanmark"/>
    <x v="24"/>
    <x v="1"/>
    <n v="252137.34695648224"/>
  </r>
  <r>
    <x v="1"/>
    <s v="Vestdanmark"/>
    <x v="25"/>
    <x v="1"/>
    <n v="21394.342667690107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494531.2954108026"/>
  </r>
  <r>
    <x v="1"/>
    <s v="Vestdanmark"/>
    <x v="15"/>
    <x v="2"/>
    <n v="5730932.9261474209"/>
  </r>
  <r>
    <x v="1"/>
    <s v="Vestdanmark"/>
    <x v="16"/>
    <x v="2"/>
    <n v="7753.9785502341792"/>
  </r>
  <r>
    <x v="1"/>
    <s v="Vestdanmark"/>
    <x v="17"/>
    <x v="2"/>
    <n v="3046562.3049170515"/>
  </r>
  <r>
    <x v="1"/>
    <s v="Vestdanmark"/>
    <x v="18"/>
    <x v="2"/>
    <n v="197484.23354298095"/>
  </r>
  <r>
    <x v="1"/>
    <s v="Vestdanmark"/>
    <x v="19"/>
    <x v="2"/>
    <n v="477740.13297637849"/>
  </r>
  <r>
    <x v="1"/>
    <s v="Vestdanmark"/>
    <x v="20"/>
    <x v="2"/>
    <n v="1312323.5821683302"/>
  </r>
  <r>
    <x v="1"/>
    <s v="Vestdanmark"/>
    <x v="21"/>
    <x v="2"/>
    <n v="1199933.3744132207"/>
  </r>
  <r>
    <x v="1"/>
    <s v="Vestdanmark"/>
    <x v="22"/>
    <x v="2"/>
    <n v="0"/>
  </r>
  <r>
    <x v="1"/>
    <s v="Vestdanmark"/>
    <x v="0"/>
    <x v="2"/>
    <n v="2778.0605350782976"/>
  </r>
  <r>
    <x v="1"/>
    <s v="Vestdanmark"/>
    <x v="23"/>
    <x v="2"/>
    <n v="0"/>
  </r>
  <r>
    <x v="1"/>
    <s v="Vestdanmark"/>
    <x v="24"/>
    <x v="2"/>
    <n v="242163.91618130018"/>
  </r>
  <r>
    <x v="1"/>
    <s v="Vestdanmark"/>
    <x v="25"/>
    <x v="2"/>
    <n v="21018.88248631102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228668.658899101"/>
  </r>
  <r>
    <x v="1"/>
    <s v="Østdanmark"/>
    <x v="15"/>
    <x v="1"/>
    <n v="553673.50359972543"/>
  </r>
  <r>
    <x v="1"/>
    <s v="Østdanmark"/>
    <x v="16"/>
    <x v="1"/>
    <n v="525.15144386464101"/>
  </r>
  <r>
    <x v="1"/>
    <s v="Østdanmark"/>
    <x v="17"/>
    <x v="1"/>
    <n v="1671161.6426352733"/>
  </r>
  <r>
    <x v="1"/>
    <s v="Østdanmark"/>
    <x v="18"/>
    <x v="1"/>
    <n v="168912.75887120995"/>
  </r>
  <r>
    <x v="1"/>
    <s v="Østdanmark"/>
    <x v="19"/>
    <x v="1"/>
    <n v="219104.13289704846"/>
  </r>
  <r>
    <x v="1"/>
    <s v="Østdanmark"/>
    <x v="20"/>
    <x v="1"/>
    <n v="204287.20531755476"/>
  </r>
  <r>
    <x v="1"/>
    <s v="Østdanmark"/>
    <x v="21"/>
    <x v="1"/>
    <n v="145520.84510711234"/>
  </r>
  <r>
    <x v="1"/>
    <s v="Østdanmark"/>
    <x v="22"/>
    <x v="1"/>
    <n v="0"/>
  </r>
  <r>
    <x v="1"/>
    <s v="Østdanmark"/>
    <x v="0"/>
    <x v="1"/>
    <n v="919.8552163538659"/>
  </r>
  <r>
    <x v="1"/>
    <s v="Østdanmark"/>
    <x v="23"/>
    <x v="1"/>
    <n v="0"/>
  </r>
  <r>
    <x v="1"/>
    <s v="Østdanmark"/>
    <x v="24"/>
    <x v="1"/>
    <n v="77888.653043517654"/>
  </r>
  <r>
    <x v="1"/>
    <s v="Østdanmark"/>
    <x v="25"/>
    <x v="1"/>
    <n v="7250.6573323098974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941038.84873677138"/>
  </r>
  <r>
    <x v="1"/>
    <s v="Østdanmark"/>
    <x v="15"/>
    <x v="2"/>
    <n v="407320.38302962092"/>
  </r>
  <r>
    <x v="1"/>
    <s v="Østdanmark"/>
    <x v="16"/>
    <x v="2"/>
    <n v="650.78855763169781"/>
  </r>
  <r>
    <x v="1"/>
    <s v="Østdanmark"/>
    <x v="17"/>
    <x v="2"/>
    <n v="2622026.1401572018"/>
  </r>
  <r>
    <x v="1"/>
    <s v="Østdanmark"/>
    <x v="18"/>
    <x v="2"/>
    <n v="172292.76645701908"/>
  </r>
  <r>
    <x v="1"/>
    <s v="Østdanmark"/>
    <x v="19"/>
    <x v="2"/>
    <n v="245291.86702362169"/>
  </r>
  <r>
    <x v="1"/>
    <s v="Østdanmark"/>
    <x v="20"/>
    <x v="2"/>
    <n v="174899.39162918815"/>
  </r>
  <r>
    <x v="1"/>
    <s v="Østdanmark"/>
    <x v="21"/>
    <x v="2"/>
    <n v="145937.04811361324"/>
  </r>
  <r>
    <x v="1"/>
    <s v="Østdanmark"/>
    <x v="22"/>
    <x v="2"/>
    <n v="0"/>
  </r>
  <r>
    <x v="1"/>
    <s v="Østdanmark"/>
    <x v="0"/>
    <x v="2"/>
    <n v="1007.9394649217019"/>
  </r>
  <r>
    <x v="1"/>
    <s v="Østdanmark"/>
    <x v="23"/>
    <x v="2"/>
    <n v="0"/>
  </r>
  <r>
    <x v="1"/>
    <s v="Østdanmark"/>
    <x v="24"/>
    <x v="2"/>
    <n v="87862.083818699844"/>
  </r>
  <r>
    <x v="1"/>
    <s v="Østdanmark"/>
    <x v="25"/>
    <x v="2"/>
    <n v="7626.117513688968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534717.2198337205"/>
  </r>
  <r>
    <x v="2"/>
    <s v="Vestdanmark"/>
    <x v="22"/>
    <x v="1"/>
    <n v="590528.53760249668"/>
  </r>
  <r>
    <x v="2"/>
    <s v="Vestdanmark"/>
    <x v="2"/>
    <x v="1"/>
    <n v="0"/>
  </r>
  <r>
    <x v="2"/>
    <s v="Vestdanmark"/>
    <x v="5"/>
    <x v="1"/>
    <n v="47085.713440742315"/>
  </r>
  <r>
    <x v="2"/>
    <s v="Vestdanmark"/>
    <x v="25"/>
    <x v="1"/>
    <n v="669901.28667965194"/>
  </r>
  <r>
    <x v="2"/>
    <s v="Vestdanmark"/>
    <x v="24"/>
    <x v="1"/>
    <n v="4351481.2300827308"/>
  </r>
  <r>
    <x v="2"/>
    <s v="Vestdanmark"/>
    <x v="28"/>
    <x v="1"/>
    <n v="161875.86352463221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446613.3985518552"/>
  </r>
  <r>
    <x v="2"/>
    <s v="Vestdanmark"/>
    <x v="29"/>
    <x v="1"/>
    <n v="1164894.7731358123"/>
  </r>
  <r>
    <x v="2"/>
    <s v="Vestdanmark"/>
    <x v="30"/>
    <x v="1"/>
    <n v="1681632.6228836535"/>
  </r>
  <r>
    <x v="2"/>
    <s v="Vestdanmark"/>
    <x v="31"/>
    <x v="1"/>
    <n v="819862.14978940994"/>
  </r>
  <r>
    <x v="2"/>
    <s v="Vestdanmark"/>
    <x v="32"/>
    <x v="1"/>
    <n v="29678.267865680002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94237.57109337207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05054.1702372115"/>
  </r>
  <r>
    <x v="2"/>
    <s v="Vestdanmark"/>
    <x v="28"/>
    <x v="2"/>
    <n v="108068.52368843651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06570.6128669288"/>
  </r>
  <r>
    <x v="2"/>
    <s v="Vestdanmark"/>
    <x v="29"/>
    <x v="2"/>
    <n v="777685.16963622137"/>
  </r>
  <r>
    <x v="2"/>
    <s v="Vestdanmark"/>
    <x v="30"/>
    <x v="2"/>
    <n v="1122659.9876249996"/>
  </r>
  <r>
    <x v="2"/>
    <s v="Vestdanmark"/>
    <x v="31"/>
    <x v="2"/>
    <n v="547340.96996669995"/>
  </r>
  <r>
    <x v="2"/>
    <s v="Vestdanmark"/>
    <x v="32"/>
    <x v="2"/>
    <n v="19813.247781599999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50714.69493164914"/>
  </r>
  <r>
    <x v="2"/>
    <s v="Østdanmark"/>
    <x v="22"/>
    <x v="1"/>
    <n v="71716.212427048929"/>
  </r>
  <r>
    <x v="2"/>
    <s v="Østdanmark"/>
    <x v="2"/>
    <x v="1"/>
    <n v="0"/>
  </r>
  <r>
    <x v="2"/>
    <s v="Østdanmark"/>
    <x v="5"/>
    <x v="1"/>
    <n v="5718.282542457694"/>
  </r>
  <r>
    <x v="2"/>
    <s v="Østdanmark"/>
    <x v="25"/>
    <x v="1"/>
    <n v="81355.565263148092"/>
  </r>
  <r>
    <x v="2"/>
    <s v="Østdanmark"/>
    <x v="24"/>
    <x v="1"/>
    <n v="528461.76331446774"/>
  </r>
  <r>
    <x v="2"/>
    <s v="Østdanmark"/>
    <x v="28"/>
    <x v="1"/>
    <n v="19658.870107237683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147235.5526749862"/>
  </r>
  <r>
    <x v="2"/>
    <s v="Østdanmark"/>
    <x v="29"/>
    <x v="1"/>
    <n v="141469.60847064349"/>
  </r>
  <r>
    <x v="2"/>
    <s v="Østdanmark"/>
    <x v="30"/>
    <x v="1"/>
    <n v="204224.37651634615"/>
  </r>
  <r>
    <x v="2"/>
    <s v="Østdanmark"/>
    <x v="31"/>
    <x v="1"/>
    <n v="99567.428754430017"/>
  </r>
  <r>
    <x v="2"/>
    <s v="Østdanmark"/>
    <x v="32"/>
    <x v="1"/>
    <n v="3604.250814640001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7947.551595505945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3315.47505450371"/>
  </r>
  <r>
    <x v="2"/>
    <s v="Østdanmark"/>
    <x v="28"/>
    <x v="2"/>
    <n v="13143.397523048965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67011.16794249229"/>
  </r>
  <r>
    <x v="2"/>
    <s v="Østdanmark"/>
    <x v="29"/>
    <x v="2"/>
    <n v="94582.816378404299"/>
  </r>
  <r>
    <x v="2"/>
    <s v="Østdanmark"/>
    <x v="30"/>
    <x v="2"/>
    <n v="136538.9846826923"/>
  </r>
  <r>
    <x v="2"/>
    <s v="Østdanmark"/>
    <x v="31"/>
    <x v="2"/>
    <n v="66568.133841300005"/>
  </r>
  <r>
    <x v="2"/>
    <s v="Østdanmark"/>
    <x v="32"/>
    <x v="2"/>
    <n v="2409.7062024000002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254415.29546314781"/>
  </r>
  <r>
    <x v="3"/>
    <s v="Vestdanmark"/>
    <x v="34"/>
    <x v="1"/>
    <n v="230606.03784600773"/>
  </r>
  <r>
    <x v="3"/>
    <s v="Vestdanmark"/>
    <x v="35"/>
    <x v="1"/>
    <n v="215758.44874789647"/>
  </r>
  <r>
    <x v="3"/>
    <s v="Vestdanmark"/>
    <x v="36"/>
    <x v="1"/>
    <n v="2228556.3906758497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4281.0237870615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254045.94024373771"/>
  </r>
  <r>
    <x v="3"/>
    <s v="Østdanmark"/>
    <x v="34"/>
    <x v="1"/>
    <n v="75102.44158396039"/>
  </r>
  <r>
    <x v="3"/>
    <s v="Østdanmark"/>
    <x v="35"/>
    <x v="1"/>
    <n v="66681.39344549182"/>
  </r>
  <r>
    <x v="3"/>
    <s v="Østdanmark"/>
    <x v="36"/>
    <x v="1"/>
    <n v="648116.49103494617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93.88316623261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92486.94948403907"/>
  </r>
  <r>
    <x v="3"/>
    <s v="Vestdanmark"/>
    <x v="35"/>
    <x v="2"/>
    <n v="167353.17803041782"/>
  </r>
  <r>
    <x v="3"/>
    <s v="Vestdanmark"/>
    <x v="36"/>
    <x v="2"/>
    <n v="2354122.6497080862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695607.30474103929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002.3670705014374"/>
  </r>
  <r>
    <x v="3"/>
    <s v="Østdanmark"/>
    <x v="34"/>
    <x v="2"/>
    <n v="69838.419357151841"/>
  </r>
  <r>
    <x v="3"/>
    <s v="Østdanmark"/>
    <x v="35"/>
    <x v="2"/>
    <n v="60719.109564821476"/>
  </r>
  <r>
    <x v="3"/>
    <s v="Østdanmark"/>
    <x v="35"/>
    <x v="2"/>
    <n v="60719.109564821476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79246.53073851895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2826531.2204777007"/>
  </r>
  <r>
    <x v="5"/>
    <s v="Vestdanmark"/>
    <x v="15"/>
    <x v="1"/>
    <n v="2596699.342267157"/>
  </r>
  <r>
    <x v="5"/>
    <s v="Vestdanmark"/>
    <x v="16"/>
    <x v="1"/>
    <n v="2085.6815338863707"/>
  </r>
  <r>
    <x v="5"/>
    <s v="Vestdanmark"/>
    <x v="20"/>
    <x v="1"/>
    <n v="192815.65620473531"/>
  </r>
  <r>
    <x v="5"/>
    <s v="Vestdanmark"/>
    <x v="38"/>
    <x v="1"/>
    <n v="16880479.241128754"/>
  </r>
  <r>
    <x v="5"/>
    <s v="Vestdanmark"/>
    <x v="39"/>
    <x v="1"/>
    <n v="479558.1969775256"/>
  </r>
  <r>
    <x v="5"/>
    <s v="Vestdanmark"/>
    <x v="14"/>
    <x v="2"/>
    <n v="721614.58837897785"/>
  </r>
  <r>
    <x v="5"/>
    <s v="Vestdanmark"/>
    <x v="15"/>
    <x v="2"/>
    <n v="636770.32512749103"/>
  </r>
  <r>
    <x v="5"/>
    <s v="Vestdanmark"/>
    <x v="16"/>
    <x v="2"/>
    <n v="861.55317224824194"/>
  </r>
  <r>
    <x v="5"/>
    <s v="Vestdanmark"/>
    <x v="20"/>
    <x v="2"/>
    <n v="55200.91258327102"/>
  </r>
  <r>
    <x v="5"/>
    <s v="Vestdanmark"/>
    <x v="38"/>
    <x v="2"/>
    <n v="12224522.62240437"/>
  </r>
  <r>
    <x v="5"/>
    <s v="Vestdanmark"/>
    <x v="39"/>
    <x v="2"/>
    <n v="605816.973019576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409556.21963303362"/>
  </r>
  <r>
    <x v="5"/>
    <s v="Østdanmark"/>
    <x v="15"/>
    <x v="1"/>
    <n v="184557.83453324181"/>
  </r>
  <r>
    <x v="5"/>
    <s v="Østdanmark"/>
    <x v="16"/>
    <x v="1"/>
    <n v="175.05048128821366"/>
  </r>
  <r>
    <x v="5"/>
    <s v="Østdanmark"/>
    <x v="20"/>
    <x v="1"/>
    <n v="25779.099718643818"/>
  </r>
  <r>
    <x v="5"/>
    <s v="Østdanmark"/>
    <x v="38"/>
    <x v="1"/>
    <n v="3293941.0285514342"/>
  </r>
  <r>
    <x v="5"/>
    <s v="Østdanmark"/>
    <x v="39"/>
    <x v="1"/>
    <n v="298971.86331119167"/>
  </r>
  <r>
    <x v="5"/>
    <s v="Østdanmark"/>
    <x v="14"/>
    <x v="2"/>
    <n v="104559.87208186346"/>
  </r>
  <r>
    <x v="5"/>
    <s v="Østdanmark"/>
    <x v="15"/>
    <x v="2"/>
    <n v="45257.820336624536"/>
  </r>
  <r>
    <x v="5"/>
    <s v="Østdanmark"/>
    <x v="16"/>
    <x v="2"/>
    <n v="72.309839736855295"/>
  </r>
  <r>
    <x v="5"/>
    <s v="Østdanmark"/>
    <x v="20"/>
    <x v="2"/>
    <n v="7356.8791717039439"/>
  </r>
  <r>
    <x v="5"/>
    <s v="Østdanmark"/>
    <x v="38"/>
    <x v="2"/>
    <n v="3135697.1726427898"/>
  </r>
  <r>
    <x v="5"/>
    <s v="Østdanmark"/>
    <x v="39"/>
    <x v="2"/>
    <n v="292278.82851604407"/>
  </r>
  <r>
    <x v="6"/>
    <s v="Vestdanmark"/>
    <x v="23"/>
    <x v="0"/>
    <n v="0"/>
  </r>
  <r>
    <x v="6"/>
    <s v="Vestdanmark"/>
    <x v="23"/>
    <x v="1"/>
    <n v="4904320.894126229"/>
  </r>
  <r>
    <x v="6"/>
    <s v="Vestdanmark"/>
    <x v="23"/>
    <x v="2"/>
    <n v="3274130.6034294944"/>
  </r>
  <r>
    <x v="6"/>
    <s v="Østdanmark"/>
    <x v="23"/>
    <x v="0"/>
    <n v="0"/>
  </r>
  <r>
    <x v="6"/>
    <s v="Østdanmark"/>
    <x v="23"/>
    <x v="1"/>
    <n v="595600.88405130478"/>
  </r>
  <r>
    <x v="6"/>
    <s v="Østdanmark"/>
    <x v="23"/>
    <x v="2"/>
    <n v="398202.90492095106"/>
  </r>
  <r>
    <x v="7"/>
    <s v="Vestdanmark"/>
    <x v="40"/>
    <x v="0"/>
    <n v="484833.6848947219"/>
  </r>
  <r>
    <x v="7"/>
    <s v="Vestdanmark"/>
    <x v="40"/>
    <x v="1"/>
    <n v="720643.86826877412"/>
  </r>
  <r>
    <x v="7"/>
    <s v="Vestdanmark"/>
    <x v="40"/>
    <x v="2"/>
    <n v="601521.71713762206"/>
  </r>
  <r>
    <x v="7"/>
    <s v="Østdanmark"/>
    <x v="40"/>
    <x v="0"/>
    <n v="193574.13238370849"/>
  </r>
  <r>
    <x v="7"/>
    <s v="Østdanmark"/>
    <x v="40"/>
    <x v="1"/>
    <n v="234695.12994987622"/>
  </r>
  <r>
    <x v="7"/>
    <s v="Østdanmark"/>
    <x v="40"/>
    <x v="2"/>
    <n v="218245.06049109949"/>
  </r>
  <r>
    <x v="8"/>
    <s v="Vestdanmark"/>
    <x v="22"/>
    <x v="0"/>
    <n v="0"/>
  </r>
  <r>
    <x v="8"/>
    <s v="Vestdanmark"/>
    <x v="22"/>
    <x v="1"/>
    <n v="721738.71438278642"/>
  </r>
  <r>
    <x v="8"/>
    <s v="Vestdanmark"/>
    <x v="22"/>
    <x v="2"/>
    <n v="1054723.8266823078"/>
  </r>
  <r>
    <x v="8"/>
    <s v="Østdanmark"/>
    <x v="22"/>
    <x v="0"/>
    <n v="0"/>
  </r>
  <r>
    <x v="8"/>
    <s v="Østdanmark"/>
    <x v="22"/>
    <x v="1"/>
    <n v="278261.28561721352"/>
  </r>
  <r>
    <x v="8"/>
    <s v="Østdanmark"/>
    <x v="22"/>
    <x v="2"/>
    <n v="445276.17331769242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404173.68005436042"/>
  </r>
  <r>
    <x v="3"/>
    <s v="Vestdanmark"/>
    <x v="42"/>
    <x v="1"/>
    <n v="101043.4200135901"/>
  </r>
  <r>
    <x v="3"/>
    <s v="Vestdanmark"/>
    <x v="41"/>
    <x v="2"/>
    <n v="590645.34294209245"/>
  </r>
  <r>
    <x v="3"/>
    <s v="Vestdanmark"/>
    <x v="42"/>
    <x v="2"/>
    <n v="147661.33573552311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155826.31994563958"/>
  </r>
  <r>
    <x v="3"/>
    <s v="Østdanmark"/>
    <x v="42"/>
    <x v="1"/>
    <n v="38956.579986409895"/>
  </r>
  <r>
    <x v="3"/>
    <s v="Østdanmark"/>
    <x v="41"/>
    <x v="2"/>
    <n v="249354.65705790778"/>
  </r>
  <r>
    <x v="3"/>
    <s v="Østdanmark"/>
    <x v="42"/>
    <x v="2"/>
    <n v="62338.664264476945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02">
      <pivotArea outline="0" collapsedLevelsAreSubtotals="1" fieldPosition="0"/>
    </format>
    <format dxfId="103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9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N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3">
    <i>
      <x v="2"/>
    </i>
    <i>
      <x v="7"/>
    </i>
    <i>
      <x v="8"/>
    </i>
    <i>
      <x v="9"/>
    </i>
    <i>
      <x v="10"/>
    </i>
    <i>
      <x v="13"/>
    </i>
    <i>
      <x v="14"/>
    </i>
    <i>
      <x v="18"/>
    </i>
    <i>
      <x v="19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99">
      <pivotArea outline="0" collapsedLevelsAreSubtotals="1" fieldPosition="0"/>
    </format>
  </formats>
  <chartFormats count="67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8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7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7">
      <pivotArea outline="0" collapsedLevelsAreSubtotals="1" fieldPosition="0"/>
    </format>
    <format dxfId="9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8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94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93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95">
      <pivotArea outline="0" collapsedLevelsAreSubtotals="1" fieldPosition="0"/>
    </format>
    <format dxfId="96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6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92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1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6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0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6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0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796875" defaultRowHeight="14.5" x14ac:dyDescent="0.35"/>
  <cols>
    <col min="1" max="1" width="30.54296875" style="1" bestFit="1" customWidth="1"/>
    <col min="2" max="2" width="42.26953125" style="1" bestFit="1" customWidth="1"/>
    <col min="3" max="3" width="9.1796875" style="1"/>
    <col min="4" max="4" width="10.26953125" style="1" customWidth="1"/>
    <col min="5" max="5" width="24.54296875" style="1" customWidth="1"/>
    <col min="6" max="6" width="10.26953125" style="1" customWidth="1"/>
    <col min="7" max="16384" width="9.1796875" style="1"/>
  </cols>
  <sheetData>
    <row r="1" spans="1:6" ht="21" x14ac:dyDescent="0.5">
      <c r="A1" s="342" t="s">
        <v>278</v>
      </c>
      <c r="B1" s="342"/>
      <c r="D1" s="75" t="s">
        <v>291</v>
      </c>
    </row>
    <row r="2" spans="1:6" x14ac:dyDescent="0.35">
      <c r="A2" s="6" t="s">
        <v>0</v>
      </c>
      <c r="B2" s="225" t="s">
        <v>310</v>
      </c>
    </row>
    <row r="4" spans="1:6" ht="30" customHeight="1" thickBot="1" x14ac:dyDescent="0.4">
      <c r="A4" s="341" t="s">
        <v>277</v>
      </c>
      <c r="B4" s="341"/>
      <c r="D4" s="75"/>
    </row>
    <row r="5" spans="1:6" ht="15" thickTop="1" x14ac:dyDescent="0.3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3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3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3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35">
      <c r="A9" s="209" t="s">
        <v>93</v>
      </c>
      <c r="B9" s="208" t="s">
        <v>263</v>
      </c>
      <c r="D9" s="215"/>
      <c r="E9" s="216"/>
      <c r="F9" s="12"/>
    </row>
    <row r="10" spans="1:6" x14ac:dyDescent="0.35">
      <c r="A10" s="207"/>
      <c r="B10" s="208"/>
      <c r="D10" s="217" t="s">
        <v>47</v>
      </c>
      <c r="E10" s="216"/>
      <c r="F10" s="12"/>
    </row>
    <row r="11" spans="1:6" x14ac:dyDescent="0.3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3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3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3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3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35">
      <c r="A16" s="207" t="s">
        <v>72</v>
      </c>
      <c r="B16" s="208"/>
      <c r="D16" s="218"/>
      <c r="E16" s="216"/>
    </row>
    <row r="17" spans="1:5" x14ac:dyDescent="0.35">
      <c r="A17" s="207" t="s">
        <v>73</v>
      </c>
      <c r="B17" s="224" t="s">
        <v>274</v>
      </c>
      <c r="D17" s="219" t="s">
        <v>94</v>
      </c>
      <c r="E17" s="216"/>
    </row>
    <row r="18" spans="1:5" x14ac:dyDescent="0.3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35">
      <c r="A19" s="207" t="s">
        <v>259</v>
      </c>
      <c r="B19" s="343"/>
      <c r="D19" s="215" cm="1">
        <f t="array" ref="D19">[1]!År2</f>
        <v>2030</v>
      </c>
      <c r="E19" s="216"/>
    </row>
    <row r="20" spans="1:5" ht="15" thickBot="1" x14ac:dyDescent="0.4">
      <c r="A20" s="207" t="s">
        <v>260</v>
      </c>
      <c r="B20" s="208"/>
      <c r="D20" s="220" cm="1">
        <f t="array" ref="D20">[1]!År3</f>
        <v>2050</v>
      </c>
      <c r="E20" s="221"/>
    </row>
    <row r="21" spans="1:5" ht="15" thickTop="1" x14ac:dyDescent="0.35">
      <c r="A21" s="207" t="s">
        <v>75</v>
      </c>
      <c r="B21" s="208"/>
    </row>
    <row r="22" spans="1:5" x14ac:dyDescent="0.35">
      <c r="A22" s="207"/>
      <c r="B22" s="208"/>
    </row>
    <row r="23" spans="1:5" x14ac:dyDescent="0.35">
      <c r="A23" s="258" t="s">
        <v>313</v>
      </c>
      <c r="B23" s="208"/>
    </row>
    <row r="24" spans="1:5" ht="15" thickBot="1" x14ac:dyDescent="0.4">
      <c r="A24" s="210" t="s">
        <v>1</v>
      </c>
      <c r="B24" s="211"/>
    </row>
    <row r="25" spans="1:5" ht="15" thickTop="1" x14ac:dyDescent="0.3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21" zoomScale="60" zoomScaleNormal="60" workbookViewId="0">
      <selection activeCell="B12" sqref="B12"/>
    </sheetView>
  </sheetViews>
  <sheetFormatPr defaultColWidth="9.1796875" defaultRowHeight="14.5" x14ac:dyDescent="0.35"/>
  <cols>
    <col min="1" max="2" width="9.1796875" style="1"/>
    <col min="3" max="3" width="11" style="1" bestFit="1" customWidth="1"/>
    <col min="4" max="16384" width="9.1796875" style="1"/>
  </cols>
  <sheetData>
    <row r="1" spans="1:17" ht="15" customHeight="1" x14ac:dyDescent="0.3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3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35">
      <c r="A3" s="75"/>
    </row>
    <row r="123" spans="3:3" x14ac:dyDescent="0.3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B11" zoomScale="65" zoomScaleNormal="85" workbookViewId="0">
      <selection activeCell="I50" sqref="I50"/>
    </sheetView>
  </sheetViews>
  <sheetFormatPr defaultColWidth="9.1796875" defaultRowHeight="14.5" x14ac:dyDescent="0.35"/>
  <cols>
    <col min="1" max="1" width="36" style="1" customWidth="1"/>
    <col min="2" max="2" width="52.26953125" style="1" customWidth="1"/>
    <col min="3" max="3" width="9.26953125" style="1" customWidth="1"/>
    <col min="4" max="4" width="10.26953125" style="1" customWidth="1"/>
    <col min="5" max="5" width="13.7265625" style="1" customWidth="1"/>
    <col min="6" max="6" width="15.54296875" style="1" bestFit="1" customWidth="1"/>
    <col min="7" max="7" width="25.7265625" style="1" customWidth="1"/>
    <col min="8" max="8" width="9.1796875" style="1"/>
    <col min="9" max="9" width="25.1796875" style="1" bestFit="1" customWidth="1"/>
    <col min="10" max="10" width="13" style="1" customWidth="1"/>
    <col min="11" max="12" width="9" style="1" bestFit="1" customWidth="1"/>
    <col min="13" max="13" width="12.81640625" style="1" customWidth="1"/>
    <col min="14" max="15" width="9" style="1" bestFit="1" customWidth="1"/>
    <col min="16" max="16" width="13.1796875" style="1" customWidth="1"/>
    <col min="17" max="18" width="9" style="1" bestFit="1" customWidth="1"/>
    <col min="19" max="16384" width="9.1796875" style="1"/>
  </cols>
  <sheetData>
    <row r="1" spans="1:18" x14ac:dyDescent="0.35">
      <c r="A1" s="231" t="s">
        <v>280</v>
      </c>
      <c r="B1" s="75" t="s">
        <v>306</v>
      </c>
    </row>
    <row r="2" spans="1:18" ht="43" customHeight="1" x14ac:dyDescent="0.3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3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3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35">
      <c r="A5" s="2" t="s">
        <v>36</v>
      </c>
      <c r="B5" s="222" t="s">
        <v>275</v>
      </c>
      <c r="C5" s="9">
        <v>270000</v>
      </c>
      <c r="D5" s="9">
        <v>513100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3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2129636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1886536</v>
      </c>
      <c r="Q6" s="18">
        <f t="shared" si="1"/>
        <v>1.999999999994543</v>
      </c>
      <c r="R6" s="18">
        <f t="shared" si="1"/>
        <v>1.9999999999936335</v>
      </c>
    </row>
    <row r="7" spans="1:18" x14ac:dyDescent="0.3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831899.99999999988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3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" thickBot="1" x14ac:dyDescent="0.4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3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35">
      <c r="A11" s="2"/>
      <c r="B11" s="2"/>
      <c r="C11" s="9"/>
      <c r="D11" s="9"/>
      <c r="E11" s="9"/>
      <c r="F11" s="110"/>
      <c r="G11" s="110"/>
    </row>
    <row r="12" spans="1:18" x14ac:dyDescent="0.35">
      <c r="A12" s="2"/>
      <c r="B12" s="2"/>
      <c r="C12" s="9"/>
      <c r="D12" s="9"/>
      <c r="E12" s="9"/>
      <c r="F12" s="110"/>
      <c r="G12" s="110"/>
    </row>
    <row r="13" spans="1:18" x14ac:dyDescent="0.35">
      <c r="A13" s="2"/>
      <c r="B13" s="2"/>
      <c r="C13" s="9"/>
      <c r="D13" s="9"/>
      <c r="E13" s="9"/>
      <c r="F13" s="110"/>
      <c r="G13" s="110"/>
    </row>
    <row r="14" spans="1:18" x14ac:dyDescent="0.35">
      <c r="A14" s="2"/>
      <c r="B14" s="2"/>
      <c r="C14" s="9"/>
      <c r="D14" s="9"/>
      <c r="E14" s="9"/>
      <c r="F14" s="110"/>
      <c r="G14" s="110"/>
    </row>
    <row r="15" spans="1:18" x14ac:dyDescent="0.35">
      <c r="A15" s="2"/>
      <c r="B15" s="2"/>
      <c r="C15" s="9"/>
      <c r="D15" s="9"/>
      <c r="E15" s="9"/>
      <c r="F15" s="110"/>
      <c r="G15" s="110"/>
    </row>
    <row r="16" spans="1:18" x14ac:dyDescent="0.35">
      <c r="A16" s="2"/>
      <c r="B16" s="2"/>
      <c r="C16" s="9"/>
      <c r="D16" s="9"/>
      <c r="E16" s="9"/>
      <c r="F16" s="110"/>
      <c r="G16" s="110"/>
    </row>
    <row r="17" spans="1:18" x14ac:dyDescent="0.35">
      <c r="A17" s="2"/>
      <c r="B17" s="2"/>
      <c r="C17" s="9"/>
      <c r="D17" s="9"/>
      <c r="E17" s="9"/>
      <c r="F17" s="110"/>
      <c r="G17" s="110"/>
    </row>
    <row r="18" spans="1:18" x14ac:dyDescent="0.35">
      <c r="D18" s="15"/>
      <c r="E18" s="15"/>
      <c r="F18" s="15"/>
      <c r="G18" s="15"/>
    </row>
    <row r="19" spans="1:18" x14ac:dyDescent="0.35">
      <c r="D19" s="15"/>
      <c r="E19" s="15"/>
      <c r="F19" s="15"/>
      <c r="G19" s="15"/>
    </row>
    <row r="20" spans="1:18" x14ac:dyDescent="0.35">
      <c r="D20" s="15"/>
      <c r="E20" s="15"/>
      <c r="F20" s="15"/>
      <c r="G20" s="15"/>
    </row>
    <row r="21" spans="1:18" x14ac:dyDescent="0.35">
      <c r="D21" s="15"/>
      <c r="E21" s="15"/>
      <c r="F21" s="15"/>
      <c r="G21" s="15"/>
    </row>
    <row r="22" spans="1:18" hidden="1" x14ac:dyDescent="0.3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3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3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3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3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1603734.7543092733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3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678400.84352087462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3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" hidden="1" thickBot="1" x14ac:dyDescent="0.4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3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3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3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3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3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3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3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525901.24569072668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3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153499.15647912529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3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" hidden="1" thickBot="1" x14ac:dyDescent="0.4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3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35"/>
  </sheetData>
  <conditionalFormatting sqref="J5:R9">
    <cfRule type="cellIs" dxfId="11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topLeftCell="A28" zoomScale="85" zoomScaleNormal="85" workbookViewId="0">
      <selection activeCell="D45" sqref="D45"/>
    </sheetView>
  </sheetViews>
  <sheetFormatPr defaultColWidth="8.81640625" defaultRowHeight="14.5" x14ac:dyDescent="0.35"/>
  <cols>
    <col min="1" max="1" width="8.81640625" style="1"/>
    <col min="2" max="2" width="45.54296875" style="1" customWidth="1"/>
    <col min="3" max="8" width="13.81640625" style="1" customWidth="1"/>
    <col min="9" max="9" width="17.453125" style="12" customWidth="1"/>
    <col min="10" max="10" width="16.453125" style="1" customWidth="1"/>
    <col min="11" max="11" width="10.54296875" style="1" bestFit="1" customWidth="1"/>
    <col min="12" max="13" width="10.7265625" style="1" customWidth="1"/>
    <col min="14" max="17" width="10.453125" style="1" bestFit="1" customWidth="1"/>
    <col min="18" max="16384" width="8.81640625" style="1"/>
  </cols>
  <sheetData>
    <row r="1" spans="1:9" x14ac:dyDescent="0.35">
      <c r="A1" s="230" t="s">
        <v>280</v>
      </c>
    </row>
    <row r="2" spans="1:9" ht="15.5" x14ac:dyDescent="0.35">
      <c r="A2" s="227" t="s">
        <v>67</v>
      </c>
      <c r="F2" s="12"/>
      <c r="G2" s="12"/>
    </row>
    <row r="3" spans="1:9" x14ac:dyDescent="0.35">
      <c r="B3" s="82"/>
      <c r="C3" s="83"/>
      <c r="D3" s="83"/>
      <c r="E3" s="83"/>
      <c r="F3" s="12"/>
      <c r="G3" s="74"/>
      <c r="I3" s="1"/>
    </row>
    <row r="4" spans="1:9" x14ac:dyDescent="0.3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3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3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3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3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35">
      <c r="B9" s="81"/>
      <c r="C9" s="13"/>
      <c r="D9" s="13"/>
      <c r="E9" s="80"/>
      <c r="F9" s="12"/>
      <c r="G9" s="12"/>
      <c r="I9" s="1"/>
    </row>
    <row r="10" spans="1:9" x14ac:dyDescent="0.3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35">
      <c r="B11" s="2" t="s">
        <v>22</v>
      </c>
      <c r="C11" s="7">
        <v>1</v>
      </c>
      <c r="D11" s="3">
        <v>0.75</v>
      </c>
      <c r="E11" s="3">
        <v>0.5</v>
      </c>
      <c r="G11" s="12"/>
      <c r="I11" s="1"/>
    </row>
    <row r="12" spans="1:9" x14ac:dyDescent="0.3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3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35">
      <c r="B14" s="12"/>
      <c r="C14" s="313"/>
      <c r="D14" s="13"/>
      <c r="E14" s="13"/>
      <c r="F14" s="12"/>
      <c r="G14" s="12"/>
      <c r="H14" s="14"/>
      <c r="I14" s="14"/>
    </row>
    <row r="15" spans="1:9" x14ac:dyDescent="0.3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3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3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3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35">
      <c r="B20" s="347" t="s">
        <v>334</v>
      </c>
      <c r="C20" s="25"/>
      <c r="D20" s="25"/>
      <c r="E20" s="25"/>
      <c r="F20" s="12"/>
      <c r="I20" s="1"/>
    </row>
    <row r="21" spans="2:11" ht="29.5" customHeight="1" x14ac:dyDescent="0.3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3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3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3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3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3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" thickBot="1" x14ac:dyDescent="0.4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" thickBot="1" x14ac:dyDescent="0.4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35">
      <c r="B29" s="12"/>
      <c r="C29" s="118"/>
      <c r="D29" s="118"/>
      <c r="E29" s="118"/>
      <c r="F29" s="118"/>
      <c r="G29" s="118"/>
      <c r="H29" s="118"/>
    </row>
    <row r="30" spans="2:11" x14ac:dyDescent="0.35">
      <c r="B30" s="345" t="s">
        <v>333</v>
      </c>
      <c r="C30" s="25"/>
      <c r="D30" s="25"/>
      <c r="E30" s="25"/>
      <c r="K30" s="12"/>
    </row>
    <row r="31" spans="2:11" x14ac:dyDescent="0.3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35">
      <c r="B32" s="2" t="str">
        <f>[1]Afgrødefordeling!$C2</f>
        <v>Korn</v>
      </c>
      <c r="C32" s="326">
        <f>'[1]Afgrødefordeling - jordtype'!$Y4</f>
        <v>0.53753334285647836</v>
      </c>
      <c r="D32" s="90">
        <v>0.4</v>
      </c>
      <c r="E32" s="90">
        <v>0.4</v>
      </c>
      <c r="K32" s="12"/>
    </row>
    <row r="33" spans="2:11" x14ac:dyDescent="0.35">
      <c r="B33" s="2" t="str">
        <f>[1]Afgrødefordeling!$C3</f>
        <v>Bælgsæd</v>
      </c>
      <c r="C33" s="326">
        <f>'[1]Afgrødefordeling - jordtype'!$Y5</f>
        <v>3.0976273829928767E-2</v>
      </c>
      <c r="D33" s="90">
        <v>0.09</v>
      </c>
      <c r="E33" s="90">
        <v>0.09</v>
      </c>
      <c r="K33" s="12"/>
    </row>
    <row r="34" spans="2:11" x14ac:dyDescent="0.35">
      <c r="B34" s="2" t="str">
        <f>[1]Afgrødefordeling!$C4</f>
        <v>Raps</v>
      </c>
      <c r="C34" s="326">
        <f>'[1]Afgrødefordeling - jordtype'!$Y6</f>
        <v>6.5329688585482673E-2</v>
      </c>
      <c r="D34" s="90">
        <v>0.33500000000000002</v>
      </c>
      <c r="E34" s="90">
        <v>0.1</v>
      </c>
      <c r="K34" s="12"/>
    </row>
    <row r="35" spans="2:11" x14ac:dyDescent="0.35">
      <c r="B35" s="2" t="str">
        <f>[1]Afgrødefordeling!$C5</f>
        <v>Græs</v>
      </c>
      <c r="C35" s="326">
        <f>'[1]Afgrødefordeling - jordtype'!$Y7</f>
        <v>0.10115967422642448</v>
      </c>
      <c r="D35" s="90">
        <v>0</v>
      </c>
      <c r="E35" s="90">
        <v>6.5000000000000002E-2</v>
      </c>
      <c r="K35" s="12"/>
    </row>
    <row r="36" spans="2:11" x14ac:dyDescent="0.3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0.01</v>
      </c>
      <c r="E36" s="90">
        <v>0.01</v>
      </c>
      <c r="K36" s="12"/>
    </row>
    <row r="37" spans="2:11" x14ac:dyDescent="0.35">
      <c r="B37" s="2" t="str">
        <f>[1]Afgrødefordeling!$C7</f>
        <v>Kartofler</v>
      </c>
      <c r="C37" s="326">
        <f>'[1]Afgrødefordeling - jordtype'!$Y9</f>
        <v>2.189728375215861E-2</v>
      </c>
      <c r="D37" s="90">
        <v>2.5000000000000001E-2</v>
      </c>
      <c r="E37" s="90">
        <v>2.5000000000000001E-2</v>
      </c>
      <c r="K37" s="12"/>
    </row>
    <row r="38" spans="2:11" x14ac:dyDescent="0.35">
      <c r="B38" s="2" t="str">
        <f>[1]Afgrødefordeling!$C8</f>
        <v>Roer</v>
      </c>
      <c r="C38" s="326">
        <f>'[1]Afgrødefordeling - jordtype'!$Y10</f>
        <v>1.3466912404096722E-2</v>
      </c>
      <c r="D38" s="90">
        <v>5.0000000000000001E-3</v>
      </c>
      <c r="E38" s="90">
        <v>5.0000000000000001E-3</v>
      </c>
      <c r="K38" s="12"/>
    </row>
    <row r="39" spans="2:11" x14ac:dyDescent="0.35">
      <c r="B39" s="2" t="str">
        <f>[1]Afgrødefordeling!$C9</f>
        <v>Majs</v>
      </c>
      <c r="C39" s="326">
        <f>'[1]Afgrødefordeling - jordtype'!$Y11</f>
        <v>7.2759287296729286E-2</v>
      </c>
      <c r="D39" s="90">
        <v>0.05</v>
      </c>
      <c r="E39" s="90">
        <v>0.05</v>
      </c>
      <c r="K39" s="12"/>
    </row>
    <row r="40" spans="2:11" x14ac:dyDescent="0.35">
      <c r="B40" s="2" t="str">
        <f>[1]Afgrødefordeling!$C10</f>
        <v>Frugt</v>
      </c>
      <c r="C40" s="326">
        <f>'[1]Afgrødefordeling - jordtype'!$Y12</f>
        <v>2.0301913757470973E-3</v>
      </c>
      <c r="D40" s="90">
        <v>5.0000000000000001E-3</v>
      </c>
      <c r="E40" s="90">
        <v>5.0000000000000001E-3</v>
      </c>
      <c r="K40" s="12"/>
    </row>
    <row r="41" spans="2:11" x14ac:dyDescent="0.35">
      <c r="B41" s="2" t="str">
        <f>[1]Afgrødefordeling!$C11</f>
        <v>Øvrige</v>
      </c>
      <c r="C41" s="326">
        <f>'[1]Afgrødefordeling - jordtype'!$Y13</f>
        <v>2.7968670218625629E-2</v>
      </c>
      <c r="D41" s="90">
        <v>2.5000000000000001E-2</v>
      </c>
      <c r="E41" s="90">
        <v>2.5000000000000001E-2</v>
      </c>
      <c r="K41" s="12"/>
    </row>
    <row r="42" spans="2:11" x14ac:dyDescent="0.35">
      <c r="B42" s="2" t="str">
        <f>[1]Afgrødefordeling!$C12</f>
        <v>Frø</v>
      </c>
      <c r="C42" s="326">
        <f>'[1]Afgrødefordeling - jordtype'!$Y14</f>
        <v>4.0395307311065158E-2</v>
      </c>
      <c r="D42" s="90">
        <v>4.0395307311065158E-2</v>
      </c>
      <c r="E42" s="90">
        <v>4.0395307311065158E-2</v>
      </c>
      <c r="K42" s="12"/>
    </row>
    <row r="43" spans="2:11" x14ac:dyDescent="0.35">
      <c r="B43" s="2" t="str">
        <f>[1]Afgrødefordeling!$C13</f>
        <v>Juletræer</v>
      </c>
      <c r="C43" s="326">
        <f>'[1]Afgrødefordeling - jordtype'!$Y15</f>
        <v>7.5869349743828522E-3</v>
      </c>
      <c r="D43" s="90">
        <v>0.01</v>
      </c>
      <c r="E43" s="90">
        <v>0.01</v>
      </c>
      <c r="K43" s="12"/>
    </row>
    <row r="44" spans="2:11" x14ac:dyDescent="0.3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v>5.0000000000000001E-3</v>
      </c>
      <c r="E44" s="90">
        <v>5.0000000000000001E-3</v>
      </c>
      <c r="K44" s="12"/>
    </row>
    <row r="45" spans="2:11" x14ac:dyDescent="0.3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v>0</v>
      </c>
      <c r="E45" s="90">
        <v>0.17</v>
      </c>
      <c r="K45" s="12"/>
    </row>
    <row r="46" spans="2:11" x14ac:dyDescent="0.35">
      <c r="B46" s="25" t="s">
        <v>297</v>
      </c>
      <c r="C46" s="87"/>
      <c r="D46" s="89">
        <f>SUM(D32:D45)</f>
        <v>1.0003953073110652</v>
      </c>
      <c r="E46" s="89">
        <f>SUM(E32:E45)</f>
        <v>1.0003953073110652</v>
      </c>
      <c r="K46" s="12"/>
    </row>
    <row r="47" spans="2:11" x14ac:dyDescent="0.35">
      <c r="B47" s="25" t="s">
        <v>245</v>
      </c>
      <c r="C47" s="87"/>
      <c r="D47" s="115" cm="1">
        <f t="array" ref="D47">SUMPRODUCT((D32:D45&gt;$C$32:$C$45)*(D32:D45-$C$32:$C$45))*Arealanvendelse!M6</f>
        <v>732714.11057897517</v>
      </c>
      <c r="E47" s="115" cm="1">
        <f t="array" ref="E47">SUMPRODUCT((E32:E45&gt;$C$32:$C$45)*(E32:E45-$C$32:$C$45))*Arealanvendelse!P6</f>
        <v>392933.74426726153</v>
      </c>
      <c r="K47" s="12"/>
    </row>
    <row r="48" spans="2:11" x14ac:dyDescent="0.35">
      <c r="B48" s="25" t="s">
        <v>244</v>
      </c>
      <c r="C48" s="109"/>
      <c r="D48" s="115">
        <f>1%*Arealanvendelse!M6</f>
        <v>21296.36</v>
      </c>
      <c r="E48" s="115">
        <f>1%*Arealanvendelse!P6</f>
        <v>18865.36</v>
      </c>
    </row>
    <row r="49" spans="2:8" x14ac:dyDescent="0.35">
      <c r="B49" s="12"/>
      <c r="D49" s="118"/>
      <c r="E49" s="118"/>
      <c r="H49" s="118"/>
    </row>
    <row r="50" spans="2:8" ht="15" customHeight="1" x14ac:dyDescent="0.3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35">
      <c r="B51" s="112" t="s">
        <v>152</v>
      </c>
      <c r="C51" s="113">
        <f>786/121381</f>
        <v>6.475478040220463E-3</v>
      </c>
      <c r="D51" s="212">
        <v>7.4999999999999997E-3</v>
      </c>
      <c r="E51" s="212">
        <v>8.5000000000000006E-3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6" sqref="D16"/>
    </sheetView>
  </sheetViews>
  <sheetFormatPr defaultColWidth="9.1796875" defaultRowHeight="14.5" x14ac:dyDescent="0.35"/>
  <cols>
    <col min="1" max="1" width="25" style="1" customWidth="1"/>
    <col min="2" max="2" width="18.26953125" style="1" customWidth="1"/>
    <col min="3" max="3" width="12.1796875" style="1" customWidth="1"/>
    <col min="4" max="5" width="9.1796875" style="1"/>
    <col min="6" max="6" width="21" style="1" bestFit="1" customWidth="1"/>
    <col min="7" max="16384" width="9.1796875" style="1"/>
  </cols>
  <sheetData>
    <row r="1" spans="1:9" x14ac:dyDescent="0.35">
      <c r="A1" s="230" t="s">
        <v>280</v>
      </c>
    </row>
    <row r="2" spans="1:9" ht="15" thickBot="1" x14ac:dyDescent="0.4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3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v>0.4</v>
      </c>
      <c r="E3" s="314">
        <f>D3</f>
        <v>0.4</v>
      </c>
      <c r="I3" s="244"/>
    </row>
    <row r="4" spans="1:9" x14ac:dyDescent="0.3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v>1.0999999999999999E-2</v>
      </c>
      <c r="E4" s="314">
        <f t="shared" ref="D4:E17" si="0">D4</f>
        <v>1.0999999999999999E-2</v>
      </c>
      <c r="I4" s="244"/>
    </row>
    <row r="5" spans="1:9" x14ac:dyDescent="0.3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v>0</v>
      </c>
      <c r="E5" s="314">
        <f t="shared" si="0"/>
        <v>0</v>
      </c>
      <c r="I5" s="244"/>
    </row>
    <row r="6" spans="1:9" x14ac:dyDescent="0.3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v>5.0000000000000001E-3</v>
      </c>
      <c r="E6" s="314">
        <f t="shared" si="0"/>
        <v>5.0000000000000001E-3</v>
      </c>
      <c r="I6" s="244"/>
    </row>
    <row r="7" spans="1:9" x14ac:dyDescent="0.3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v>0.01</v>
      </c>
      <c r="E7" s="314">
        <f t="shared" si="0"/>
        <v>0.01</v>
      </c>
      <c r="I7" s="244"/>
    </row>
    <row r="8" spans="1:9" x14ac:dyDescent="0.3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v>0.113</v>
      </c>
      <c r="E8" s="314">
        <f t="shared" si="0"/>
        <v>0.113</v>
      </c>
      <c r="I8" s="244"/>
    </row>
    <row r="9" spans="1:9" x14ac:dyDescent="0.3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v>1.6E-2</v>
      </c>
      <c r="E9" s="314">
        <f t="shared" si="0"/>
        <v>1.6E-2</v>
      </c>
      <c r="I9" s="244"/>
    </row>
    <row r="10" spans="1:9" x14ac:dyDescent="0.3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v>0</v>
      </c>
      <c r="E10" s="314">
        <f t="shared" si="0"/>
        <v>0</v>
      </c>
      <c r="I10" s="244"/>
    </row>
    <row r="11" spans="1:9" x14ac:dyDescent="0.3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v>0</v>
      </c>
      <c r="E11" s="314">
        <f t="shared" si="0"/>
        <v>0</v>
      </c>
      <c r="I11" s="244"/>
    </row>
    <row r="12" spans="1:9" x14ac:dyDescent="0.3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v>0.154</v>
      </c>
      <c r="E12" s="314">
        <f t="shared" si="0"/>
        <v>0.154</v>
      </c>
    </row>
    <row r="13" spans="1:9" x14ac:dyDescent="0.3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v>1.0999999999999999E-2</v>
      </c>
      <c r="E13" s="314">
        <f t="shared" si="0"/>
        <v>1.0999999999999999E-2</v>
      </c>
    </row>
    <row r="14" spans="1:9" x14ac:dyDescent="0.3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5.0999999999999997E-2</v>
      </c>
      <c r="E14" s="119">
        <f>ROUND('[1]Processer - data'!J$469/'[1]Processer - data'!J$468*E15*'[1]Processer - data'!$H$429/'[1]Processer - data'!$H$430,3)</f>
        <v>5.0999999999999997E-2</v>
      </c>
      <c r="F14" s="1" t="s">
        <v>325</v>
      </c>
    </row>
    <row r="15" spans="1:9" x14ac:dyDescent="0.3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0.221</v>
      </c>
      <c r="E15" s="314">
        <f t="shared" si="0"/>
        <v>0.221</v>
      </c>
    </row>
    <row r="16" spans="1:9" x14ac:dyDescent="0.3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v>8.0000000000000002E-3</v>
      </c>
      <c r="E16" s="314">
        <f t="shared" si="0"/>
        <v>8.0000000000000002E-3</v>
      </c>
    </row>
    <row r="17" spans="1:6" ht="15" thickBot="1" x14ac:dyDescent="0.4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v>0</v>
      </c>
      <c r="E17" s="314">
        <f t="shared" si="0"/>
        <v>0</v>
      </c>
      <c r="F17" s="315"/>
    </row>
    <row r="18" spans="1:6" ht="15" thickBot="1" x14ac:dyDescent="0.4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10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8" zoomScale="85" zoomScaleNormal="85" workbookViewId="0">
      <selection activeCell="F56" sqref="C56:F68"/>
    </sheetView>
  </sheetViews>
  <sheetFormatPr defaultColWidth="9.1796875" defaultRowHeight="14.5" x14ac:dyDescent="0.35"/>
  <cols>
    <col min="1" max="1" width="18.26953125" style="1" bestFit="1" customWidth="1"/>
    <col min="2" max="2" width="10.54296875" style="1" customWidth="1"/>
    <col min="3" max="4" width="8.54296875" style="1" bestFit="1" customWidth="1"/>
    <col min="5" max="5" width="8.7265625" style="1" customWidth="1"/>
    <col min="6" max="11" width="9.1796875" style="1"/>
    <col min="12" max="12" width="9.81640625" style="1" customWidth="1"/>
    <col min="13" max="13" width="40.54296875" style="1" bestFit="1" customWidth="1"/>
    <col min="14" max="16384" width="9.1796875" style="1"/>
  </cols>
  <sheetData>
    <row r="1" spans="1:4" x14ac:dyDescent="0.35">
      <c r="A1" s="229" t="s">
        <v>280</v>
      </c>
    </row>
    <row r="2" spans="1:4" x14ac:dyDescent="0.35">
      <c r="A2" s="103" t="s">
        <v>250</v>
      </c>
    </row>
    <row r="3" spans="1:4" x14ac:dyDescent="0.35">
      <c r="A3" s="6" t="s">
        <v>183</v>
      </c>
      <c r="B3" s="1" t="s">
        <v>171</v>
      </c>
    </row>
    <row r="4" spans="1:4" x14ac:dyDescent="0.35">
      <c r="A4" s="6" t="s">
        <v>177</v>
      </c>
      <c r="B4" s="1" t="s">
        <v>172</v>
      </c>
    </row>
    <row r="5" spans="1:4" x14ac:dyDescent="0.35">
      <c r="A5" s="6" t="s">
        <v>178</v>
      </c>
      <c r="B5" s="1" t="s">
        <v>173</v>
      </c>
    </row>
    <row r="6" spans="1:4" x14ac:dyDescent="0.35">
      <c r="A6" s="6" t="s">
        <v>179</v>
      </c>
      <c r="B6" s="1" t="s">
        <v>187</v>
      </c>
    </row>
    <row r="7" spans="1:4" x14ac:dyDescent="0.35">
      <c r="A7" s="6" t="s">
        <v>180</v>
      </c>
      <c r="B7" s="1" t="s">
        <v>188</v>
      </c>
    </row>
    <row r="8" spans="1:4" x14ac:dyDescent="0.35">
      <c r="A8" s="6" t="s">
        <v>181</v>
      </c>
      <c r="B8" s="1" t="s">
        <v>189</v>
      </c>
    </row>
    <row r="9" spans="1:4" x14ac:dyDescent="0.35">
      <c r="A9" s="2" t="s">
        <v>289</v>
      </c>
      <c r="B9" s="2"/>
      <c r="C9" s="334">
        <v>5.0000000000000001E-3</v>
      </c>
      <c r="D9" s="4"/>
    </row>
    <row r="10" spans="1:4" x14ac:dyDescent="0.35">
      <c r="A10" s="81"/>
      <c r="B10" s="81"/>
      <c r="C10" s="81"/>
      <c r="D10" s="83"/>
    </row>
    <row r="11" spans="1:4" x14ac:dyDescent="0.35">
      <c r="A11" s="2" t="s">
        <v>288</v>
      </c>
      <c r="B11" s="2"/>
      <c r="C11" s="2"/>
      <c r="D11" s="2"/>
    </row>
    <row r="12" spans="1:4" x14ac:dyDescent="0.3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3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3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3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35">
      <c r="A16" s="2" t="s">
        <v>180</v>
      </c>
      <c r="B16" s="7">
        <v>0</v>
      </c>
      <c r="C16" s="8">
        <v>0.25</v>
      </c>
      <c r="D16" s="8">
        <v>0.25</v>
      </c>
    </row>
    <row r="17" spans="1:8" ht="15" thickBot="1" x14ac:dyDescent="0.4">
      <c r="A17" s="335" t="s">
        <v>181</v>
      </c>
      <c r="B17" s="336">
        <v>0</v>
      </c>
      <c r="C17" s="339"/>
      <c r="D17" s="339"/>
    </row>
    <row r="18" spans="1:8" ht="15" thickBot="1" x14ac:dyDescent="0.4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35">
      <c r="B19" s="13"/>
      <c r="C19" s="13"/>
      <c r="D19" s="13"/>
    </row>
    <row r="20" spans="1:8" hidden="1" x14ac:dyDescent="0.3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3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3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3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60692.931434855767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32335.836792877351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7521.4689294229383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4392.164500558918</v>
      </c>
    </row>
    <row r="24" spans="1:8" hidden="1" x14ac:dyDescent="0.3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6069.2931434855764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32335.836792877351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752.14689294229379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4392.164500558918</v>
      </c>
    </row>
    <row r="25" spans="1:8" hidden="1" x14ac:dyDescent="0.3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60692.931434855767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7521.4689294229383</v>
      </c>
    </row>
    <row r="26" spans="1:8" hidden="1" x14ac:dyDescent="0.3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6069.2931434855764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752.14689294229379</v>
      </c>
    </row>
    <row r="27" spans="1:8" hidden="1" x14ac:dyDescent="0.3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60692.931434855767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32335.836792877351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7521.4689294229383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4392.164500558918</v>
      </c>
    </row>
    <row r="28" spans="1:8" hidden="1" x14ac:dyDescent="0.3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6069.2931434855764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32335.836792877351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752.14689294229379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4392.164500558918</v>
      </c>
    </row>
    <row r="29" spans="1:8" hidden="1" x14ac:dyDescent="0.3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60692.931434855767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7521.4689294229383</v>
      </c>
    </row>
    <row r="30" spans="1:8" hidden="1" x14ac:dyDescent="0.3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6069.2931434855764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752.14689294229379</v>
      </c>
    </row>
    <row r="31" spans="1:8" hidden="1" x14ac:dyDescent="0.3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60692.931434855767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32335.836792877351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7521.4689294229383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4392.164500558918</v>
      </c>
    </row>
    <row r="32" spans="1:8" hidden="1" x14ac:dyDescent="0.3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6069.2931434855764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32335.836792877351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752.14689294229379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4392.164500558918</v>
      </c>
    </row>
    <row r="33" spans="1:10" hidden="1" x14ac:dyDescent="0.3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60692.931434855767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7521.4689294229383</v>
      </c>
    </row>
    <row r="34" spans="1:10" hidden="1" x14ac:dyDescent="0.3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6069.2931434855764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752.14689294229379</v>
      </c>
    </row>
    <row r="35" spans="1:10" hidden="1" x14ac:dyDescent="0.3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60692.931434855767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32335.836792877351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7521.4689294229383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4392.164500558918</v>
      </c>
    </row>
    <row r="36" spans="1:10" hidden="1" x14ac:dyDescent="0.3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6069.2931434855764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32335.836792877351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752.14689294229379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4392.164500558918</v>
      </c>
    </row>
    <row r="37" spans="1:10" hidden="1" x14ac:dyDescent="0.3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60692.931434855767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7521.4689294229383</v>
      </c>
    </row>
    <row r="38" spans="1:10" hidden="1" x14ac:dyDescent="0.3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6069.2931434855764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752.14689294229379</v>
      </c>
    </row>
    <row r="39" spans="1:10" hidden="1" x14ac:dyDescent="0.3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3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3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3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35">
      <c r="B43" s="153"/>
    </row>
    <row r="44" spans="1:10" hidden="1" x14ac:dyDescent="0.35">
      <c r="B44" s="153"/>
    </row>
    <row r="45" spans="1:10" hidden="1" x14ac:dyDescent="0.35">
      <c r="B45" s="153"/>
    </row>
    <row r="46" spans="1:10" hidden="1" x14ac:dyDescent="0.35"/>
    <row r="47" spans="1:10" hidden="1" x14ac:dyDescent="0.3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3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3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35">
      <c r="A50" s="2" t="s">
        <v>177</v>
      </c>
      <c r="B50" s="109">
        <f t="shared" si="0"/>
        <v>0</v>
      </c>
      <c r="C50" s="109">
        <f t="shared" si="0"/>
        <v>66762.224578341338</v>
      </c>
      <c r="D50" s="109">
        <f t="shared" si="0"/>
        <v>131433.89816409606</v>
      </c>
      <c r="E50" s="109">
        <f t="shared" si="0"/>
        <v>0</v>
      </c>
      <c r="F50" s="109">
        <f t="shared" si="0"/>
        <v>8273.6158223652328</v>
      </c>
      <c r="G50" s="109">
        <f t="shared" si="0"/>
        <v>17057.944823483071</v>
      </c>
      <c r="H50" s="109">
        <f t="shared" ref="H50:H54" si="2">SUM(B50,E50)</f>
        <v>0</v>
      </c>
      <c r="I50" s="109">
        <f t="shared" si="1"/>
        <v>75035.840400706569</v>
      </c>
      <c r="J50" s="109">
        <f t="shared" si="1"/>
        <v>148491.84298757912</v>
      </c>
    </row>
    <row r="51" spans="1:10" hidden="1" x14ac:dyDescent="0.35">
      <c r="A51" s="2" t="s">
        <v>178</v>
      </c>
      <c r="B51" s="109">
        <f t="shared" si="0"/>
        <v>0</v>
      </c>
      <c r="C51" s="109">
        <f t="shared" si="0"/>
        <v>66762.224578341338</v>
      </c>
      <c r="D51" s="109">
        <f t="shared" si="0"/>
        <v>131433.89816409606</v>
      </c>
      <c r="E51" s="109">
        <f t="shared" si="0"/>
        <v>0</v>
      </c>
      <c r="F51" s="109">
        <f t="shared" si="0"/>
        <v>8273.6158223652328</v>
      </c>
      <c r="G51" s="109">
        <f t="shared" si="0"/>
        <v>17057.944823483071</v>
      </c>
      <c r="H51" s="109">
        <f t="shared" si="2"/>
        <v>0</v>
      </c>
      <c r="I51" s="109">
        <f t="shared" si="1"/>
        <v>75035.840400706569</v>
      </c>
      <c r="J51" s="109">
        <f t="shared" si="1"/>
        <v>148491.84298757912</v>
      </c>
    </row>
    <row r="52" spans="1:10" hidden="1" x14ac:dyDescent="0.35">
      <c r="A52" s="2" t="s">
        <v>179</v>
      </c>
      <c r="B52" s="109">
        <f t="shared" si="0"/>
        <v>0</v>
      </c>
      <c r="C52" s="109">
        <f t="shared" si="0"/>
        <v>66762.224578341338</v>
      </c>
      <c r="D52" s="109">
        <f t="shared" si="0"/>
        <v>131433.89816409606</v>
      </c>
      <c r="E52" s="109">
        <f t="shared" si="0"/>
        <v>0</v>
      </c>
      <c r="F52" s="109">
        <f t="shared" si="0"/>
        <v>8273.6158223652328</v>
      </c>
      <c r="G52" s="109">
        <f t="shared" si="0"/>
        <v>17057.944823483071</v>
      </c>
      <c r="H52" s="109">
        <f t="shared" si="2"/>
        <v>0</v>
      </c>
      <c r="I52" s="109">
        <f t="shared" si="1"/>
        <v>75035.840400706569</v>
      </c>
      <c r="J52" s="109">
        <f t="shared" si="1"/>
        <v>148491.84298757912</v>
      </c>
    </row>
    <row r="53" spans="1:10" hidden="1" x14ac:dyDescent="0.35">
      <c r="A53" s="2" t="s">
        <v>180</v>
      </c>
      <c r="B53" s="109">
        <f t="shared" si="0"/>
        <v>0</v>
      </c>
      <c r="C53" s="109">
        <f t="shared" si="0"/>
        <v>66762.224578341338</v>
      </c>
      <c r="D53" s="109">
        <f t="shared" si="0"/>
        <v>131433.89816409606</v>
      </c>
      <c r="E53" s="109">
        <f t="shared" si="0"/>
        <v>0</v>
      </c>
      <c r="F53" s="109">
        <f t="shared" si="0"/>
        <v>8273.6158223652328</v>
      </c>
      <c r="G53" s="109">
        <f t="shared" si="0"/>
        <v>17057.944823483071</v>
      </c>
      <c r="H53" s="109">
        <f t="shared" si="2"/>
        <v>0</v>
      </c>
      <c r="I53" s="109">
        <f t="shared" si="1"/>
        <v>75035.840400706569</v>
      </c>
      <c r="J53" s="109">
        <f t="shared" si="1"/>
        <v>148491.84298757912</v>
      </c>
    </row>
    <row r="54" spans="1:10" hidden="1" x14ac:dyDescent="0.3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35"/>
    <row r="57" spans="1:10" x14ac:dyDescent="0.35">
      <c r="A57" s="1" t="s">
        <v>339</v>
      </c>
    </row>
    <row r="58" spans="1:10" x14ac:dyDescent="0.3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3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" thickBot="1" x14ac:dyDescent="0.4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" thickBot="1" x14ac:dyDescent="0.4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0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796875" defaultRowHeight="14.5" x14ac:dyDescent="0.35"/>
  <cols>
    <col min="1" max="1" width="22.1796875" style="1" bestFit="1" customWidth="1"/>
    <col min="2" max="2" width="15" style="1" customWidth="1"/>
    <col min="3" max="5" width="9.1796875" style="1"/>
    <col min="6" max="6" width="13.54296875" style="1" customWidth="1"/>
    <col min="7" max="7" width="46.1796875" style="1" customWidth="1"/>
    <col min="8" max="8" width="11.54296875" style="1" bestFit="1" customWidth="1"/>
    <col min="9" max="16384" width="9.1796875" style="1"/>
  </cols>
  <sheetData>
    <row r="1" spans="1:7" x14ac:dyDescent="0.35">
      <c r="A1" s="319" t="s">
        <v>280</v>
      </c>
      <c r="F1" s="75" t="s">
        <v>243</v>
      </c>
    </row>
    <row r="2" spans="1:7" s="323" customFormat="1" x14ac:dyDescent="0.35">
      <c r="A2" s="322"/>
      <c r="C2" s="350" t="s">
        <v>327</v>
      </c>
      <c r="D2" s="350"/>
      <c r="E2" s="350"/>
    </row>
    <row r="3" spans="1:7" s="12" customFormat="1" x14ac:dyDescent="0.3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3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3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3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3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35">
      <c r="A8" s="320"/>
      <c r="C8" s="12" t="s">
        <v>242</v>
      </c>
      <c r="F8" s="321"/>
    </row>
    <row r="9" spans="1:7" x14ac:dyDescent="0.35">
      <c r="A9" s="320"/>
      <c r="B9" s="12"/>
      <c r="C9" s="12"/>
      <c r="D9" s="12"/>
      <c r="E9" s="12"/>
    </row>
    <row r="10" spans="1:7" x14ac:dyDescent="0.35">
      <c r="B10" s="1" t="s">
        <v>23</v>
      </c>
      <c r="E10" s="1" t="s">
        <v>24</v>
      </c>
    </row>
    <row r="11" spans="1:7" x14ac:dyDescent="0.3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3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3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5" sqref="E5"/>
    </sheetView>
  </sheetViews>
  <sheetFormatPr defaultColWidth="9.1796875" defaultRowHeight="14.5" x14ac:dyDescent="0.35"/>
  <cols>
    <col min="1" max="1" width="58" style="1" bestFit="1" customWidth="1"/>
    <col min="2" max="5" width="9.1796875" style="1"/>
    <col min="6" max="10" width="10.54296875" style="1" customWidth="1"/>
    <col min="11" max="16384" width="9.1796875" style="1"/>
  </cols>
  <sheetData>
    <row r="1" spans="1:10" x14ac:dyDescent="0.35">
      <c r="A1" s="229" t="s">
        <v>280</v>
      </c>
    </row>
    <row r="2" spans="1:10" ht="15.5" x14ac:dyDescent="0.35">
      <c r="A2" s="227" t="s">
        <v>25</v>
      </c>
    </row>
    <row r="3" spans="1:10" x14ac:dyDescent="0.35">
      <c r="A3" s="6" t="s">
        <v>311</v>
      </c>
    </row>
    <row r="4" spans="1:10" x14ac:dyDescent="0.3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35">
      <c r="A5" s="2" t="s">
        <v>221</v>
      </c>
      <c r="B5" s="87">
        <v>0</v>
      </c>
      <c r="C5" s="3">
        <v>0.2</v>
      </c>
      <c r="D5" s="3">
        <v>0.45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621918.21079797368</v>
      </c>
      <c r="J5" s="10">
        <f>SUMIFS('Resultat-Produktion &amp; forbrug'!$N$3:$N$1000,'Resultat-Produktion &amp; forbrug'!$A$3:$A$1000,Adfærd!$G5,'Resultat-Produktion &amp; forbrug'!$D$3:$D$1000,Adfærd!J$4)</f>
        <v>424298.59421339614</v>
      </c>
    </row>
    <row r="6" spans="1:10" x14ac:dyDescent="0.3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3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35">
      <c r="A8" s="2" t="s">
        <v>207</v>
      </c>
      <c r="B8" s="87">
        <v>0</v>
      </c>
      <c r="C8" s="3"/>
      <c r="D8" s="3"/>
    </row>
    <row r="9" spans="1:10" x14ac:dyDescent="0.35">
      <c r="A9" s="1" t="s">
        <v>222</v>
      </c>
      <c r="B9" s="114"/>
      <c r="C9" s="114"/>
      <c r="D9" s="114"/>
    </row>
    <row r="10" spans="1:10" x14ac:dyDescent="0.35">
      <c r="B10" s="6"/>
      <c r="C10" s="6"/>
      <c r="D10" s="6"/>
    </row>
    <row r="11" spans="1:10" x14ac:dyDescent="0.3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3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3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35">
      <c r="A14" s="12"/>
      <c r="B14" s="14"/>
      <c r="C14" s="14"/>
      <c r="D14" s="14"/>
    </row>
    <row r="15" spans="1:10" hidden="1" x14ac:dyDescent="0.35">
      <c r="A15" s="6" t="s">
        <v>154</v>
      </c>
      <c r="B15" s="6"/>
      <c r="C15" s="6"/>
      <c r="D15" s="6"/>
      <c r="F15" s="1" t="s">
        <v>95</v>
      </c>
    </row>
    <row r="16" spans="1:10" hidden="1" x14ac:dyDescent="0.3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3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3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3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3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49.379000000000005</v>
      </c>
    </row>
    <row r="21" spans="1:9" hidden="1" x14ac:dyDescent="0.3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24.321000000000002</v>
      </c>
    </row>
    <row r="22" spans="1:9" hidden="1" x14ac:dyDescent="0.3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72</v>
      </c>
      <c r="F22" s="1" t="s">
        <v>206</v>
      </c>
    </row>
    <row r="23" spans="1:9" hidden="1" x14ac:dyDescent="0.3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3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3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3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3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14.3</v>
      </c>
    </row>
    <row r="28" spans="1:9" hidden="1" x14ac:dyDescent="0.3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3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3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3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35">
      <c r="A32" s="4" t="s">
        <v>18</v>
      </c>
      <c r="B32" s="102">
        <v>134</v>
      </c>
      <c r="C32" s="114"/>
    </row>
    <row r="33" spans="1:4" hidden="1" x14ac:dyDescent="0.35">
      <c r="A33" s="4" t="s">
        <v>20</v>
      </c>
      <c r="B33" s="105">
        <v>0.33</v>
      </c>
      <c r="C33" s="114" t="s">
        <v>153</v>
      </c>
    </row>
    <row r="34" spans="1:4" hidden="1" x14ac:dyDescent="0.35">
      <c r="A34" s="5" t="s">
        <v>21</v>
      </c>
      <c r="B34" s="117">
        <v>0.67</v>
      </c>
      <c r="C34" s="114"/>
    </row>
    <row r="35" spans="1:4" x14ac:dyDescent="0.35">
      <c r="A35" s="12"/>
      <c r="B35" s="12"/>
      <c r="C35" s="12"/>
      <c r="D35" s="12"/>
    </row>
    <row r="36" spans="1:4" x14ac:dyDescent="0.3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topLeftCell="A10" zoomScale="85" zoomScaleNormal="85" workbookViewId="0">
      <selection activeCell="Z28" sqref="Z28"/>
    </sheetView>
  </sheetViews>
  <sheetFormatPr defaultColWidth="9.1796875" defaultRowHeight="12" x14ac:dyDescent="0.3"/>
  <cols>
    <col min="1" max="1" width="15.81640625" style="125" customWidth="1"/>
    <col min="2" max="2" width="10.1796875" style="125" bestFit="1" customWidth="1"/>
    <col min="3" max="3" width="10.1796875" style="125" customWidth="1"/>
    <col min="4" max="4" width="11.81640625" style="125" bestFit="1" customWidth="1"/>
    <col min="5" max="5" width="11" style="125" customWidth="1"/>
    <col min="6" max="6" width="13.453125" style="125" customWidth="1"/>
    <col min="7" max="7" width="24.26953125" style="125" customWidth="1"/>
    <col min="8" max="8" width="10" style="125" hidden="1" customWidth="1"/>
    <col min="9" max="12" width="9.26953125" style="125" hidden="1" customWidth="1"/>
    <col min="13" max="13" width="24.26953125" style="125" hidden="1" customWidth="1"/>
    <col min="14" max="14" width="12.7265625" style="125" hidden="1" customWidth="1"/>
    <col min="15" max="15" width="9.26953125" style="125" hidden="1" customWidth="1"/>
    <col min="16" max="16" width="9.81640625" style="125" hidden="1" customWidth="1"/>
    <col min="17" max="22" width="0" style="125" hidden="1" customWidth="1"/>
    <col min="23" max="23" width="2.54296875" style="125" hidden="1" customWidth="1"/>
    <col min="24" max="16384" width="9.1796875" style="125"/>
  </cols>
  <sheetData>
    <row r="1" spans="1:29" ht="12.5" thickBot="1" x14ac:dyDescent="0.35">
      <c r="A1" s="228" t="s">
        <v>280</v>
      </c>
    </row>
    <row r="2" spans="1:29" ht="46.5" customHeight="1" x14ac:dyDescent="0.3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3">
      <c r="A3" s="180" t="s">
        <v>136</v>
      </c>
      <c r="B3" s="233">
        <f>N12/SUMIFS('Resultater - Danmark'!H$3:H$482,'Resultater - Danmark'!$F$3:$F$482,$A3)</f>
        <v>0.16508293217043288</v>
      </c>
      <c r="C3" s="181">
        <v>0.75</v>
      </c>
      <c r="D3" s="181">
        <v>0.9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0.83202110743813507</v>
      </c>
      <c r="AC3" s="126">
        <f>SUM(E12:E14)/SUM(E12:E15)</f>
        <v>0.70554036519234398</v>
      </c>
    </row>
    <row r="4" spans="1:29" x14ac:dyDescent="0.3">
      <c r="A4" s="180" t="s">
        <v>137</v>
      </c>
      <c r="B4" s="233">
        <f>N13/SUMIFS('Resultater - Danmark'!H$3:H$482,'Resultater - Danmark'!$F$3:$F$482,$A4)</f>
        <v>0.30985833926453143</v>
      </c>
      <c r="C4" s="181">
        <v>0.75</v>
      </c>
      <c r="D4" s="181">
        <v>0.9</v>
      </c>
      <c r="E4" s="158"/>
      <c r="F4" s="174"/>
      <c r="G4" s="175"/>
      <c r="N4" s="248"/>
      <c r="Z4" s="124" t="s">
        <v>203</v>
      </c>
    </row>
    <row r="5" spans="1:29" x14ac:dyDescent="0.3">
      <c r="A5" s="180" t="s">
        <v>138</v>
      </c>
      <c r="B5" s="233">
        <v>0.5</v>
      </c>
      <c r="C5" s="181">
        <v>0.75</v>
      </c>
      <c r="D5" s="181">
        <v>0.9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0.3680713744939979</v>
      </c>
      <c r="AC5" s="147">
        <f t="shared" si="0"/>
        <v>0.31397565157658663</v>
      </c>
    </row>
    <row r="6" spans="1:29" x14ac:dyDescent="0.3">
      <c r="A6" s="180" t="s">
        <v>141</v>
      </c>
      <c r="B6" s="233">
        <f>N15/SUMIFS('Resultater - Danmark'!H$3:H$482,'Resultater - Danmark'!$F$3:$F$482,$A6)</f>
        <v>0.37924884410556858</v>
      </c>
      <c r="C6" s="181">
        <v>0.5</v>
      </c>
      <c r="D6" s="181">
        <v>0.75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0.31633915054260381</v>
      </c>
      <c r="AC6" s="147">
        <f t="shared" si="0"/>
        <v>0.25919492990163229</v>
      </c>
    </row>
    <row r="7" spans="1:29" x14ac:dyDescent="0.3">
      <c r="A7" s="180" t="s">
        <v>102</v>
      </c>
      <c r="B7" s="233">
        <f>N16/SUMIFS('Resultater - Danmark'!H$3:H$482,'Resultater - Danmark'!$F$3:$F$482,$A7)</f>
        <v>0.25812101313640656</v>
      </c>
      <c r="C7" s="181">
        <v>0.75</v>
      </c>
      <c r="D7" s="181">
        <v>0.9</v>
      </c>
      <c r="F7" s="174"/>
      <c r="G7" s="176"/>
      <c r="N7" s="159"/>
    </row>
    <row r="8" spans="1:29" ht="12.5" thickBot="1" x14ac:dyDescent="0.35">
      <c r="A8" s="180" t="s">
        <v>209</v>
      </c>
      <c r="B8" s="233">
        <v>0</v>
      </c>
      <c r="C8" s="181">
        <v>0.5</v>
      </c>
      <c r="D8" s="181">
        <v>0.75</v>
      </c>
      <c r="F8" s="177"/>
      <c r="G8" s="178"/>
      <c r="I8" s="159"/>
    </row>
    <row r="10" spans="1:29" ht="23.5" customHeight="1" x14ac:dyDescent="0.3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3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3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9708262.3203322031</v>
      </c>
      <c r="E12" s="133">
        <f>SUMIFS('Resultater - Danmark'!J$3:J$482,'Resultater - Danmark'!$F$3:$F$482,$A12)*D3</f>
        <v>7435570.144147574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3236087.4401107337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826174.46046084166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0.3680713744939979</v>
      </c>
      <c r="L12" s="134">
        <f t="shared" ref="L12:L28" si="3">E12/E$29</f>
        <v>0.31397565157658663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3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8343771.5304011973</v>
      </c>
      <c r="E13" s="136">
        <f>SUMIFS('Resultater - Danmark'!J$3:J$482,'Resultater - Danmark'!$F$3:$F$482,$A13)*D4</f>
        <v>6138253.3091770411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2781257.1768004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682028.14546411484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0.31633915054260381</v>
      </c>
      <c r="L13" s="137">
        <f t="shared" si="3"/>
        <v>0.25919492990163229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3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6782.1960455237531</v>
      </c>
      <c r="E14" s="136">
        <f>SUMIFS('Resultater - Danmark'!J$3:J$482,'Resultater - Danmark'!$F$3:$F$482,$A14)*D5</f>
        <v>8404.7671078658786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2.571348134398437E-4</v>
      </c>
      <c r="L14" s="137">
        <f t="shared" si="3"/>
        <v>3.5490112767192243E-4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3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3645941.0625492032</v>
      </c>
      <c r="E15" s="136">
        <f>SUMIFS('Resultater - Danmark'!J$3:J$482,'Resultater - Danmark'!$F$3:$F$482,$A15)*D6</f>
        <v>5668588.4450742528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3645941.0625492036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1889529.4816914182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0.13822932404762958</v>
      </c>
      <c r="L15" s="137">
        <f t="shared" si="3"/>
        <v>0.23936278134132746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3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1732260.3299588535</v>
      </c>
      <c r="E16" s="136">
        <f>SUMIFS('Resultater - Danmark'!J$3:J$482,'Resultater - Danmark'!$F$3:$F$482,$A16)*D7</f>
        <v>1487222.9737975181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577420.10998628428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165246.99708861299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6.5675547239185436E-2</v>
      </c>
      <c r="L16" s="137">
        <f t="shared" si="3"/>
        <v>6.2799730644095303E-2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3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1343774.4748452469</v>
      </c>
      <c r="E17" s="136">
        <f>SUMIFS('Resultater - Danmark'!J$3:J$482,'Resultater - Danmark'!$F$3:$F$482,$A17)*D8</f>
        <v>1345870.4225268341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1343774.4748452469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448623.47417561151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5.0946801976124965E-2</v>
      </c>
      <c r="L17" s="137">
        <f t="shared" si="3"/>
        <v>5.6830953734343777E-2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3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1.3800218364346617E-2</v>
      </c>
      <c r="L18" s="137">
        <f t="shared" si="3"/>
        <v>1.5614266594528305E-2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3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-83024.745280253002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-178244.52950822108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2.752377622090409E-2</v>
      </c>
      <c r="L19" s="137">
        <f t="shared" si="3"/>
        <v>3.0530872402488498E-2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3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508461.23570688535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7002.3670705009717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3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679394.36200410628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1368159.625518437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1.4353940775949201E-4</v>
      </c>
      <c r="L21" s="137">
        <f t="shared" si="3"/>
        <v>1.5986828095550606E-4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3">
      <c r="A22" s="127" t="s">
        <v>51</v>
      </c>
      <c r="B22" s="127" t="s">
        <v>140</v>
      </c>
      <c r="C22" s="249">
        <f t="shared" si="9"/>
        <v>85677</v>
      </c>
      <c r="D22" s="250"/>
      <c r="E22" s="250"/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-2104251.6529704817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266828.64342463715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0</v>
      </c>
      <c r="L22" s="137">
        <f t="shared" si="3"/>
        <v>0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3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5684.6701463070931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778492.67274776334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1.2512344581414186E-2</v>
      </c>
      <c r="L23" s="137">
        <f t="shared" si="3"/>
        <v>1.3935734096836197E-2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3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105480.10532489256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229533.31605614454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1.0860238603461829E-3</v>
      </c>
      <c r="L24" s="137">
        <f t="shared" si="3"/>
        <v>1.2095686497544825E-3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3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2.9572302707977752E-6</v>
      </c>
      <c r="L25" s="137">
        <f t="shared" si="3"/>
        <v>3.2936412875143875E-6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3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5.4118072219771279E-3</v>
      </c>
      <c r="L26" s="137">
        <f t="shared" si="3"/>
        <v>6.0274480084920347E-3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3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5" thickBot="1" x14ac:dyDescent="0.3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3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26376031.914132226</v>
      </c>
      <c r="E29" s="145">
        <f>SUM(E12:E28)</f>
        <v>23681996.061831087</v>
      </c>
      <c r="F29" s="145"/>
      <c r="G29" s="145"/>
      <c r="H29" s="146"/>
      <c r="I29" s="146"/>
      <c r="J29" s="147">
        <f>SUM(J12:J28)</f>
        <v>1</v>
      </c>
      <c r="K29" s="147">
        <f>SUM(K12:K28)</f>
        <v>0.99999999999999989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3">
      <c r="A30" s="148" t="s">
        <v>124</v>
      </c>
      <c r="C30" s="149">
        <f>SUMPRODUCT(C12:C28,$H$12:$H$28)/C29</f>
        <v>0.13822427556900557</v>
      </c>
      <c r="D30" s="149">
        <f>SUMPRODUCT(D12:D28,$H$12:$H$28)/D29</f>
        <v>9.6947591298124053E-2</v>
      </c>
      <c r="E30" s="149">
        <f>SUMPRODUCT(E12:E28,$H$12:$H$28)/E29</f>
        <v>9.814477167760445E-2</v>
      </c>
      <c r="F30" s="160"/>
      <c r="G30" s="160"/>
    </row>
    <row r="31" spans="1:23" x14ac:dyDescent="0.3">
      <c r="A31" s="148" t="s">
        <v>161</v>
      </c>
      <c r="C31" s="149">
        <f>SUM(C21:C24)/C29</f>
        <v>3.4233743881736389E-2</v>
      </c>
      <c r="D31" s="149">
        <f>SUM(D21:D24)/D29</f>
        <v>1.374190784951986E-2</v>
      </c>
      <c r="E31" s="149">
        <f>SUM(E21:E24)/E29</f>
        <v>1.5305171027546185E-2</v>
      </c>
      <c r="F31" s="160"/>
      <c r="G31" s="160"/>
    </row>
    <row r="32" spans="1:23" x14ac:dyDescent="0.3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615099284.14163113</v>
      </c>
      <c r="E32" s="125">
        <f>SUMPRODUCT(E12:E28,$I$12:$I$28)</f>
        <v>570443639.95100331</v>
      </c>
    </row>
    <row r="33" spans="1:15" x14ac:dyDescent="0.3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22.082064300684561</v>
      </c>
      <c r="E33" s="125">
        <f>E32*[1]Energiindhold!$C$10</f>
        <v>20.47892667424102</v>
      </c>
    </row>
    <row r="34" spans="1:15" x14ac:dyDescent="0.3">
      <c r="C34" s="253"/>
    </row>
    <row r="35" spans="1:15" x14ac:dyDescent="0.3">
      <c r="A35" s="180"/>
      <c r="B35" s="180" t="s">
        <v>27</v>
      </c>
      <c r="C35" s="180" t="s">
        <v>28</v>
      </c>
    </row>
    <row r="36" spans="1:15" x14ac:dyDescent="0.3">
      <c r="A36" s="180" t="s">
        <v>159</v>
      </c>
      <c r="B36" s="181">
        <v>0.8</v>
      </c>
      <c r="C36" s="181">
        <v>0.2</v>
      </c>
    </row>
    <row r="38" spans="1:15" hidden="1" x14ac:dyDescent="0.3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3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8479593.6614331026</v>
      </c>
      <c r="E39" s="133">
        <f>SUMIFS('Resultater - Vestdanmark'!J$3:J$482,'Resultater - Vestdanmark'!$F$3:$F$482,$A39)*D3</f>
        <v>6494531.2954108026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1228668.658899101</v>
      </c>
      <c r="M39" s="133">
        <f>SUMIFS('Resultater - Østdanmark'!J$3:J$482,'Resultater - Østdanmark'!$F$3:$F$482,$A39)*D3</f>
        <v>941038.84873677138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3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7790098.0268014707</v>
      </c>
      <c r="E40" s="136">
        <f>SUMIFS('Resultater - Vestdanmark'!J$3:J$482,'Resultater - Vestdanmark'!$F$3:$F$482,$A40)*D4</f>
        <v>5730932.9261474209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553673.50359972543</v>
      </c>
      <c r="M40" s="136">
        <f>SUMIFS('Resultater - Østdanmark'!J$3:J$482,'Resultater - Østdanmark'!$F$3:$F$482,$A40)*D4</f>
        <v>407320.38302962092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3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6257.0446016591122</v>
      </c>
      <c r="E41" s="136">
        <f>SUMIFS('Resultater - Vestdanmark'!J$3:J$482,'Resultater - Vestdanmark'!$F$3:$F$482,$A41)*D5</f>
        <v>7753.9785502341792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525.15144386464101</v>
      </c>
      <c r="M41" s="136">
        <f>SUMIFS('Resultater - Østdanmark'!J$3:J$482,'Resultater - Østdanmark'!$F$3:$F$482,$A41)*D5</f>
        <v>650.78855763169781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3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1974779.4199139304</v>
      </c>
      <c r="E42" s="136">
        <f>SUMIFS('Resultater - Vestdanmark'!J$3:J$482,'Resultater - Vestdanmark'!$F$3:$F$482,$A42)*D6</f>
        <v>3046562.3049170515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1671161.6426352733</v>
      </c>
      <c r="M42" s="136">
        <f>SUMIFS('Resultater - Østdanmark'!J$3:J$482,'Resultater - Østdanmark'!$F$3:$F$482,$A42)*D6</f>
        <v>2622026.1401572018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3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1527973.1246412985</v>
      </c>
      <c r="E43" s="136">
        <f>SUMIFS('Resultater - Vestdanmark'!J$3:J$482,'Resultater - Vestdanmark'!$F$3:$F$482,$A43)*D7</f>
        <v>1312323.5821683302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204287.20531755476</v>
      </c>
      <c r="M43" s="136">
        <f>SUMIFS('Resultater - Østdanmark'!J$3:J$482,'Resultater - Østdanmark'!$F$3:$F$482,$A43)*D7</f>
        <v>174899.39162918815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3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1198253.6297381346</v>
      </c>
      <c r="E44" s="136">
        <f>SUMIFS('Resultater - Vestdanmark'!J$3:J$482,'Resultater - Vestdanmark'!$F$3:$F$482,$A44)*D8</f>
        <v>1199933.3744132207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145520.84510711234</v>
      </c>
      <c r="M44" s="136">
        <f>SUMIFS('Resultater - Østdanmark'!J$3:J$482,'Resultater - Østdanmark'!$F$3:$F$482,$A44)*D8</f>
        <v>145937.04811361324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3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3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506863.86710295174</v>
      </c>
      <c r="E46" s="136">
        <f>SUMIFS('Resultater - Vestdanmark'!J$3:J$482,'Resultater - Vestdanmark'!$F$3:$F$482,$A46)/SUMIFS('Resultater - Danmark'!J$3:J$482,'Resultater - Danmark'!$F$3:$F$482,$A46)*E19</f>
        <v>477740.13297637849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219104.13289704846</v>
      </c>
      <c r="M46" s="136">
        <f>SUMIFS('Resultater - Østdanmark'!J$3:J$482,'Resultater - Østdanmark'!$F$3:$F$482,$A46)/SUMIFS('Resultater - Danmark'!J$3:J$482,'Resultater - Danmark'!$F$3:$F$482,$A46)*E19</f>
        <v>245291.86702362169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3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3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2866.1447836461339</v>
      </c>
      <c r="E48" s="136">
        <f>SUMIFS('Resultater - Vestdanmark'!J$3:J$482,'Resultater - Vestdanmark'!$F$3:$F$482,$A48)/SUMIFS('Resultater - Danmark'!J$3:J$482,'Resultater - Danmark'!$F$3:$F$482,$A48)*E21</f>
        <v>2778.0605350782976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919.8552163538659</v>
      </c>
      <c r="M48" s="136">
        <f>SUMIFS('Resultater - Østdanmark'!J$3:J$482,'Resultater - Østdanmark'!$F$3:$F$482,$A48)/SUMIFS('Resultater - Danmark'!J$3:J$482,'Resultater - Danmark'!$F$3:$F$482,$A48)*E21</f>
        <v>1007.9394649217019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3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0</v>
      </c>
      <c r="E49" s="136">
        <f>SUMIFS('Resultater - Vestdanmark'!J$3:J$482,'Resultater - Vestdanmark'!$F$3:$F$482,$A49)/SUMIFS('Resultater - Danmark'!J$3:J$482,'Resultater - Danmark'!$F$3:$F$482,$A49)*E22</f>
        <v>0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0</v>
      </c>
      <c r="M49" s="136">
        <f>SUMIFS('Resultater - Østdanmark'!J$3:J$482,'Resultater - Østdanmark'!$F$3:$F$482,$A49)/SUMIFS('Resultater - Danmark'!J$3:J$482,'Resultater - Danmark'!$F$3:$F$482,$A49)*E22</f>
        <v>0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3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252137.34695648224</v>
      </c>
      <c r="E50" s="136">
        <f>SUMIFS('Resultater - Vestdanmark'!J$3:J$482,'Resultater - Vestdanmark'!$F$3:$F$482,$A50)/SUMIFS('Resultater - Danmark'!J$3:J$482,'Resultater - Danmark'!$F$3:$F$482,$A50)*E23</f>
        <v>242163.91618130018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77888.653043517654</v>
      </c>
      <c r="M50" s="136">
        <f>SUMIFS('Resultater - Østdanmark'!J$3:J$482,'Resultater - Østdanmark'!$F$3:$F$482,$A50)/SUMIFS('Resultater - Danmark'!J$3:J$482,'Resultater - Danmark'!$F$3:$F$482,$A50)*E23</f>
        <v>87862.083818699844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3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21394.342667690107</v>
      </c>
      <c r="E51" s="136">
        <f>SUMIFS('Resultater - Vestdanmark'!J$3:J$482,'Resultater - Vestdanmark'!$F$3:$F$482,$A51)/SUMIFS('Resultater - Danmark'!J$3:J$482,'Resultater - Danmark'!$F$3:$F$482,$A51)*E24</f>
        <v>21018.882486311028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7250.6573323098974</v>
      </c>
      <c r="M51" s="136">
        <f>SUMIFS('Resultater - Østdanmark'!J$3:J$482,'Resultater - Østdanmark'!$F$3:$F$482,$A51)/SUMIFS('Resultater - Danmark'!J$3:J$482,'Resultater - Danmark'!$F$3:$F$482,$A51)*E24</f>
        <v>7626.1175136889688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3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3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3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5" hidden="1" thickBot="1" x14ac:dyDescent="0.3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3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22069534.253680773</v>
      </c>
      <c r="E56" s="145">
        <f ca="1">SUM(E39:E55)</f>
        <v>18847457.944247246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4306497.6604514569</v>
      </c>
      <c r="M56" s="145">
        <f ca="1">SUM(M39:M55)</f>
        <v>4834538.1175838476</v>
      </c>
      <c r="N56" s="146"/>
      <c r="O56" s="146"/>
    </row>
    <row r="57" spans="1:15" hidden="1" x14ac:dyDescent="0.3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9.4956359303061427E-2</v>
      </c>
      <c r="E57" s="149">
        <f ca="1">SUMPRODUCT(E39:E55,$F$39:$F$55)/E56</f>
        <v>9.683095357050174E-2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0.10715206978318889</v>
      </c>
      <c r="M57" s="149">
        <f ca="1">SUMPRODUCT(M39:M55,$N$39:$N$55)/M56</f>
        <v>0.10326669458269969</v>
      </c>
    </row>
    <row r="58" spans="1:15" hidden="1" x14ac:dyDescent="0.3">
      <c r="A58" s="148" t="s">
        <v>161</v>
      </c>
      <c r="C58" s="149">
        <f ca="1">SUM(C48:C51)/C56</f>
        <v>3.8180450490388568E-2</v>
      </c>
      <c r="D58" s="149">
        <f ca="1">SUM(D48:D51)/D56</f>
        <v>1.2523954118411932E-2</v>
      </c>
      <c r="E58" s="149">
        <f ca="1">SUM(E48:E51)/E56</f>
        <v>1.4111232400116216E-2</v>
      </c>
      <c r="I58" s="148" t="s">
        <v>161</v>
      </c>
      <c r="K58" s="149">
        <f ca="1">SUM(K48:K51)/K56</f>
        <v>1.8896340963997331E-2</v>
      </c>
      <c r="L58" s="149">
        <f ca="1">SUM(L48:L51)/L56</f>
        <v>1.9983562601810331E-2</v>
      </c>
      <c r="M58" s="149">
        <f ca="1">SUM(M48:M51)/M56</f>
        <v>1.995974350607381E-2</v>
      </c>
    </row>
    <row r="59" spans="1:15" hidden="1" x14ac:dyDescent="0.3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495731167.19179571</v>
      </c>
      <c r="E59" s="125">
        <f ca="1">SUMPRODUCT(E39:E55,$I$12:$I$28)</f>
        <v>441087049.47009265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119368116.94983546</v>
      </c>
      <c r="M59" s="125">
        <f ca="1">SUMPRODUCT(M39:M55,$I$12:$I$28)</f>
        <v>129356590.48091067</v>
      </c>
    </row>
    <row r="60" spans="1:15" hidden="1" x14ac:dyDescent="0.3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17.796748902185467</v>
      </c>
      <c r="E60" s="125">
        <f ca="1">E59*[1]Energiindhold!$C$10</f>
        <v>15.835025075976327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4.2853153984990939</v>
      </c>
      <c r="M60" s="125">
        <f ca="1">M59*[1]Energiindhold!$C$10</f>
        <v>4.6439015982646934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07" priority="7" operator="greaterThan">
      <formula>13%</formula>
    </cfRule>
  </conditionalFormatting>
  <conditionalFormatting sqref="K57:M57">
    <cfRule type="cellIs" dxfId="106" priority="5" operator="greaterThan">
      <formula>13%</formula>
    </cfRule>
  </conditionalFormatting>
  <conditionalFormatting sqref="C58:E58">
    <cfRule type="cellIs" dxfId="105" priority="2" operator="greaterThan">
      <formula>13%</formula>
    </cfRule>
  </conditionalFormatting>
  <conditionalFormatting sqref="K58:M58">
    <cfRule type="cellIs" dxfId="10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78" workbookViewId="0">
      <selection activeCell="D5" sqref="D5"/>
    </sheetView>
  </sheetViews>
  <sheetFormatPr defaultColWidth="9.1796875" defaultRowHeight="14.5" x14ac:dyDescent="0.35"/>
  <cols>
    <col min="1" max="1" width="20" style="1" customWidth="1"/>
    <col min="2" max="4" width="9.1796875" style="1"/>
    <col min="5" max="5" width="45.7265625" style="1" customWidth="1"/>
    <col min="6" max="16384" width="9.1796875" style="1"/>
  </cols>
  <sheetData>
    <row r="1" spans="1:5" x14ac:dyDescent="0.35">
      <c r="A1" s="229" t="s">
        <v>280</v>
      </c>
    </row>
    <row r="2" spans="1:5" ht="15.5" x14ac:dyDescent="0.35">
      <c r="A2" s="227" t="s">
        <v>318</v>
      </c>
    </row>
    <row r="3" spans="1:5" x14ac:dyDescent="0.3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35">
      <c r="A4" s="2" t="s">
        <v>68</v>
      </c>
      <c r="B4" s="109">
        <v>0</v>
      </c>
      <c r="C4" s="110">
        <v>1000000</v>
      </c>
      <c r="D4" s="110">
        <v>1500000</v>
      </c>
    </row>
    <row r="5" spans="1:5" x14ac:dyDescent="0.35">
      <c r="A5" s="309"/>
    </row>
    <row r="6" spans="1:5" x14ac:dyDescent="0.35">
      <c r="A6" s="309"/>
    </row>
    <row r="7" spans="1:5" ht="15.5" x14ac:dyDescent="0.35">
      <c r="A7" s="227" t="s">
        <v>303</v>
      </c>
    </row>
    <row r="8" spans="1:5" x14ac:dyDescent="0.3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3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3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3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3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3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3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3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3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3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3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3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1640625" defaultRowHeight="14.5" x14ac:dyDescent="0.35"/>
  <cols>
    <col min="1" max="16384" width="8.81640625" style="92"/>
  </cols>
  <sheetData>
    <row r="1" spans="1:1" x14ac:dyDescent="0.35">
      <c r="A1" s="6" t="s">
        <v>251</v>
      </c>
    </row>
    <row r="2" spans="1:1" x14ac:dyDescent="0.3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6" sqref="H6:H170"/>
    </sheetView>
  </sheetViews>
  <sheetFormatPr defaultRowHeight="14.5" x14ac:dyDescent="0.35"/>
  <cols>
    <col min="6" max="6" width="21.26953125" customWidth="1"/>
  </cols>
  <sheetData>
    <row r="1" spans="1:9" x14ac:dyDescent="0.3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3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3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554892.22499100864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hidden="1" x14ac:dyDescent="0.3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124850.75062297694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102783.28929098426</v>
      </c>
    </row>
    <row r="5" spans="1:9" hidden="1" x14ac:dyDescent="0.3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138723.05624775216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114203.65476776029</v>
      </c>
    </row>
    <row r="6" spans="1:9" x14ac:dyDescent="0.3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90169.986561038895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74232.375599044186</v>
      </c>
    </row>
    <row r="7" spans="1:9" hidden="1" x14ac:dyDescent="0.3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13872.305624775214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11420.365476776029</v>
      </c>
    </row>
    <row r="8" spans="1:9" hidden="1" x14ac:dyDescent="0.3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34680.76406193804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28550.913691940073</v>
      </c>
    </row>
    <row r="9" spans="1:9" hidden="1" x14ac:dyDescent="0.3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6936.1528123876069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hidden="1" x14ac:dyDescent="0.3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69361.52812387608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hidden="1" x14ac:dyDescent="0.3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6936.1528123876069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5710.1827383880145</v>
      </c>
    </row>
    <row r="12" spans="1:9" hidden="1" x14ac:dyDescent="0.3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34680.76406193804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28550.913691940073</v>
      </c>
    </row>
    <row r="13" spans="1:9" hidden="1" x14ac:dyDescent="0.3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56037.604882581254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hidden="1" x14ac:dyDescent="0.3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13872.305624775214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11420.365476776029</v>
      </c>
    </row>
    <row r="15" spans="1:9" hidden="1" x14ac:dyDescent="0.3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6936.1528123876069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5710.1827383880145</v>
      </c>
    </row>
    <row r="16" spans="1:9" x14ac:dyDescent="0.3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235829.19562117866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194146.21310519252</v>
      </c>
    </row>
    <row r="17" spans="1:9" hidden="1" x14ac:dyDescent="0.3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hidden="1" x14ac:dyDescent="0.3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hidden="1" x14ac:dyDescent="0.3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3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hidden="1" x14ac:dyDescent="0.3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hidden="1" x14ac:dyDescent="0.3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hidden="1" x14ac:dyDescent="0.3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hidden="1" x14ac:dyDescent="0.3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hidden="1" x14ac:dyDescent="0.3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hidden="1" x14ac:dyDescent="0.3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hidden="1" x14ac:dyDescent="0.3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hidden="1" x14ac:dyDescent="0.3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hidden="1" x14ac:dyDescent="0.3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3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hidden="1" x14ac:dyDescent="0.3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hidden="1" x14ac:dyDescent="0.3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hidden="1" x14ac:dyDescent="0.3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3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hidden="1" x14ac:dyDescent="0.3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hidden="1" x14ac:dyDescent="0.3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hidden="1" x14ac:dyDescent="0.3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hidden="1" x14ac:dyDescent="0.3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hidden="1" x14ac:dyDescent="0.3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hidden="1" x14ac:dyDescent="0.3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hidden="1" x14ac:dyDescent="0.3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hidden="1" x14ac:dyDescent="0.3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hidden="1" x14ac:dyDescent="0.3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3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hidden="1" x14ac:dyDescent="0.3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86601.676732700769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hidden="1" x14ac:dyDescent="0.3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19485.377264857674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21802.515910208782</v>
      </c>
    </row>
    <row r="47" spans="1:9" hidden="1" x14ac:dyDescent="0.3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21650.419183175192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24225.017678009757</v>
      </c>
    </row>
    <row r="48" spans="1:9" x14ac:dyDescent="0.3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14072.772469063875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15746.261490706343</v>
      </c>
    </row>
    <row r="49" spans="1:9" hidden="1" x14ac:dyDescent="0.3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2165.041918317519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2422.5017678009758</v>
      </c>
    </row>
    <row r="50" spans="1:9" hidden="1" x14ac:dyDescent="0.3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5412.6047957937981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6056.2544195024393</v>
      </c>
    </row>
    <row r="51" spans="1:9" hidden="1" x14ac:dyDescent="0.3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1082.5209591587595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hidden="1" x14ac:dyDescent="0.3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10825.209591587596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hidden="1" x14ac:dyDescent="0.3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1082.5209591587595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1211.2508839004879</v>
      </c>
    </row>
    <row r="54" spans="1:9" hidden="1" x14ac:dyDescent="0.3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5412.6047957937981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6056.2544195024393</v>
      </c>
    </row>
    <row r="55" spans="1:9" hidden="1" x14ac:dyDescent="0.3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8745.7533631774204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hidden="1" x14ac:dyDescent="0.3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2165.041918317519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2422.5017678009758</v>
      </c>
    </row>
    <row r="57" spans="1:9" hidden="1" x14ac:dyDescent="0.3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1082.5209591587595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1211.2508839004879</v>
      </c>
    </row>
    <row r="58" spans="1:9" x14ac:dyDescent="0.3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36805.712611397823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41182.530052616588</v>
      </c>
    </row>
    <row r="59" spans="1:9" hidden="1" x14ac:dyDescent="0.3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hidden="1" x14ac:dyDescent="0.3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hidden="1" x14ac:dyDescent="0.3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3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hidden="1" x14ac:dyDescent="0.3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hidden="1" x14ac:dyDescent="0.3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hidden="1" x14ac:dyDescent="0.3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hidden="1" x14ac:dyDescent="0.3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hidden="1" x14ac:dyDescent="0.3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hidden="1" x14ac:dyDescent="0.3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hidden="1" x14ac:dyDescent="0.3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hidden="1" x14ac:dyDescent="0.3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hidden="1" x14ac:dyDescent="0.3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3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hidden="1" x14ac:dyDescent="0.3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hidden="1" x14ac:dyDescent="0.3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hidden="1" x14ac:dyDescent="0.3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3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hidden="1" x14ac:dyDescent="0.3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hidden="1" x14ac:dyDescent="0.3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hidden="1" x14ac:dyDescent="0.3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hidden="1" x14ac:dyDescent="0.3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hidden="1" x14ac:dyDescent="0.3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hidden="1" x14ac:dyDescent="0.3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hidden="1" x14ac:dyDescent="0.3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hidden="1" x14ac:dyDescent="0.3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hidden="1" x14ac:dyDescent="0.3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3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hidden="1" x14ac:dyDescent="0.3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181961.83100899146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hidden="1" x14ac:dyDescent="0.3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40941.411977023075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37292.008709015725</v>
      </c>
    </row>
    <row r="89" spans="1:9" hidden="1" x14ac:dyDescent="0.3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45490.457752247865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41435.5652322397</v>
      </c>
    </row>
    <row r="90" spans="1:9" x14ac:dyDescent="0.3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29568.797538961109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26933.117400955805</v>
      </c>
    </row>
    <row r="91" spans="1:9" hidden="1" x14ac:dyDescent="0.3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4549.0457752247858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4143.5565232239696</v>
      </c>
    </row>
    <row r="92" spans="1:9" hidden="1" x14ac:dyDescent="0.3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11372.614438061966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10358.891308059925</v>
      </c>
    </row>
    <row r="93" spans="1:9" hidden="1" x14ac:dyDescent="0.3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2274.5228876123929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hidden="1" x14ac:dyDescent="0.3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22745.228876123932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hidden="1" x14ac:dyDescent="0.3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2274.5228876123929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2071.7782616119848</v>
      </c>
    </row>
    <row r="96" spans="1:9" hidden="1" x14ac:dyDescent="0.3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11372.614438061966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10358.891308059925</v>
      </c>
    </row>
    <row r="97" spans="1:9" hidden="1" x14ac:dyDescent="0.3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18376.010206230789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hidden="1" x14ac:dyDescent="0.3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4549.0457752247858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4143.5565232239696</v>
      </c>
    </row>
    <row r="99" spans="1:9" hidden="1" x14ac:dyDescent="0.3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2274.5228876123929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2071.7782616119848</v>
      </c>
    </row>
    <row r="100" spans="1:9" x14ac:dyDescent="0.3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77333.778178821362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70440.460894807489</v>
      </c>
    </row>
    <row r="101" spans="1:9" hidden="1" x14ac:dyDescent="0.3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hidden="1" x14ac:dyDescent="0.3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hidden="1" x14ac:dyDescent="0.3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3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hidden="1" x14ac:dyDescent="0.3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hidden="1" x14ac:dyDescent="0.3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hidden="1" x14ac:dyDescent="0.3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hidden="1" x14ac:dyDescent="0.3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hidden="1" x14ac:dyDescent="0.3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hidden="1" x14ac:dyDescent="0.3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hidden="1" x14ac:dyDescent="0.3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hidden="1" x14ac:dyDescent="0.3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hidden="1" x14ac:dyDescent="0.3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3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hidden="1" x14ac:dyDescent="0.3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hidden="1" x14ac:dyDescent="0.3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hidden="1" x14ac:dyDescent="0.3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3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hidden="1" x14ac:dyDescent="0.3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hidden="1" x14ac:dyDescent="0.3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hidden="1" x14ac:dyDescent="0.3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hidden="1" x14ac:dyDescent="0.3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hidden="1" x14ac:dyDescent="0.3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hidden="1" x14ac:dyDescent="0.3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hidden="1" x14ac:dyDescent="0.3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hidden="1" x14ac:dyDescent="0.3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hidden="1" x14ac:dyDescent="0.3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3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hidden="1" x14ac:dyDescent="0.3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28398.667267299243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hidden="1" x14ac:dyDescent="0.3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6389.7001351423296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7910.4260897912154</v>
      </c>
    </row>
    <row r="131" spans="1:9" hidden="1" x14ac:dyDescent="0.3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7099.6668168248107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8789.3623219902383</v>
      </c>
    </row>
    <row r="132" spans="1:9" x14ac:dyDescent="0.3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4614.7834309361278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5713.0855092936554</v>
      </c>
    </row>
    <row r="133" spans="1:9" hidden="1" x14ac:dyDescent="0.3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709.96668168248107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878.93623219902383</v>
      </c>
    </row>
    <row r="134" spans="1:9" hidden="1" x14ac:dyDescent="0.3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1774.9167042062027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2197.3405804975596</v>
      </c>
    </row>
    <row r="135" spans="1:9" hidden="1" x14ac:dyDescent="0.3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354.98334084124053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hidden="1" x14ac:dyDescent="0.3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3549.8334084124053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hidden="1" x14ac:dyDescent="0.3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354.98334084124053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439.46811609951192</v>
      </c>
    </row>
    <row r="138" spans="1:9" hidden="1" x14ac:dyDescent="0.3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1774.9167042062027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2197.3405804975596</v>
      </c>
    </row>
    <row r="139" spans="1:9" hidden="1" x14ac:dyDescent="0.3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2867.9322287180994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hidden="1" x14ac:dyDescent="0.3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709.96668168248107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878.93623219902383</v>
      </c>
    </row>
    <row r="141" spans="1:9" hidden="1" x14ac:dyDescent="0.3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354.98334084124053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439.46811609951192</v>
      </c>
    </row>
    <row r="142" spans="1:9" x14ac:dyDescent="0.3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12069.433588602178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14941.915947383406</v>
      </c>
    </row>
    <row r="143" spans="1:9" hidden="1" x14ac:dyDescent="0.3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hidden="1" x14ac:dyDescent="0.3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hidden="1" x14ac:dyDescent="0.3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3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hidden="1" x14ac:dyDescent="0.3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hidden="1" x14ac:dyDescent="0.3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hidden="1" x14ac:dyDescent="0.3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hidden="1" x14ac:dyDescent="0.3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hidden="1" x14ac:dyDescent="0.3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hidden="1" x14ac:dyDescent="0.3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hidden="1" x14ac:dyDescent="0.3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hidden="1" x14ac:dyDescent="0.3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hidden="1" x14ac:dyDescent="0.3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3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hidden="1" x14ac:dyDescent="0.3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hidden="1" x14ac:dyDescent="0.3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hidden="1" x14ac:dyDescent="0.3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3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hidden="1" x14ac:dyDescent="0.3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hidden="1" x14ac:dyDescent="0.3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hidden="1" x14ac:dyDescent="0.3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hidden="1" x14ac:dyDescent="0.3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hidden="1" x14ac:dyDescent="0.3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hidden="1" x14ac:dyDescent="0.3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hidden="1" x14ac:dyDescent="0.3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hidden="1" x14ac:dyDescent="0.3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hidden="1" x14ac:dyDescent="0.3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3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hidden="1" x14ac:dyDescent="0.3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7560938.5185532495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hidden="1" x14ac:dyDescent="0.3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1095558.1789091683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hidden="1" x14ac:dyDescent="0.3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495893.73144674982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hidden="1" x14ac:dyDescent="0.3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71853.571090831669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hidden="1" x14ac:dyDescent="0.3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hidden="1" x14ac:dyDescent="0.3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hidden="1" x14ac:dyDescent="0.3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hidden="1" x14ac:dyDescent="0.3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hidden="1" x14ac:dyDescent="0.3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3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3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3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3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3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3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3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60692.931434855767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32335.836792877351</v>
      </c>
    </row>
    <row r="187" spans="1:9" hidden="1" x14ac:dyDescent="0.3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6069.2931434855764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32335.836792877351</v>
      </c>
    </row>
    <row r="188" spans="1:9" hidden="1" x14ac:dyDescent="0.3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60692.931434855767</v>
      </c>
    </row>
    <row r="189" spans="1:9" hidden="1" x14ac:dyDescent="0.3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6069.2931434855764</v>
      </c>
    </row>
    <row r="190" spans="1:9" hidden="1" x14ac:dyDescent="0.3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60692.931434855767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32335.836792877351</v>
      </c>
    </row>
    <row r="191" spans="1:9" hidden="1" x14ac:dyDescent="0.3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6069.2931434855764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32335.836792877351</v>
      </c>
    </row>
    <row r="192" spans="1:9" hidden="1" x14ac:dyDescent="0.3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60692.931434855767</v>
      </c>
    </row>
    <row r="193" spans="1:9" hidden="1" x14ac:dyDescent="0.3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6069.2931434855764</v>
      </c>
    </row>
    <row r="194" spans="1:9" hidden="1" x14ac:dyDescent="0.3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60692.931434855767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32335.836792877351</v>
      </c>
    </row>
    <row r="195" spans="1:9" hidden="1" x14ac:dyDescent="0.3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6069.2931434855764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32335.836792877351</v>
      </c>
    </row>
    <row r="196" spans="1:9" hidden="1" x14ac:dyDescent="0.3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60692.931434855767</v>
      </c>
    </row>
    <row r="197" spans="1:9" hidden="1" x14ac:dyDescent="0.3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6069.2931434855764</v>
      </c>
    </row>
    <row r="198" spans="1:9" hidden="1" x14ac:dyDescent="0.3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60692.931434855767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32335.836792877351</v>
      </c>
    </row>
    <row r="199" spans="1:9" hidden="1" x14ac:dyDescent="0.3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6069.2931434855764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32335.836792877351</v>
      </c>
    </row>
    <row r="200" spans="1:9" hidden="1" x14ac:dyDescent="0.3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60692.931434855767</v>
      </c>
    </row>
    <row r="201" spans="1:9" hidden="1" x14ac:dyDescent="0.3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6069.2931434855764</v>
      </c>
    </row>
    <row r="202" spans="1:9" hidden="1" x14ac:dyDescent="0.3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3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3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3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3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3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7521.4689294229383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4392.164500558918</v>
      </c>
    </row>
    <row r="208" spans="1:9" hidden="1" x14ac:dyDescent="0.3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752.14689294229379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4392.164500558918</v>
      </c>
    </row>
    <row r="209" spans="1:9" hidden="1" x14ac:dyDescent="0.3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7521.4689294229383</v>
      </c>
    </row>
    <row r="210" spans="1:9" hidden="1" x14ac:dyDescent="0.3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752.14689294229379</v>
      </c>
    </row>
    <row r="211" spans="1:9" hidden="1" x14ac:dyDescent="0.3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7521.4689294229383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4392.164500558918</v>
      </c>
    </row>
    <row r="212" spans="1:9" hidden="1" x14ac:dyDescent="0.3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752.14689294229379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4392.164500558918</v>
      </c>
    </row>
    <row r="213" spans="1:9" hidden="1" x14ac:dyDescent="0.3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7521.4689294229383</v>
      </c>
    </row>
    <row r="214" spans="1:9" hidden="1" x14ac:dyDescent="0.3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752.14689294229379</v>
      </c>
    </row>
    <row r="215" spans="1:9" hidden="1" x14ac:dyDescent="0.3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7521.4689294229383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4392.164500558918</v>
      </c>
    </row>
    <row r="216" spans="1:9" hidden="1" x14ac:dyDescent="0.3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752.14689294229379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4392.164500558918</v>
      </c>
    </row>
    <row r="217" spans="1:9" hidden="1" x14ac:dyDescent="0.3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7521.4689294229383</v>
      </c>
    </row>
    <row r="218" spans="1:9" hidden="1" x14ac:dyDescent="0.3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752.14689294229379</v>
      </c>
    </row>
    <row r="219" spans="1:9" hidden="1" x14ac:dyDescent="0.3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7521.4689294229383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4392.164500558918</v>
      </c>
    </row>
    <row r="220" spans="1:9" hidden="1" x14ac:dyDescent="0.3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752.14689294229379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4392.164500558918</v>
      </c>
    </row>
    <row r="221" spans="1:9" hidden="1" x14ac:dyDescent="0.3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7521.4689294229383</v>
      </c>
    </row>
    <row r="222" spans="1:9" hidden="1" x14ac:dyDescent="0.3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752.14689294229379</v>
      </c>
    </row>
    <row r="223" spans="1:9" hidden="1" x14ac:dyDescent="0.3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3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3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3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3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hidden="1" x14ac:dyDescent="0.3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hidden="1" x14ac:dyDescent="0.3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hidden="1" x14ac:dyDescent="0.3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>
    <filterColumn colId="1">
      <filters>
        <filter val="Græs"/>
        <filter val="Permanent græs"/>
      </filters>
    </filterColumn>
  </autoFilter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34" zoomScale="113" workbookViewId="0">
      <selection activeCell="C335" sqref="C335"/>
    </sheetView>
  </sheetViews>
  <sheetFormatPr defaultRowHeight="14.5" x14ac:dyDescent="0.35"/>
  <cols>
    <col min="5" max="5" width="10.7265625" bestFit="1" customWidth="1"/>
    <col min="18" max="18" width="14.54296875" bestFit="1" customWidth="1"/>
  </cols>
  <sheetData>
    <row r="1" spans="1:13" x14ac:dyDescent="0.3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3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3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3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3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3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3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3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3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3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3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3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3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3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3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3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3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3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3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3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3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3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3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3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3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3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3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3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3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3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3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3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3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69644.90056848996</v>
      </c>
    </row>
    <row r="34" spans="1:5" x14ac:dyDescent="0.3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34302.712220301015</v>
      </c>
    </row>
    <row r="35" spans="1:5" x14ac:dyDescent="0.3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101549.90665933446</v>
      </c>
    </row>
    <row r="36" spans="1:5" x14ac:dyDescent="0.3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3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3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3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3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20168.939794840036</v>
      </c>
    </row>
    <row r="41" spans="1:5" x14ac:dyDescent="0.3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3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3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3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3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3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3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3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3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3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3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3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3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3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3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3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3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3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3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3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3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3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3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3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3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3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3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3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3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3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3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3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3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3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3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60760.863656275607</v>
      </c>
    </row>
    <row r="76" spans="1:5" x14ac:dyDescent="0.3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29926.992547120819</v>
      </c>
    </row>
    <row r="77" spans="1:5" x14ac:dyDescent="0.3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88596.006060305852</v>
      </c>
    </row>
    <row r="78" spans="1:5" x14ac:dyDescent="0.3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3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3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3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3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17596.15120364408</v>
      </c>
    </row>
    <row r="83" spans="1:5" x14ac:dyDescent="0.3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3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3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3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3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3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3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3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3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3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3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3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3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3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3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3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3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3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3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3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3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8479593.6614331026</v>
      </c>
    </row>
    <row r="104" spans="1:5" x14ac:dyDescent="0.3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7790098.0268014707</v>
      </c>
    </row>
    <row r="105" spans="1:5" x14ac:dyDescent="0.3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3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1974779.4199139304</v>
      </c>
    </row>
    <row r="107" spans="1:5" x14ac:dyDescent="0.3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3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506863.86710295174</v>
      </c>
    </row>
    <row r="109" spans="1:5" x14ac:dyDescent="0.3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1527973.1246412985</v>
      </c>
    </row>
    <row r="110" spans="1:5" x14ac:dyDescent="0.3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1198253.6297381346</v>
      </c>
    </row>
    <row r="111" spans="1:5" x14ac:dyDescent="0.3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3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2866.1447836461339</v>
      </c>
    </row>
    <row r="113" spans="1:5" x14ac:dyDescent="0.3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3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252137.34695648224</v>
      </c>
    </row>
    <row r="115" spans="1:5" x14ac:dyDescent="0.3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21394.342667690107</v>
      </c>
    </row>
    <row r="116" spans="1:5" x14ac:dyDescent="0.3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3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3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3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3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6494531.2954108026</v>
      </c>
    </row>
    <row r="121" spans="1:5" x14ac:dyDescent="0.3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5730932.9261474209</v>
      </c>
    </row>
    <row r="122" spans="1:5" x14ac:dyDescent="0.3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3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3046562.3049170515</v>
      </c>
    </row>
    <row r="124" spans="1:5" x14ac:dyDescent="0.3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3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477740.13297637849</v>
      </c>
    </row>
    <row r="126" spans="1:5" x14ac:dyDescent="0.3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1312323.5821683302</v>
      </c>
    </row>
    <row r="127" spans="1:5" x14ac:dyDescent="0.3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1199933.3744132207</v>
      </c>
    </row>
    <row r="128" spans="1:5" x14ac:dyDescent="0.3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3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2778.0605350782976</v>
      </c>
    </row>
    <row r="130" spans="1:5" x14ac:dyDescent="0.3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3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242163.91618130018</v>
      </c>
    </row>
    <row r="132" spans="1:5" x14ac:dyDescent="0.3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21018.882486311028</v>
      </c>
    </row>
    <row r="133" spans="1:5" x14ac:dyDescent="0.3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3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3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3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3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3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3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3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3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3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3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3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3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3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3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3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3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3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3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3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3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3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1228668.658899101</v>
      </c>
    </row>
    <row r="155" spans="1:5" x14ac:dyDescent="0.3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553673.50359972543</v>
      </c>
    </row>
    <row r="156" spans="1:5" x14ac:dyDescent="0.3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3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1671161.6426352733</v>
      </c>
    </row>
    <row r="158" spans="1:5" x14ac:dyDescent="0.3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3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219104.13289704846</v>
      </c>
    </row>
    <row r="160" spans="1:5" x14ac:dyDescent="0.3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204287.20531755476</v>
      </c>
    </row>
    <row r="161" spans="1:5" x14ac:dyDescent="0.3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145520.84510711234</v>
      </c>
    </row>
    <row r="162" spans="1:5" x14ac:dyDescent="0.3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3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919.8552163538659</v>
      </c>
    </row>
    <row r="164" spans="1:5" x14ac:dyDescent="0.3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3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77888.653043517654</v>
      </c>
    </row>
    <row r="166" spans="1:5" x14ac:dyDescent="0.3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7250.6573323098974</v>
      </c>
    </row>
    <row r="167" spans="1:5" x14ac:dyDescent="0.3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3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3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3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3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941038.84873677138</v>
      </c>
    </row>
    <row r="172" spans="1:5" x14ac:dyDescent="0.3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407320.38302962092</v>
      </c>
    </row>
    <row r="173" spans="1:5" x14ac:dyDescent="0.3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3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2622026.1401572018</v>
      </c>
    </row>
    <row r="175" spans="1:5" x14ac:dyDescent="0.3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3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245291.86702362169</v>
      </c>
    </row>
    <row r="177" spans="1:18" x14ac:dyDescent="0.3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174899.39162918815</v>
      </c>
    </row>
    <row r="178" spans="1:18" x14ac:dyDescent="0.3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145937.04811361324</v>
      </c>
    </row>
    <row r="179" spans="1:18" x14ac:dyDescent="0.3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3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1007.9394649217019</v>
      </c>
    </row>
    <row r="181" spans="1:18" x14ac:dyDescent="0.3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3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87862.083818699844</v>
      </c>
    </row>
    <row r="183" spans="1:18" x14ac:dyDescent="0.3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7626.1175136889688</v>
      </c>
    </row>
    <row r="184" spans="1:18" x14ac:dyDescent="0.3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3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3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3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3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3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3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3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3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3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3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3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3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3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3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3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3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3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3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3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4534717.2198337205</v>
      </c>
      <c r="G203" s="317"/>
    </row>
    <row r="204" spans="1:7" x14ac:dyDescent="0.3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590528.53760249668</v>
      </c>
      <c r="G204" s="317"/>
    </row>
    <row r="205" spans="1:7" x14ac:dyDescent="0.3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3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47085.713440742315</v>
      </c>
      <c r="G206" s="317"/>
    </row>
    <row r="207" spans="1:7" x14ac:dyDescent="0.3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669901.28667965194</v>
      </c>
      <c r="G207" s="317"/>
    </row>
    <row r="208" spans="1:7" x14ac:dyDescent="0.3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4351481.2300827308</v>
      </c>
      <c r="G208" s="317"/>
    </row>
    <row r="209" spans="1:7" x14ac:dyDescent="0.3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161875.86352463221</v>
      </c>
      <c r="G209" s="317"/>
    </row>
    <row r="210" spans="1:7" x14ac:dyDescent="0.3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3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3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9446613.3985518552</v>
      </c>
      <c r="G212" s="317"/>
    </row>
    <row r="213" spans="1:7" x14ac:dyDescent="0.3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1164894.7731358123</v>
      </c>
      <c r="G213" s="317"/>
    </row>
    <row r="214" spans="1:7" x14ac:dyDescent="0.3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1681632.6228836535</v>
      </c>
      <c r="G214" s="317"/>
    </row>
    <row r="215" spans="1:7" x14ac:dyDescent="0.3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819862.14978940994</v>
      </c>
      <c r="G215" s="317"/>
    </row>
    <row r="216" spans="1:7" x14ac:dyDescent="0.3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29678.267865680002</v>
      </c>
      <c r="G216" s="317"/>
    </row>
    <row r="217" spans="1:7" x14ac:dyDescent="0.3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0</v>
      </c>
      <c r="G217" s="317"/>
    </row>
    <row r="218" spans="1:7" x14ac:dyDescent="0.3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3027382.7402155618</v>
      </c>
    </row>
    <row r="219" spans="1:7" x14ac:dyDescent="0.3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394237.57109337207</v>
      </c>
    </row>
    <row r="220" spans="1:7" x14ac:dyDescent="0.3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3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31434.479653499999</v>
      </c>
    </row>
    <row r="222" spans="1:7" x14ac:dyDescent="0.3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447226.91507024999</v>
      </c>
    </row>
    <row r="223" spans="1:7" x14ac:dyDescent="0.3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2905054.1702372115</v>
      </c>
    </row>
    <row r="224" spans="1:7" x14ac:dyDescent="0.3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108068.52368843651</v>
      </c>
    </row>
    <row r="225" spans="1:5" x14ac:dyDescent="0.3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3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3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6306570.6128669288</v>
      </c>
    </row>
    <row r="228" spans="1:5" x14ac:dyDescent="0.3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777685.16963622137</v>
      </c>
    </row>
    <row r="229" spans="1:5" x14ac:dyDescent="0.3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1122659.9876249996</v>
      </c>
    </row>
    <row r="230" spans="1:5" x14ac:dyDescent="0.3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547340.96996669995</v>
      </c>
    </row>
    <row r="231" spans="1:5" x14ac:dyDescent="0.3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19813.247781599999</v>
      </c>
    </row>
    <row r="232" spans="1:5" x14ac:dyDescent="0.3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x14ac:dyDescent="0.3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3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3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3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3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3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3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3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3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3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3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3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3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3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3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3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550714.69493164914</v>
      </c>
    </row>
    <row r="249" spans="1:5" x14ac:dyDescent="0.3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71716.212427048929</v>
      </c>
    </row>
    <row r="250" spans="1:5" x14ac:dyDescent="0.3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3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5718.282542457694</v>
      </c>
    </row>
    <row r="252" spans="1:5" x14ac:dyDescent="0.3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81355.565263148092</v>
      </c>
    </row>
    <row r="253" spans="1:5" x14ac:dyDescent="0.3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528461.76331446774</v>
      </c>
    </row>
    <row r="254" spans="1:5" x14ac:dyDescent="0.3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19658.870107237683</v>
      </c>
    </row>
    <row r="255" spans="1:5" x14ac:dyDescent="0.3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3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3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1147235.5526749862</v>
      </c>
    </row>
    <row r="258" spans="1:5" x14ac:dyDescent="0.3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141469.60847064349</v>
      </c>
    </row>
    <row r="259" spans="1:5" x14ac:dyDescent="0.3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204224.37651634615</v>
      </c>
    </row>
    <row r="260" spans="1:5" x14ac:dyDescent="0.3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99567.428754430017</v>
      </c>
    </row>
    <row r="261" spans="1:5" x14ac:dyDescent="0.3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3604.250814640001</v>
      </c>
    </row>
    <row r="262" spans="1:5" x14ac:dyDescent="0.3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0</v>
      </c>
    </row>
    <row r="263" spans="1:5" x14ac:dyDescent="0.3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368193.1930872486</v>
      </c>
    </row>
    <row r="264" spans="1:5" x14ac:dyDescent="0.3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47947.551595505945</v>
      </c>
    </row>
    <row r="265" spans="1:5" x14ac:dyDescent="0.3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3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3823.0915711153852</v>
      </c>
    </row>
    <row r="267" spans="1:5" x14ac:dyDescent="0.3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54392.166443596157</v>
      </c>
    </row>
    <row r="268" spans="1:5" x14ac:dyDescent="0.3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353315.47505450371</v>
      </c>
    </row>
    <row r="269" spans="1:5" x14ac:dyDescent="0.3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13143.397523048965</v>
      </c>
    </row>
    <row r="270" spans="1:5" x14ac:dyDescent="0.3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3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3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767011.16794249229</v>
      </c>
    </row>
    <row r="273" spans="1:7" x14ac:dyDescent="0.3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94582.816378404299</v>
      </c>
    </row>
    <row r="274" spans="1:7" x14ac:dyDescent="0.3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136538.9846826923</v>
      </c>
    </row>
    <row r="275" spans="1:7" x14ac:dyDescent="0.3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66568.133841300005</v>
      </c>
    </row>
    <row r="276" spans="1:7" x14ac:dyDescent="0.3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2409.7062024000002</v>
      </c>
    </row>
    <row r="277" spans="1:7" x14ac:dyDescent="0.3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x14ac:dyDescent="0.3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3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3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3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3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3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3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3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3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3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3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3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35">
      <c r="A290" t="s">
        <v>121</v>
      </c>
      <c r="B290" t="s">
        <v>24</v>
      </c>
      <c r="C290" t="str">
        <f>C284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35">
      <c r="A291" t="s">
        <v>121</v>
      </c>
      <c r="B291" t="s">
        <v>24</v>
      </c>
      <c r="C291" t="str">
        <f>C285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35">
      <c r="A292" t="s">
        <v>121</v>
      </c>
      <c r="B292" t="s">
        <v>24</v>
      </c>
      <c r="C292" t="str">
        <f>C286</f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35">
      <c r="A293" t="s">
        <v>121</v>
      </c>
      <c r="B293" t="s">
        <v>24</v>
      </c>
      <c r="C293" s="171" t="str">
        <f>C281</f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35">
      <c r="A294" t="s">
        <v>121</v>
      </c>
      <c r="B294" t="s">
        <v>24</v>
      </c>
      <c r="C294" t="str">
        <f t="shared" ref="C294:C310" si="22">C288</f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3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3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3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3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35">
      <c r="A299" s="171" t="s">
        <v>165</v>
      </c>
      <c r="B299" s="171" t="s">
        <v>24</v>
      </c>
      <c r="C299" s="171" t="str">
        <f>C287</f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35">
      <c r="A300" t="s">
        <v>165</v>
      </c>
      <c r="B300" t="s">
        <v>24</v>
      </c>
      <c r="C300" t="str">
        <f>C294</f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35">
      <c r="A301" t="s">
        <v>165</v>
      </c>
      <c r="B301" t="s">
        <v>24</v>
      </c>
      <c r="C301" t="str">
        <f>C295</f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35">
      <c r="A302" t="s">
        <v>121</v>
      </c>
      <c r="B302" t="s">
        <v>23</v>
      </c>
      <c r="C302" t="str">
        <f>C296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254415.29546314781</v>
      </c>
      <c r="F302" s="171">
        <v>1</v>
      </c>
    </row>
    <row r="303" spans="1:7" x14ac:dyDescent="0.35">
      <c r="A303" t="s">
        <v>121</v>
      </c>
      <c r="B303" t="s">
        <v>23</v>
      </c>
      <c r="C303" t="str">
        <f>C297</f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230606.03784600773</v>
      </c>
      <c r="F303" s="171">
        <v>1</v>
      </c>
    </row>
    <row r="304" spans="1:7" x14ac:dyDescent="0.35">
      <c r="A304" t="s">
        <v>121</v>
      </c>
      <c r="B304" t="s">
        <v>23</v>
      </c>
      <c r="C304" t="str">
        <f>C298</f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215758.44874789647</v>
      </c>
      <c r="F304" s="171">
        <v>1</v>
      </c>
    </row>
    <row r="305" spans="1:7" x14ac:dyDescent="0.35">
      <c r="A305" t="s">
        <v>121</v>
      </c>
      <c r="B305" t="s">
        <v>23</v>
      </c>
      <c r="C305" s="171" t="str">
        <f>C293</f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2228556.3906758497</v>
      </c>
      <c r="F305" s="171">
        <v>1</v>
      </c>
    </row>
    <row r="306" spans="1:7" x14ac:dyDescent="0.3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3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3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3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3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35">
      <c r="A311" s="171" t="s">
        <v>165</v>
      </c>
      <c r="B311" s="171" t="s">
        <v>23</v>
      </c>
      <c r="C311" s="171" t="str">
        <f>C299</f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614281.02378706157</v>
      </c>
      <c r="F311" s="171">
        <v>1</v>
      </c>
      <c r="G311" s="171">
        <v>1</v>
      </c>
    </row>
    <row r="312" spans="1:7" x14ac:dyDescent="0.35">
      <c r="A312" t="s">
        <v>165</v>
      </c>
      <c r="B312" t="s">
        <v>23</v>
      </c>
      <c r="C312" t="str">
        <f>C306</f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35">
      <c r="A313" t="s">
        <v>165</v>
      </c>
      <c r="B313" t="s">
        <v>23</v>
      </c>
      <c r="C313" t="str">
        <f>C307</f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35">
      <c r="A314" t="s">
        <v>121</v>
      </c>
      <c r="B314" t="s">
        <v>24</v>
      </c>
      <c r="C314" t="str">
        <f>C308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254045.94024373771</v>
      </c>
      <c r="F314" s="171">
        <v>1</v>
      </c>
    </row>
    <row r="315" spans="1:7" x14ac:dyDescent="0.35">
      <c r="A315" t="s">
        <v>121</v>
      </c>
      <c r="B315" t="s">
        <v>24</v>
      </c>
      <c r="C315" t="str">
        <f>C309</f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75102.44158396039</v>
      </c>
      <c r="F315" s="171">
        <v>1</v>
      </c>
    </row>
    <row r="316" spans="1:7" x14ac:dyDescent="0.35">
      <c r="A316" t="s">
        <v>121</v>
      </c>
      <c r="B316" t="s">
        <v>24</v>
      </c>
      <c r="C316" t="str">
        <f>C310</f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66681.39344549182</v>
      </c>
      <c r="F316" s="171">
        <v>1</v>
      </c>
    </row>
    <row r="317" spans="1:7" x14ac:dyDescent="0.35">
      <c r="A317" t="s">
        <v>121</v>
      </c>
      <c r="B317" t="s">
        <v>24</v>
      </c>
      <c r="C317" s="171" t="str">
        <f>C305</f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648116.49103494617</v>
      </c>
      <c r="F317" s="171">
        <v>1</v>
      </c>
    </row>
    <row r="318" spans="1:7" x14ac:dyDescent="0.35">
      <c r="A318" t="s">
        <v>121</v>
      </c>
      <c r="B318" t="s">
        <v>24</v>
      </c>
      <c r="C318" s="171" t="str">
        <f t="shared" ref="C318:C322" si="24">C312</f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35">
      <c r="A319" t="s">
        <v>121</v>
      </c>
      <c r="B319" t="s">
        <v>24</v>
      </c>
      <c r="C319" s="171" t="str">
        <f t="shared" si="24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35">
      <c r="A320" t="s">
        <v>165</v>
      </c>
      <c r="B320" t="s">
        <v>24</v>
      </c>
      <c r="C320" s="171" t="str">
        <f t="shared" si="24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35">
      <c r="A321" t="s">
        <v>165</v>
      </c>
      <c r="B321" t="s">
        <v>24</v>
      </c>
      <c r="C321" s="171" t="str">
        <f t="shared" si="24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35">
      <c r="A322" t="s">
        <v>165</v>
      </c>
      <c r="B322" t="s">
        <v>24</v>
      </c>
      <c r="C322" s="171" t="str">
        <f t="shared" si="24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35">
      <c r="A323" s="171" t="s">
        <v>165</v>
      </c>
      <c r="B323" s="171" t="s">
        <v>24</v>
      </c>
      <c r="C323" s="171" t="str">
        <f>C311</f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178393.88316623261</v>
      </c>
      <c r="F323" s="171">
        <v>1</v>
      </c>
      <c r="G323" s="171">
        <v>1</v>
      </c>
    </row>
    <row r="324" spans="1:7" x14ac:dyDescent="0.35">
      <c r="A324" t="s">
        <v>165</v>
      </c>
      <c r="B324" t="s">
        <v>24</v>
      </c>
      <c r="C324" t="str">
        <f>C318</f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35">
      <c r="A325" t="s">
        <v>165</v>
      </c>
      <c r="B325" t="s">
        <v>24</v>
      </c>
      <c r="C325" t="str">
        <f>C319</f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35">
      <c r="A326" t="s">
        <v>121</v>
      </c>
      <c r="B326" t="s">
        <v>23</v>
      </c>
      <c r="C326" t="str">
        <f>C320</f>
        <v>Halm</v>
      </c>
      <c r="D326">
        <f t="shared" ref="D326:D349" si="25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0</v>
      </c>
      <c r="F326" s="171">
        <v>1</v>
      </c>
    </row>
    <row r="327" spans="1:7" x14ac:dyDescent="0.35">
      <c r="A327" t="s">
        <v>121</v>
      </c>
      <c r="B327" t="s">
        <v>23</v>
      </c>
      <c r="C327" t="str">
        <f>C321</f>
        <v>Rapsolie</v>
      </c>
      <c r="D327">
        <f t="shared" si="25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192486.94948403907</v>
      </c>
      <c r="F327" s="171">
        <v>1</v>
      </c>
    </row>
    <row r="328" spans="1:7" x14ac:dyDescent="0.35">
      <c r="A328" t="s">
        <v>121</v>
      </c>
      <c r="B328" t="s">
        <v>23</v>
      </c>
      <c r="C328" t="str">
        <f>C322</f>
        <v>Pil &amp; poppel</v>
      </c>
      <c r="D328">
        <f t="shared" si="25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167353.17803041782</v>
      </c>
      <c r="F328" s="171">
        <v>1</v>
      </c>
    </row>
    <row r="329" spans="1:7" x14ac:dyDescent="0.35">
      <c r="A329" t="s">
        <v>121</v>
      </c>
      <c r="B329" t="s">
        <v>23</v>
      </c>
      <c r="C329" s="171" t="str">
        <f>C317</f>
        <v>Træ til energi</v>
      </c>
      <c r="D329">
        <f t="shared" si="25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2354122.6497080862</v>
      </c>
      <c r="F329" s="171">
        <v>1</v>
      </c>
    </row>
    <row r="330" spans="1:7" x14ac:dyDescent="0.35">
      <c r="A330" t="s">
        <v>121</v>
      </c>
      <c r="B330" t="s">
        <v>23</v>
      </c>
      <c r="C330" s="171" t="str">
        <f t="shared" ref="C330:C335" si="26">C324</f>
        <v>Have/parkaffald</v>
      </c>
      <c r="D330">
        <f t="shared" si="25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35">
      <c r="A331" t="s">
        <v>121</v>
      </c>
      <c r="B331" t="s">
        <v>23</v>
      </c>
      <c r="C331" s="171" t="str">
        <f t="shared" si="26"/>
        <v>Bioaffald</v>
      </c>
      <c r="D331">
        <f t="shared" si="25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35">
      <c r="A332" t="s">
        <v>165</v>
      </c>
      <c r="B332" t="s">
        <v>23</v>
      </c>
      <c r="C332" s="171" t="str">
        <f t="shared" si="26"/>
        <v>Halm</v>
      </c>
      <c r="D332">
        <f t="shared" si="25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35">
      <c r="A333" t="s">
        <v>165</v>
      </c>
      <c r="B333" t="s">
        <v>23</v>
      </c>
      <c r="C333" s="171" t="str">
        <f t="shared" si="26"/>
        <v>Rapsolie</v>
      </c>
      <c r="D333">
        <f t="shared" si="25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35">
      <c r="A334" t="s">
        <v>165</v>
      </c>
      <c r="B334" t="s">
        <v>23</v>
      </c>
      <c r="C334" s="171" t="str">
        <f t="shared" si="26"/>
        <v>Pil &amp; poppel</v>
      </c>
      <c r="D334">
        <f t="shared" si="25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35">
      <c r="A335" s="171" t="s">
        <v>165</v>
      </c>
      <c r="B335" s="171" t="s">
        <v>23</v>
      </c>
      <c r="C335" s="171" t="str">
        <f>C323</f>
        <v>Træmaterialer</v>
      </c>
      <c r="D335" s="171">
        <f t="shared" si="25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695607.30474103929</v>
      </c>
      <c r="F335" s="171">
        <v>1</v>
      </c>
      <c r="G335" s="171">
        <v>1</v>
      </c>
    </row>
    <row r="336" spans="1:7" x14ac:dyDescent="0.35">
      <c r="A336" t="s">
        <v>165</v>
      </c>
      <c r="B336" t="s">
        <v>23</v>
      </c>
      <c r="C336" t="str">
        <f>C330</f>
        <v>Have/parkaffald</v>
      </c>
      <c r="D336">
        <f t="shared" si="25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35">
      <c r="A337" t="s">
        <v>165</v>
      </c>
      <c r="B337" t="s">
        <v>23</v>
      </c>
      <c r="C337" t="str">
        <f>C331</f>
        <v>Bioaffald</v>
      </c>
      <c r="D337">
        <f t="shared" si="25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35">
      <c r="A338" t="s">
        <v>121</v>
      </c>
      <c r="B338" t="s">
        <v>24</v>
      </c>
      <c r="C338" t="str">
        <f>C332</f>
        <v>Halm</v>
      </c>
      <c r="D338">
        <f t="shared" si="25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7002.3670705014374</v>
      </c>
      <c r="F338" s="171">
        <v>1</v>
      </c>
    </row>
    <row r="339" spans="1:7" x14ac:dyDescent="0.35">
      <c r="A339" t="s">
        <v>121</v>
      </c>
      <c r="B339" t="s">
        <v>24</v>
      </c>
      <c r="C339" t="str">
        <f>C333</f>
        <v>Rapsolie</v>
      </c>
      <c r="D339">
        <f t="shared" si="25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69838.419357151841</v>
      </c>
      <c r="F339" s="171">
        <v>1</v>
      </c>
    </row>
    <row r="340" spans="1:7" x14ac:dyDescent="0.35">
      <c r="A340" t="s">
        <v>121</v>
      </c>
      <c r="B340" t="s">
        <v>24</v>
      </c>
      <c r="C340" t="str">
        <f>C334</f>
        <v>Pil &amp; poppel</v>
      </c>
      <c r="D340">
        <f t="shared" si="25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60719.109564821476</v>
      </c>
      <c r="F340" s="171">
        <v>1</v>
      </c>
    </row>
    <row r="341" spans="1:7" x14ac:dyDescent="0.35">
      <c r="A341" t="s">
        <v>121</v>
      </c>
      <c r="B341" t="s">
        <v>24</v>
      </c>
      <c r="C341" s="171" t="str">
        <f>C334</f>
        <v>Pil &amp; poppel</v>
      </c>
      <c r="D341">
        <f t="shared" si="25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60719.109564821476</v>
      </c>
      <c r="F341" s="171">
        <v>1</v>
      </c>
    </row>
    <row r="342" spans="1:7" x14ac:dyDescent="0.35">
      <c r="A342" t="s">
        <v>121</v>
      </c>
      <c r="B342" t="s">
        <v>24</v>
      </c>
      <c r="C342" t="str">
        <f t="shared" ref="C342:C346" si="27">C336</f>
        <v>Have/parkaffald</v>
      </c>
      <c r="D342">
        <f t="shared" si="25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35">
      <c r="A343" t="s">
        <v>121</v>
      </c>
      <c r="B343" t="s">
        <v>24</v>
      </c>
      <c r="C343" t="str">
        <f t="shared" si="27"/>
        <v>Bioaffald</v>
      </c>
      <c r="D343">
        <f t="shared" si="25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35">
      <c r="A344" t="s">
        <v>165</v>
      </c>
      <c r="B344" t="s">
        <v>24</v>
      </c>
      <c r="C344" t="str">
        <f t="shared" si="27"/>
        <v>Halm</v>
      </c>
      <c r="D344">
        <f t="shared" si="25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35">
      <c r="A345" t="s">
        <v>165</v>
      </c>
      <c r="B345" t="s">
        <v>24</v>
      </c>
      <c r="C345" t="str">
        <f t="shared" si="27"/>
        <v>Rapsolie</v>
      </c>
      <c r="D345">
        <f t="shared" si="25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35">
      <c r="A346" t="s">
        <v>165</v>
      </c>
      <c r="B346" t="s">
        <v>24</v>
      </c>
      <c r="C346" t="str">
        <f t="shared" si="27"/>
        <v>Pil &amp; poppel</v>
      </c>
      <c r="D346">
        <f t="shared" si="25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35">
      <c r="A347" s="171" t="s">
        <v>165</v>
      </c>
      <c r="B347" s="171" t="s">
        <v>24</v>
      </c>
      <c r="C347" s="171" t="str">
        <f>C335</f>
        <v>Træmaterialer</v>
      </c>
      <c r="D347" s="171">
        <f t="shared" si="25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179246.53073851895</v>
      </c>
      <c r="F347" s="171">
        <v>1</v>
      </c>
      <c r="G347" s="171">
        <v>1</v>
      </c>
    </row>
    <row r="348" spans="1:7" x14ac:dyDescent="0.35">
      <c r="A348" t="s">
        <v>165</v>
      </c>
      <c r="B348" t="s">
        <v>24</v>
      </c>
      <c r="C348" t="str">
        <f t="shared" ref="C348:C349" si="28">C342</f>
        <v>Have/parkaffald</v>
      </c>
      <c r="D348">
        <f t="shared" si="25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35">
      <c r="A349" t="s">
        <v>165</v>
      </c>
      <c r="B349" t="s">
        <v>24</v>
      </c>
      <c r="C349" t="str">
        <f t="shared" si="28"/>
        <v>Bioaffald</v>
      </c>
      <c r="D349">
        <f t="shared" si="25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35">
      <c r="A350" t="s">
        <v>115</v>
      </c>
      <c r="B350" t="s">
        <v>23</v>
      </c>
      <c r="C350" t="s">
        <v>136</v>
      </c>
      <c r="D350">
        <f t="shared" ref="D350:D355" si="29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35">
      <c r="A351" t="s">
        <v>115</v>
      </c>
      <c r="B351" t="s">
        <v>23</v>
      </c>
      <c r="C351" t="s">
        <v>137</v>
      </c>
      <c r="D351">
        <f t="shared" si="29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35">
      <c r="A352" t="s">
        <v>115</v>
      </c>
      <c r="B352" t="s">
        <v>23</v>
      </c>
      <c r="C352" t="s">
        <v>138</v>
      </c>
      <c r="D352">
        <f t="shared" si="29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35">
      <c r="A353" t="s">
        <v>115</v>
      </c>
      <c r="B353" t="s">
        <v>23</v>
      </c>
      <c r="C353" t="s">
        <v>102</v>
      </c>
      <c r="D353">
        <f t="shared" si="29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35">
      <c r="A354" t="s">
        <v>115</v>
      </c>
      <c r="B354" t="s">
        <v>23</v>
      </c>
      <c r="C354" t="s">
        <v>111</v>
      </c>
      <c r="D354">
        <f t="shared" si="29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35">
      <c r="A355" t="s">
        <v>115</v>
      </c>
      <c r="B355" t="s">
        <v>23</v>
      </c>
      <c r="C355" t="s">
        <v>116</v>
      </c>
      <c r="D355">
        <f t="shared" si="29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35">
      <c r="A356" t="s">
        <v>115</v>
      </c>
      <c r="B356" t="s">
        <v>23</v>
      </c>
      <c r="C356" t="s">
        <v>136</v>
      </c>
      <c r="D356">
        <f t="shared" ref="D356:D361" si="30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2826531.2204777007</v>
      </c>
    </row>
    <row r="357" spans="1:5" x14ac:dyDescent="0.35">
      <c r="A357" t="s">
        <v>115</v>
      </c>
      <c r="B357" t="s">
        <v>23</v>
      </c>
      <c r="C357" t="s">
        <v>137</v>
      </c>
      <c r="D357">
        <f t="shared" si="30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2596699.342267157</v>
      </c>
    </row>
    <row r="358" spans="1:5" x14ac:dyDescent="0.35">
      <c r="A358" t="s">
        <v>115</v>
      </c>
      <c r="B358" t="s">
        <v>23</v>
      </c>
      <c r="C358" t="s">
        <v>138</v>
      </c>
      <c r="D358">
        <f t="shared" si="30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2085.6815338863707</v>
      </c>
    </row>
    <row r="359" spans="1:5" x14ac:dyDescent="0.35">
      <c r="A359" t="s">
        <v>115</v>
      </c>
      <c r="B359" t="s">
        <v>23</v>
      </c>
      <c r="C359" t="s">
        <v>102</v>
      </c>
      <c r="D359">
        <f t="shared" si="30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192815.65620473531</v>
      </c>
    </row>
    <row r="360" spans="1:5" x14ac:dyDescent="0.35">
      <c r="A360" t="s">
        <v>115</v>
      </c>
      <c r="B360" t="s">
        <v>23</v>
      </c>
      <c r="C360" t="s">
        <v>111</v>
      </c>
      <c r="D360">
        <f t="shared" si="30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16880479.241128754</v>
      </c>
    </row>
    <row r="361" spans="1:5" x14ac:dyDescent="0.35">
      <c r="A361" t="s">
        <v>115</v>
      </c>
      <c r="B361" t="s">
        <v>23</v>
      </c>
      <c r="C361" t="s">
        <v>116</v>
      </c>
      <c r="D361">
        <f t="shared" si="30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479558.1969775256</v>
      </c>
    </row>
    <row r="362" spans="1:5" x14ac:dyDescent="0.35">
      <c r="A362" t="s">
        <v>115</v>
      </c>
      <c r="B362" t="s">
        <v>23</v>
      </c>
      <c r="C362" t="s">
        <v>136</v>
      </c>
      <c r="D362">
        <f t="shared" ref="D362:D367" si="31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721614.58837897785</v>
      </c>
    </row>
    <row r="363" spans="1:5" x14ac:dyDescent="0.35">
      <c r="A363" t="s">
        <v>115</v>
      </c>
      <c r="B363" t="s">
        <v>23</v>
      </c>
      <c r="C363" t="s">
        <v>137</v>
      </c>
      <c r="D363">
        <f t="shared" si="31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636770.32512749103</v>
      </c>
    </row>
    <row r="364" spans="1:5" x14ac:dyDescent="0.35">
      <c r="A364" t="s">
        <v>115</v>
      </c>
      <c r="B364" t="s">
        <v>23</v>
      </c>
      <c r="C364" t="s">
        <v>138</v>
      </c>
      <c r="D364">
        <f t="shared" si="31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861.55317224824194</v>
      </c>
    </row>
    <row r="365" spans="1:5" x14ac:dyDescent="0.35">
      <c r="A365" t="s">
        <v>115</v>
      </c>
      <c r="B365" t="s">
        <v>23</v>
      </c>
      <c r="C365" t="s">
        <v>102</v>
      </c>
      <c r="D365">
        <f t="shared" si="31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55200.91258327102</v>
      </c>
    </row>
    <row r="366" spans="1:5" x14ac:dyDescent="0.35">
      <c r="A366" t="s">
        <v>115</v>
      </c>
      <c r="B366" t="s">
        <v>23</v>
      </c>
      <c r="C366" t="s">
        <v>111</v>
      </c>
      <c r="D366">
        <f t="shared" si="31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12224522.62240437</v>
      </c>
    </row>
    <row r="367" spans="1:5" x14ac:dyDescent="0.35">
      <c r="A367" t="s">
        <v>115</v>
      </c>
      <c r="B367" t="s">
        <v>23</v>
      </c>
      <c r="C367" t="s">
        <v>116</v>
      </c>
      <c r="D367">
        <f t="shared" si="31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605816.97301957663</v>
      </c>
    </row>
    <row r="368" spans="1:5" x14ac:dyDescent="0.35">
      <c r="A368" t="s">
        <v>115</v>
      </c>
      <c r="B368" t="s">
        <v>24</v>
      </c>
      <c r="C368" t="s">
        <v>136</v>
      </c>
      <c r="D368">
        <f t="shared" ref="D368:D373" si="32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35">
      <c r="A369" t="s">
        <v>115</v>
      </c>
      <c r="B369" t="s">
        <v>24</v>
      </c>
      <c r="C369" t="s">
        <v>137</v>
      </c>
      <c r="D369">
        <f t="shared" si="32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35">
      <c r="A370" t="s">
        <v>115</v>
      </c>
      <c r="B370" t="s">
        <v>24</v>
      </c>
      <c r="C370" t="s">
        <v>138</v>
      </c>
      <c r="D370">
        <f t="shared" si="32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35">
      <c r="A371" t="s">
        <v>115</v>
      </c>
      <c r="B371" t="s">
        <v>24</v>
      </c>
      <c r="C371" t="s">
        <v>102</v>
      </c>
      <c r="D371">
        <f t="shared" si="32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35">
      <c r="A372" t="s">
        <v>115</v>
      </c>
      <c r="B372" t="s">
        <v>24</v>
      </c>
      <c r="C372" t="s">
        <v>111</v>
      </c>
      <c r="D372">
        <f t="shared" si="32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35">
      <c r="A373" t="s">
        <v>115</v>
      </c>
      <c r="B373" t="s">
        <v>24</v>
      </c>
      <c r="C373" t="s">
        <v>116</v>
      </c>
      <c r="D373">
        <f t="shared" si="32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35">
      <c r="A374" t="s">
        <v>115</v>
      </c>
      <c r="B374" t="s">
        <v>24</v>
      </c>
      <c r="C374" t="s">
        <v>136</v>
      </c>
      <c r="D374">
        <f t="shared" ref="D374:D379" si="33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409556.21963303362</v>
      </c>
    </row>
    <row r="375" spans="1:5" x14ac:dyDescent="0.35">
      <c r="A375" t="s">
        <v>115</v>
      </c>
      <c r="B375" t="s">
        <v>24</v>
      </c>
      <c r="C375" t="s">
        <v>137</v>
      </c>
      <c r="D375">
        <f t="shared" si="33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184557.83453324181</v>
      </c>
    </row>
    <row r="376" spans="1:5" x14ac:dyDescent="0.35">
      <c r="A376" t="s">
        <v>115</v>
      </c>
      <c r="B376" t="s">
        <v>24</v>
      </c>
      <c r="C376" t="s">
        <v>138</v>
      </c>
      <c r="D376">
        <f t="shared" si="33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175.05048128821366</v>
      </c>
    </row>
    <row r="377" spans="1:5" x14ac:dyDescent="0.35">
      <c r="A377" t="s">
        <v>115</v>
      </c>
      <c r="B377" t="s">
        <v>24</v>
      </c>
      <c r="C377" t="s">
        <v>102</v>
      </c>
      <c r="D377">
        <f t="shared" si="33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25779.099718643818</v>
      </c>
    </row>
    <row r="378" spans="1:5" x14ac:dyDescent="0.35">
      <c r="A378" t="s">
        <v>115</v>
      </c>
      <c r="B378" t="s">
        <v>24</v>
      </c>
      <c r="C378" t="s">
        <v>111</v>
      </c>
      <c r="D378">
        <f t="shared" si="33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3293941.0285514342</v>
      </c>
    </row>
    <row r="379" spans="1:5" x14ac:dyDescent="0.35">
      <c r="A379" t="s">
        <v>115</v>
      </c>
      <c r="B379" t="s">
        <v>24</v>
      </c>
      <c r="C379" t="s">
        <v>116</v>
      </c>
      <c r="D379">
        <f t="shared" si="33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298971.86331119167</v>
      </c>
    </row>
    <row r="380" spans="1:5" x14ac:dyDescent="0.35">
      <c r="A380" t="s">
        <v>115</v>
      </c>
      <c r="B380" t="s">
        <v>24</v>
      </c>
      <c r="C380" t="s">
        <v>136</v>
      </c>
      <c r="D380">
        <f t="shared" ref="D380:D385" si="34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104559.87208186346</v>
      </c>
    </row>
    <row r="381" spans="1:5" x14ac:dyDescent="0.35">
      <c r="A381" t="s">
        <v>115</v>
      </c>
      <c r="B381" t="s">
        <v>24</v>
      </c>
      <c r="C381" t="s">
        <v>137</v>
      </c>
      <c r="D381">
        <f t="shared" si="34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45257.820336624536</v>
      </c>
    </row>
    <row r="382" spans="1:5" x14ac:dyDescent="0.35">
      <c r="A382" t="s">
        <v>115</v>
      </c>
      <c r="B382" t="s">
        <v>24</v>
      </c>
      <c r="C382" t="s">
        <v>138</v>
      </c>
      <c r="D382">
        <f t="shared" si="34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72.309839736855295</v>
      </c>
    </row>
    <row r="383" spans="1:5" x14ac:dyDescent="0.35">
      <c r="A383" t="s">
        <v>115</v>
      </c>
      <c r="B383" t="s">
        <v>24</v>
      </c>
      <c r="C383" t="s">
        <v>102</v>
      </c>
      <c r="D383">
        <f t="shared" si="34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7356.8791717039439</v>
      </c>
    </row>
    <row r="384" spans="1:5" x14ac:dyDescent="0.35">
      <c r="A384" t="s">
        <v>115</v>
      </c>
      <c r="B384" t="s">
        <v>24</v>
      </c>
      <c r="C384" t="s">
        <v>111</v>
      </c>
      <c r="D384">
        <f t="shared" si="34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3135697.1726427898</v>
      </c>
    </row>
    <row r="385" spans="1:7" x14ac:dyDescent="0.35">
      <c r="A385" t="s">
        <v>115</v>
      </c>
      <c r="B385" t="s">
        <v>24</v>
      </c>
      <c r="C385" t="s">
        <v>116</v>
      </c>
      <c r="D385">
        <f t="shared" si="34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292278.82851604407</v>
      </c>
    </row>
    <row r="386" spans="1:7" x14ac:dyDescent="0.3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3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4904320.894126229</v>
      </c>
      <c r="G387" s="171">
        <v>1</v>
      </c>
    </row>
    <row r="388" spans="1:7" x14ac:dyDescent="0.3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3274130.6034294944</v>
      </c>
      <c r="G388" s="171">
        <v>1</v>
      </c>
    </row>
    <row r="389" spans="1:7" x14ac:dyDescent="0.3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3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595600.88405130478</v>
      </c>
      <c r="G390" s="171">
        <v>1</v>
      </c>
    </row>
    <row r="391" spans="1:7" x14ac:dyDescent="0.3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398202.90492095106</v>
      </c>
      <c r="G391" s="171">
        <v>1</v>
      </c>
    </row>
    <row r="392" spans="1:7" x14ac:dyDescent="0.3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3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720643.86826877412</v>
      </c>
      <c r="G393" s="171">
        <v>1</v>
      </c>
    </row>
    <row r="394" spans="1:7" x14ac:dyDescent="0.3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601521.71713762206</v>
      </c>
      <c r="G394" s="171">
        <v>1</v>
      </c>
    </row>
    <row r="395" spans="1:7" x14ac:dyDescent="0.3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3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234695.12994987622</v>
      </c>
      <c r="G396" s="171">
        <v>1</v>
      </c>
    </row>
    <row r="397" spans="1:7" x14ac:dyDescent="0.3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218245.06049109949</v>
      </c>
      <c r="G397" s="171">
        <v>1</v>
      </c>
    </row>
    <row r="398" spans="1:7" x14ac:dyDescent="0.3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3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721738.71438278642</v>
      </c>
      <c r="G399" s="171">
        <v>1</v>
      </c>
    </row>
    <row r="400" spans="1:7" x14ac:dyDescent="0.3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1054723.8266823078</v>
      </c>
      <c r="G400" s="171">
        <v>1</v>
      </c>
    </row>
    <row r="401" spans="1:7" x14ac:dyDescent="0.3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3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278261.28561721352</v>
      </c>
      <c r="G402" s="171">
        <v>1</v>
      </c>
    </row>
    <row r="403" spans="1:7" x14ac:dyDescent="0.3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445276.17331769242</v>
      </c>
      <c r="G403" s="171">
        <v>1</v>
      </c>
    </row>
    <row r="404" spans="1:7" x14ac:dyDescent="0.35">
      <c r="A404" s="171" t="s">
        <v>121</v>
      </c>
      <c r="B404" s="171" t="s">
        <v>23</v>
      </c>
      <c r="C404" s="171" t="s">
        <v>316</v>
      </c>
      <c r="D404" s="171">
        <f t="shared" ref="D404:D411" si="35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35">
      <c r="A405" s="171" t="s">
        <v>121</v>
      </c>
      <c r="B405" s="171" t="s">
        <v>23</v>
      </c>
      <c r="C405" s="171" t="s">
        <v>317</v>
      </c>
      <c r="D405" s="171">
        <f t="shared" si="35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3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404173.68005436042</v>
      </c>
      <c r="F406" s="171">
        <v>1</v>
      </c>
    </row>
    <row r="407" spans="1:7" x14ac:dyDescent="0.3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101043.4200135901</v>
      </c>
      <c r="F407" s="171">
        <v>1</v>
      </c>
    </row>
    <row r="408" spans="1:7" x14ac:dyDescent="0.3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590645.34294209245</v>
      </c>
      <c r="F408" s="171">
        <v>1</v>
      </c>
    </row>
    <row r="409" spans="1:7" x14ac:dyDescent="0.3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147661.33573552311</v>
      </c>
      <c r="F409" s="171">
        <v>1</v>
      </c>
    </row>
    <row r="410" spans="1:7" x14ac:dyDescent="0.35">
      <c r="A410" s="171" t="s">
        <v>121</v>
      </c>
      <c r="B410" s="171" t="s">
        <v>24</v>
      </c>
      <c r="C410" s="171" t="s">
        <v>316</v>
      </c>
      <c r="D410" s="171">
        <f t="shared" si="35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35">
      <c r="A411" s="171" t="s">
        <v>121</v>
      </c>
      <c r="B411" s="171" t="s">
        <v>24</v>
      </c>
      <c r="C411" s="171" t="s">
        <v>317</v>
      </c>
      <c r="D411" s="171">
        <f t="shared" si="35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3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155826.31994563958</v>
      </c>
      <c r="F412" s="171">
        <v>1</v>
      </c>
    </row>
    <row r="413" spans="1:7" x14ac:dyDescent="0.3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38956.579986409895</v>
      </c>
      <c r="F413" s="171">
        <v>1</v>
      </c>
    </row>
    <row r="414" spans="1:7" x14ac:dyDescent="0.3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249354.65705790778</v>
      </c>
      <c r="F414" s="171">
        <v>1</v>
      </c>
    </row>
    <row r="415" spans="1:7" x14ac:dyDescent="0.3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62338.664264476945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4.5" x14ac:dyDescent="0.35"/>
  <sheetData>
    <row r="1" spans="1:8" x14ac:dyDescent="0.3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3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3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3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3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3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3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3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3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3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3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3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3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3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1312267.2519852831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1566682.5474484309</v>
      </c>
      <c r="F14">
        <f>E14-D14</f>
        <v>254415.29546314781</v>
      </c>
      <c r="G14">
        <f t="shared" si="3"/>
        <v>254415.29546314781</v>
      </c>
      <c r="H14">
        <f t="shared" si="1"/>
        <v>254045.94024373771</v>
      </c>
    </row>
    <row r="15" spans="1:8" x14ac:dyDescent="0.3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230606.03784600773</v>
      </c>
      <c r="F15">
        <f t="shared" si="2"/>
        <v>230606.03784600773</v>
      </c>
      <c r="G15">
        <f t="shared" si="3"/>
        <v>230606.03784600773</v>
      </c>
      <c r="H15">
        <f t="shared" si="1"/>
        <v>75102.44158396039</v>
      </c>
    </row>
    <row r="16" spans="1:8" x14ac:dyDescent="0.3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215758.44874789647</v>
      </c>
      <c r="F16">
        <f t="shared" si="2"/>
        <v>215758.44874789647</v>
      </c>
      <c r="G16">
        <f t="shared" si="3"/>
        <v>215758.44874789647</v>
      </c>
      <c r="H16">
        <f t="shared" si="1"/>
        <v>66681.39344549182</v>
      </c>
    </row>
    <row r="17" spans="1:8" x14ac:dyDescent="0.3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2228556.3906758497</v>
      </c>
      <c r="F17">
        <f t="shared" si="2"/>
        <v>2228556.3906758497</v>
      </c>
      <c r="G17">
        <f t="shared" si="3"/>
        <v>2228556.3906758497</v>
      </c>
      <c r="H17">
        <f t="shared" si="1"/>
        <v>648116.49103494617</v>
      </c>
    </row>
    <row r="18" spans="1:8" x14ac:dyDescent="0.3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3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3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349977.49804426247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604023.43828800018</v>
      </c>
      <c r="F20">
        <f t="shared" si="2"/>
        <v>254045.94024373771</v>
      </c>
      <c r="G20">
        <f t="shared" si="3"/>
        <v>254045.94024373771</v>
      </c>
      <c r="H20">
        <f t="shared" si="1"/>
        <v>254415.29546314781</v>
      </c>
    </row>
    <row r="21" spans="1:8" x14ac:dyDescent="0.3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75102.44158396039</v>
      </c>
      <c r="F21">
        <f t="shared" si="2"/>
        <v>75102.44158396039</v>
      </c>
      <c r="G21">
        <f t="shared" si="3"/>
        <v>75102.44158396039</v>
      </c>
      <c r="H21">
        <f t="shared" si="1"/>
        <v>230606.03784600773</v>
      </c>
    </row>
    <row r="22" spans="1:8" x14ac:dyDescent="0.3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66681.39344549182</v>
      </c>
      <c r="F22">
        <f t="shared" si="2"/>
        <v>66681.39344549182</v>
      </c>
      <c r="G22">
        <f t="shared" si="3"/>
        <v>66681.39344549182</v>
      </c>
      <c r="H22">
        <f t="shared" si="1"/>
        <v>215758.44874789647</v>
      </c>
    </row>
    <row r="23" spans="1:8" x14ac:dyDescent="0.3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648116.49103494617</v>
      </c>
      <c r="F23">
        <f t="shared" si="2"/>
        <v>648116.49103494617</v>
      </c>
      <c r="G23">
        <f t="shared" si="3"/>
        <v>648116.49103494617</v>
      </c>
      <c r="H23">
        <f t="shared" si="1"/>
        <v>2228556.3906758497</v>
      </c>
    </row>
    <row r="24" spans="1:8" x14ac:dyDescent="0.3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3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3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1448961.3977756798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1370569.6587468628</v>
      </c>
      <c r="F26">
        <f t="shared" si="2"/>
        <v>-78391.739028817043</v>
      </c>
      <c r="G26">
        <f t="shared" si="3"/>
        <v>0</v>
      </c>
      <c r="H26">
        <f t="shared" si="1"/>
        <v>85394.10609931848</v>
      </c>
    </row>
    <row r="27" spans="1:8" x14ac:dyDescent="0.3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192486.94948403907</v>
      </c>
      <c r="F27">
        <f t="shared" si="2"/>
        <v>192486.94948403907</v>
      </c>
      <c r="G27">
        <f t="shared" si="3"/>
        <v>192486.94948403907</v>
      </c>
      <c r="H27">
        <f t="shared" si="1"/>
        <v>69838.419357151841</v>
      </c>
    </row>
    <row r="28" spans="1:8" x14ac:dyDescent="0.3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167353.17803041782</v>
      </c>
      <c r="F28">
        <f t="shared" si="2"/>
        <v>167353.17803041782</v>
      </c>
      <c r="G28">
        <f t="shared" si="3"/>
        <v>167353.17803041782</v>
      </c>
      <c r="H28">
        <f t="shared" si="1"/>
        <v>60719.109564821476</v>
      </c>
    </row>
    <row r="29" spans="1:8" x14ac:dyDescent="0.3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2354122.6497080862</v>
      </c>
      <c r="F29">
        <f t="shared" si="2"/>
        <v>2354122.6497080862</v>
      </c>
      <c r="G29">
        <f t="shared" si="3"/>
        <v>2354122.6497080862</v>
      </c>
      <c r="H29">
        <f t="shared" si="1"/>
        <v>629773.75936305185</v>
      </c>
    </row>
    <row r="30" spans="1:8" x14ac:dyDescent="0.3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3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3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493223.72491319838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578617.83101251686</v>
      </c>
      <c r="F32">
        <f t="shared" si="2"/>
        <v>85394.10609931848</v>
      </c>
      <c r="G32">
        <f t="shared" si="3"/>
        <v>7002.3670705014374</v>
      </c>
      <c r="H32">
        <f t="shared" si="1"/>
        <v>-78391.739028817043</v>
      </c>
    </row>
    <row r="33" spans="1:8" x14ac:dyDescent="0.3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69838.419357151841</v>
      </c>
      <c r="F33">
        <f t="shared" si="2"/>
        <v>69838.419357151841</v>
      </c>
      <c r="G33">
        <f t="shared" si="3"/>
        <v>69838.419357151841</v>
      </c>
      <c r="H33">
        <f t="shared" si="1"/>
        <v>192486.94948403907</v>
      </c>
    </row>
    <row r="34" spans="1:8" x14ac:dyDescent="0.3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60719.109564821476</v>
      </c>
      <c r="F34">
        <f t="shared" si="2"/>
        <v>60719.109564821476</v>
      </c>
      <c r="G34">
        <f t="shared" si="3"/>
        <v>60719.109564821476</v>
      </c>
      <c r="H34">
        <f t="shared" si="1"/>
        <v>167353.17803041782</v>
      </c>
    </row>
    <row r="35" spans="1:8" x14ac:dyDescent="0.3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629773.75936305185</v>
      </c>
      <c r="F35">
        <f t="shared" si="2"/>
        <v>629773.75936305185</v>
      </c>
      <c r="G35">
        <f t="shared" si="3"/>
        <v>629773.75936305185</v>
      </c>
      <c r="H35">
        <f t="shared" si="1"/>
        <v>2354122.6497080862</v>
      </c>
    </row>
    <row r="36" spans="1:8" x14ac:dyDescent="0.3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3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480"/>
  <sheetViews>
    <sheetView zoomScale="80" zoomScaleNormal="80" workbookViewId="0">
      <selection activeCell="H186" sqref="H186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2.54296875" bestFit="1" customWidth="1"/>
    <col min="11" max="11" width="4.453125" bestFit="1" customWidth="1"/>
    <col min="12" max="12" width="10.7265625" bestFit="1" customWidth="1"/>
    <col min="13" max="13" width="11.54296875" customWidth="1"/>
  </cols>
  <sheetData>
    <row r="1" spans="1:21" x14ac:dyDescent="0.3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3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661272.99652906856</v>
      </c>
      <c r="O3" s="171">
        <f>SUMIF($F$3:$F$472,"Roer",J3:J472)</f>
        <v>557517.61958207632</v>
      </c>
    </row>
    <row r="4" spans="1:21" hidden="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hidden="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hidden="1" x14ac:dyDescent="0.3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hidden="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hidden="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hidden="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hidden="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hidden="1" x14ac:dyDescent="0.3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hidden="1" x14ac:dyDescent="0.3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3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-151732.32858713943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-80839.591982193378</v>
      </c>
    </row>
    <row r="17" spans="1:10" hidden="1" x14ac:dyDescent="0.3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hidden="1" x14ac:dyDescent="0.3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3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-33381.112289170669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-177847.10236082543</v>
      </c>
    </row>
    <row r="20" spans="1:10" hidden="1" x14ac:dyDescent="0.3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3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hidden="1" x14ac:dyDescent="0.3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-849701.04008798068</v>
      </c>
    </row>
    <row r="23" spans="1:10" hidden="1" x14ac:dyDescent="0.3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11587.322438796675</v>
      </c>
    </row>
    <row r="24" spans="1:10" hidden="1" x14ac:dyDescent="0.3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6053.0788859385621</v>
      </c>
    </row>
    <row r="25" spans="1:10" hidden="1" x14ac:dyDescent="0.3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-88004.750580540858</v>
      </c>
    </row>
    <row r="26" spans="1:10" hidden="1" x14ac:dyDescent="0.3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3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3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-758661.64293569711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-404197.95991096692</v>
      </c>
    </row>
    <row r="29" spans="1:10" hidden="1" x14ac:dyDescent="0.3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13871.200210625595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73902.653163745825</v>
      </c>
    </row>
    <row r="30" spans="1:10" hidden="1" x14ac:dyDescent="0.3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3467.8000526563987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18475.663290936456</v>
      </c>
    </row>
    <row r="31" spans="1:10" hidden="1" x14ac:dyDescent="0.3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-97108.690295769222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-517373.38868603762</v>
      </c>
    </row>
    <row r="32" spans="1:10" hidden="1" x14ac:dyDescent="0.3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146693.4466718937</v>
      </c>
    </row>
    <row r="33" spans="1:10" hidden="1" x14ac:dyDescent="0.3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50778.500771040141</v>
      </c>
    </row>
    <row r="34" spans="1:10" hidden="1" x14ac:dyDescent="0.3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-30346.465717427884</v>
      </c>
    </row>
    <row r="35" spans="1:10" hidden="1" x14ac:dyDescent="0.3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6742.9445468318863</v>
      </c>
    </row>
    <row r="36" spans="1:10" hidden="1" x14ac:dyDescent="0.3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3371.4722734159436</v>
      </c>
    </row>
    <row r="37" spans="1:10" hidden="1" x14ac:dyDescent="0.3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-75866.164293569702</v>
      </c>
    </row>
    <row r="38" spans="1:10" hidden="1" x14ac:dyDescent="0.3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hidden="1" x14ac:dyDescent="0.3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hidden="1" x14ac:dyDescent="0.3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-151732.32858713943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-80839.591982193378</v>
      </c>
    </row>
    <row r="41" spans="1:10" hidden="1" x14ac:dyDescent="0.3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hidden="1" x14ac:dyDescent="0.3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hidden="1" x14ac:dyDescent="0.3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-25794.495859813698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-137427.30636972876</v>
      </c>
    </row>
    <row r="44" spans="1:10" hidden="1" x14ac:dyDescent="0.3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hidden="1" x14ac:dyDescent="0.3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hidden="1" x14ac:dyDescent="0.3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-834527.80722926685</v>
      </c>
    </row>
    <row r="47" spans="1:10" hidden="1" x14ac:dyDescent="0.3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8495.5101636011423</v>
      </c>
    </row>
    <row r="48" spans="1:10" hidden="1" x14ac:dyDescent="0.3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4633.9146346915331</v>
      </c>
    </row>
    <row r="49" spans="1:10" hidden="1" x14ac:dyDescent="0.3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-80418.134151183884</v>
      </c>
    </row>
    <row r="50" spans="1:10" hidden="1" x14ac:dyDescent="0.3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3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3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-576582.84863112983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-307190.44953233481</v>
      </c>
    </row>
    <row r="53" spans="1:10" hidden="1" x14ac:dyDescent="0.3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3522.5286044199879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18767.244777594002</v>
      </c>
    </row>
    <row r="54" spans="1:10" hidden="1" x14ac:dyDescent="0.3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12328.850115469952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65685.356721578966</v>
      </c>
    </row>
    <row r="55" spans="1:10" hidden="1" x14ac:dyDescent="0.3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-48554.345147884611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-258686.69434301881</v>
      </c>
    </row>
    <row r="56" spans="1:10" hidden="1" x14ac:dyDescent="0.3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37916.106505909578</v>
      </c>
    </row>
    <row r="57" spans="1:10" hidden="1" x14ac:dyDescent="0.3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50147.108604590088</v>
      </c>
    </row>
    <row r="58" spans="1:10" hidden="1" x14ac:dyDescent="0.3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-273118.19145685097</v>
      </c>
    </row>
    <row r="59" spans="1:10" hidden="1" x14ac:dyDescent="0.3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3134.0144201089579</v>
      </c>
    </row>
    <row r="60" spans="1:10" hidden="1" x14ac:dyDescent="0.3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1709.4624109685228</v>
      </c>
    </row>
    <row r="61" spans="1:10" hidden="1" x14ac:dyDescent="0.3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-78900.810865312495</v>
      </c>
    </row>
    <row r="62" spans="1:10" hidden="1" x14ac:dyDescent="0.3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3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3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3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hidden="1" x14ac:dyDescent="0.3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3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hidden="1" x14ac:dyDescent="0.3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hidden="1" x14ac:dyDescent="0.3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hidden="1" x14ac:dyDescent="0.3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hidden="1" x14ac:dyDescent="0.3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hidden="1" x14ac:dyDescent="0.3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hidden="1" x14ac:dyDescent="0.3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hidden="1" x14ac:dyDescent="0.3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10480734.864111645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6689339.852397711</v>
      </c>
    </row>
    <row r="75" spans="1:10" hidden="1" x14ac:dyDescent="0.3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11306124.881910803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7216145.8837897805</v>
      </c>
    </row>
    <row r="76" spans="1:10" hidden="1" x14ac:dyDescent="0.3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1449363.6331316251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925057.83587008948</v>
      </c>
    </row>
    <row r="77" spans="1:10" hidden="1" x14ac:dyDescent="0.3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118466.3199779602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75611.251087844197</v>
      </c>
    </row>
    <row r="78" spans="1:10" hidden="1" x14ac:dyDescent="0.3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-6468156074.4667482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-4128307295.3802996</v>
      </c>
    </row>
    <row r="79" spans="1:10" hidden="1" x14ac:dyDescent="0.3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-496753.66066894843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-317053.53701063234</v>
      </c>
    </row>
    <row r="80" spans="1:10" hidden="1" x14ac:dyDescent="0.3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847010.29149951425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540605.19341254723</v>
      </c>
    </row>
    <row r="81" spans="1:10" hidden="1" x14ac:dyDescent="0.3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234376.87039160129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257796.39706926318</v>
      </c>
    </row>
    <row r="82" spans="1:10" hidden="1" x14ac:dyDescent="0.3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3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254045.98972317015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279430.90429999697</v>
      </c>
    </row>
    <row r="84" spans="1:10" hidden="1" x14ac:dyDescent="0.3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7769.7636768875936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8546.1380153876689</v>
      </c>
    </row>
    <row r="85" spans="1:10" hidden="1" x14ac:dyDescent="0.3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-424222210.44075108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-466611561.22470069</v>
      </c>
    </row>
    <row r="86" spans="1:10" hidden="1" x14ac:dyDescent="0.3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-28637.862991049802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-31499.430325699868</v>
      </c>
    </row>
    <row r="87" spans="1:10" hidden="1" x14ac:dyDescent="0.3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61107.467319605974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67213.479225579227</v>
      </c>
    </row>
    <row r="88" spans="1:10" hidden="1" x14ac:dyDescent="0.3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320710.24991141836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190759.94461987106</v>
      </c>
    </row>
    <row r="89" spans="1:10" hidden="1" x14ac:dyDescent="0.3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9306493.1916532889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5535545.3289545197</v>
      </c>
    </row>
    <row r="90" spans="1:10" hidden="1" x14ac:dyDescent="0.3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182381.20793873124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108481.18866081457</v>
      </c>
    </row>
    <row r="91" spans="1:10" hidden="1" x14ac:dyDescent="0.3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3483702.3515116847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2072122.3217219769</v>
      </c>
    </row>
    <row r="92" spans="1:10" hidden="1" x14ac:dyDescent="0.3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39686.364587318778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23605.633786048213</v>
      </c>
    </row>
    <row r="93" spans="1:10" hidden="1" x14ac:dyDescent="0.3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-2414589993.7588573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-1436209331.0592856</v>
      </c>
    </row>
    <row r="94" spans="1:10" hidden="1" x14ac:dyDescent="0.3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-10099.220944102173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-6007.063474063857</v>
      </c>
    </row>
    <row r="95" spans="1:10" hidden="1" x14ac:dyDescent="0.3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2611702.7463139286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1553452.9108066163</v>
      </c>
    </row>
    <row r="96" spans="1:10" hidden="1" x14ac:dyDescent="0.3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19991.394030461786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15399.363687067749</v>
      </c>
    </row>
    <row r="97" spans="1:10" hidden="1" x14ac:dyDescent="0.3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1080304.1774153388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832157.92232039175</v>
      </c>
    </row>
    <row r="98" spans="1:10" hidden="1" x14ac:dyDescent="0.3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8919.2373366675656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6870.4853373071492</v>
      </c>
    </row>
    <row r="99" spans="1:10" hidden="1" x14ac:dyDescent="0.3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412642.87678260863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317858.66072024452</v>
      </c>
    </row>
    <row r="100" spans="1:10" hidden="1" x14ac:dyDescent="0.3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8247.3986537220499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6352.9682396023018</v>
      </c>
    </row>
    <row r="101" spans="1:10" hidden="1" x14ac:dyDescent="0.3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-501786607.84114248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-386526044.94071406</v>
      </c>
    </row>
    <row r="102" spans="1:10" hidden="1" x14ac:dyDescent="0.3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-2530.0165101234074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-1948.8708148271296</v>
      </c>
    </row>
    <row r="103" spans="1:10" hidden="1" x14ac:dyDescent="0.3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453873.49996140599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349618.59504034655</v>
      </c>
    </row>
    <row r="104" spans="1:10" hidden="1" x14ac:dyDescent="0.3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hidden="1" x14ac:dyDescent="0.3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hidden="1" x14ac:dyDescent="0.3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hidden="1" x14ac:dyDescent="0.3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hidden="1" x14ac:dyDescent="0.3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hidden="1" x14ac:dyDescent="0.3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hidden="1" x14ac:dyDescent="0.3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hidden="1" x14ac:dyDescent="0.3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hidden="1" x14ac:dyDescent="0.3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hidden="1" x14ac:dyDescent="0.3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hidden="1" x14ac:dyDescent="0.3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hidden="1" x14ac:dyDescent="0.3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hidden="1" x14ac:dyDescent="0.3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hidden="1" x14ac:dyDescent="0.3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hidden="1" x14ac:dyDescent="0.3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hidden="1" x14ac:dyDescent="0.3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hidden="1" x14ac:dyDescent="0.3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4169859.7009844324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3432833.9542255346</v>
      </c>
    </row>
    <row r="121" spans="1:10" hidden="1" x14ac:dyDescent="0.3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1262238.3143371718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1039136.7706587556</v>
      </c>
    </row>
    <row r="122" spans="1:10" hidden="1" x14ac:dyDescent="0.3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-88782755.998561382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-73090339.051366583</v>
      </c>
    </row>
    <row r="123" spans="1:10" hidden="1" x14ac:dyDescent="0.3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1261655.3265235312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1038656.8263668426</v>
      </c>
    </row>
    <row r="124" spans="1:10" hidden="1" x14ac:dyDescent="0.3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162215.93605101015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3.9301585400745376</v>
      </c>
    </row>
    <row r="125" spans="1:10" hidden="1" x14ac:dyDescent="0.3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49103.611239321639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1.1896795207595032</v>
      </c>
    </row>
    <row r="126" spans="1:10" hidden="1" x14ac:dyDescent="0.3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-2338529.3227416016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-56.657756400071008</v>
      </c>
    </row>
    <row r="127" spans="1:10" hidden="1" x14ac:dyDescent="0.3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287669.58614374197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6.9696424915182984</v>
      </c>
    </row>
    <row r="128" spans="1:10" hidden="1" x14ac:dyDescent="0.3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3.1219568255939545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2.9775888799017491</v>
      </c>
    </row>
    <row r="129" spans="1:10" hidden="1" x14ac:dyDescent="0.3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0.94503263983697594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0.90133170851503508</v>
      </c>
    </row>
    <row r="130" spans="1:10" hidden="1" x14ac:dyDescent="0.3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-29.674680641973879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-28.302441074714974</v>
      </c>
    </row>
    <row r="131" spans="1:10" hidden="1" x14ac:dyDescent="0.3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12.152284521028513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11.590329167454941</v>
      </c>
    </row>
    <row r="132" spans="1:10" hidden="1" x14ac:dyDescent="0.3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436027.52595842996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487878.52258538653</v>
      </c>
    </row>
    <row r="133" spans="1:10" hidden="1" x14ac:dyDescent="0.3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131987.80986334936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147683.37740574434</v>
      </c>
    </row>
    <row r="134" spans="1:10" hidden="1" x14ac:dyDescent="0.3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-9283699.7457455229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-10387687.580330584</v>
      </c>
    </row>
    <row r="135" spans="1:10" hidden="1" x14ac:dyDescent="0.3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196905.74460193841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220321.14498690597</v>
      </c>
    </row>
    <row r="136" spans="1:10" hidden="1" x14ac:dyDescent="0.3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16962.34845758829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0.55855889554392679</v>
      </c>
    </row>
    <row r="137" spans="1:10" hidden="1" x14ac:dyDescent="0.3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5134.5914873949623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0.16907869552612334</v>
      </c>
    </row>
    <row r="138" spans="1:10" hidden="1" x14ac:dyDescent="0.3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-244531.76559766231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-8.0522690156464574</v>
      </c>
    </row>
    <row r="139" spans="1:10" hidden="1" x14ac:dyDescent="0.3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44896.409398156262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1.4784090133523664</v>
      </c>
    </row>
    <row r="140" spans="1:10" hidden="1" x14ac:dyDescent="0.3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0.32645201719650091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0.42317854081027884</v>
      </c>
    </row>
    <row r="141" spans="1:10" hidden="1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9.881873095173932E-2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0.12809835493743982</v>
      </c>
    </row>
    <row r="142" spans="1:10" hidden="1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-3.1029767214642057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-4.0223772315276731</v>
      </c>
    </row>
    <row r="143" spans="1:10" hidden="1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1.8965993183108087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2.4585546718843809</v>
      </c>
    </row>
    <row r="144" spans="1:10" hidden="1" x14ac:dyDescent="0.3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306261.24957011861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251875.31548325007</v>
      </c>
    </row>
    <row r="145" spans="1:10" hidden="1" x14ac:dyDescent="0.3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-2774461.1249550427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-2284073.0953552057</v>
      </c>
    </row>
    <row r="146" spans="1:10" hidden="1" x14ac:dyDescent="0.3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31541.383163088278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25966.420659171064</v>
      </c>
    </row>
    <row r="147" spans="1:10" hidden="1" x14ac:dyDescent="0.3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1888.0961158619691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4.5698595731031147E-2</v>
      </c>
    </row>
    <row r="148" spans="1:10" hidden="1" x14ac:dyDescent="0.3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-13897.416146524663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-0.3367058137620848</v>
      </c>
    </row>
    <row r="149" spans="1:10" hidden="1" x14ac:dyDescent="0.3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1139.7088795537434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2.761280238686533E-2</v>
      </c>
    </row>
    <row r="150" spans="1:10" hidden="1" x14ac:dyDescent="0.3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1.8332408655934041E-2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1.7467050422033281E-2</v>
      </c>
    </row>
    <row r="151" spans="1:10" hidden="1" x14ac:dyDescent="0.3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-0.11269423328091767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-0.10748293925636654</v>
      </c>
    </row>
    <row r="152" spans="1:10" hidden="1" x14ac:dyDescent="0.3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2.4289577885780251E-2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2.3166360411293298E-2</v>
      </c>
    </row>
    <row r="153" spans="1:10" hidden="1" x14ac:dyDescent="0.3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27244.859138058528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30454.015417520233</v>
      </c>
    </row>
    <row r="154" spans="1:10" hidden="1" x14ac:dyDescent="0.3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-246814.77868819714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-276165.20152931119</v>
      </c>
    </row>
    <row r="155" spans="1:10" hidden="1" x14ac:dyDescent="0.3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4922.6436150484597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5508.02862467265</v>
      </c>
    </row>
    <row r="156" spans="1:10" hidden="1" x14ac:dyDescent="0.3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167.96415735905032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5.5253756656610392E-3</v>
      </c>
    </row>
    <row r="157" spans="1:10" hidden="1" x14ac:dyDescent="0.3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-1236.3077138440149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-4.0710793845779338E-2</v>
      </c>
    </row>
    <row r="158" spans="1:10" hidden="1" x14ac:dyDescent="0.3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177.8736401615669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5.857261112365373E-3</v>
      </c>
    </row>
    <row r="159" spans="1:10" hidden="1" x14ac:dyDescent="0.3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1.630842596617485E-3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2.1119251873912967E-3</v>
      </c>
    </row>
    <row r="160" spans="1:10" hidden="1" x14ac:dyDescent="0.3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-1.002522687973019E-2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-1.2995664473724317E-2</v>
      </c>
    </row>
    <row r="161" spans="1:10" hidden="1" x14ac:dyDescent="0.3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3.7908589763934494E-3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4.9140764508803962E-3</v>
      </c>
    </row>
    <row r="162" spans="1:10" hidden="1" x14ac:dyDescent="0.3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39636.607731223732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36792.567308961487</v>
      </c>
    </row>
    <row r="163" spans="1:10" hidden="1" x14ac:dyDescent="0.3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-29281507.539173745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-23982772.315261599</v>
      </c>
    </row>
    <row r="164" spans="1:10" hidden="1" x14ac:dyDescent="0.3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6340.6855965049899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5193.2851742758603</v>
      </c>
    </row>
    <row r="165" spans="1:10" hidden="1" x14ac:dyDescent="0.3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3526.0542947025051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4448.555865538071</v>
      </c>
    </row>
    <row r="166" spans="1:10" hidden="1" x14ac:dyDescent="0.3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-2604869.370103376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-2899735.1981179933</v>
      </c>
    </row>
    <row r="167" spans="1:10" hidden="1" x14ac:dyDescent="0.3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989.58676939673285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1101.6059460585159</v>
      </c>
    </row>
    <row r="168" spans="1:10" hidden="1" x14ac:dyDescent="0.3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1578973.7176200494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1299888.9601480295</v>
      </c>
    </row>
    <row r="169" spans="1:10" hidden="1" x14ac:dyDescent="0.3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-5202114.609290706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-4282637.0537910108</v>
      </c>
    </row>
    <row r="170" spans="1:10" hidden="1" x14ac:dyDescent="0.3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78853.457907720702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64916.051647927663</v>
      </c>
    </row>
    <row r="171" spans="1:10" hidden="1" x14ac:dyDescent="0.3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61472.06133240278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1.4893416313028394</v>
      </c>
    </row>
    <row r="172" spans="1:10" hidden="1" x14ac:dyDescent="0.3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-135017.95702359162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-3.271207439772259</v>
      </c>
    </row>
    <row r="173" spans="1:10" hidden="1" x14ac:dyDescent="0.3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17993.049190363032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0.43593457991235474</v>
      </c>
    </row>
    <row r="174" spans="1:10" hidden="1" x14ac:dyDescent="0.3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2.0010902324434707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1.9085542679374146</v>
      </c>
    </row>
    <row r="175" spans="1:10" hidden="1" x14ac:dyDescent="0.3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-2.8254973331828976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-2.6948384969663475</v>
      </c>
    </row>
    <row r="176" spans="1:10" hidden="1" x14ac:dyDescent="0.3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1.2856544802739025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1.2262022499722192</v>
      </c>
    </row>
    <row r="177" spans="1:10" hidden="1" x14ac:dyDescent="0.3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140464.77175822289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157168.39245426172</v>
      </c>
    </row>
    <row r="178" spans="1:10" hidden="1" x14ac:dyDescent="0.3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-462777.71004036965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-517809.75286745845</v>
      </c>
    </row>
    <row r="179" spans="1:10" hidden="1" x14ac:dyDescent="0.3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12306.60903762115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13770.071561681623</v>
      </c>
    </row>
    <row r="180" spans="1:10" hidden="1" x14ac:dyDescent="0.3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5468.5261497438078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0.18007494269388874</v>
      </c>
    </row>
    <row r="181" spans="1:10" hidden="1" x14ac:dyDescent="0.3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-12011.135020769218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-0.39551871771791858</v>
      </c>
    </row>
    <row r="182" spans="1:10" hidden="1" x14ac:dyDescent="0.3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2808.1637464728433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9.2470971496560098E-2</v>
      </c>
    </row>
    <row r="183" spans="1:10" hidden="1" x14ac:dyDescent="0.3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0.17801606171852613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0.23076156148697827</v>
      </c>
    </row>
    <row r="184" spans="1:10" hidden="1" x14ac:dyDescent="0.3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-0.25135493617158844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-0.32583047281502198</v>
      </c>
    </row>
    <row r="185" spans="1:10" hidden="1" x14ac:dyDescent="0.3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0.20065127726818136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0.26010350756986467</v>
      </c>
    </row>
    <row r="186" spans="1:10" x14ac:dyDescent="0.3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4796379.6339461794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3948616.0315847415</v>
      </c>
    </row>
    <row r="187" spans="1:10" hidden="1" x14ac:dyDescent="0.3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-13976347.916961029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-11506018.217851849</v>
      </c>
    </row>
    <row r="188" spans="1:10" hidden="1" x14ac:dyDescent="0.3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205018.99056007381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168781.73428461191</v>
      </c>
    </row>
    <row r="189" spans="1:10" x14ac:dyDescent="0.3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972660.7244525596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23.565569116466033</v>
      </c>
    </row>
    <row r="190" spans="1:10" hidden="1" x14ac:dyDescent="0.3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-1980942.8237132172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-47.994170890631111</v>
      </c>
    </row>
    <row r="191" spans="1:10" hidden="1" x14ac:dyDescent="0.3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243681.78612527228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5.9039085561833859</v>
      </c>
    </row>
    <row r="192" spans="1:10" x14ac:dyDescent="0.3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38.001851974654684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36.244540900682203</v>
      </c>
    </row>
    <row r="193" spans="1:10" hidden="1" x14ac:dyDescent="0.3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-53.581452210288894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-51.103697194784196</v>
      </c>
    </row>
    <row r="194" spans="1:10" hidden="1" x14ac:dyDescent="0.3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20.897630996969323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19.931266557803106</v>
      </c>
    </row>
    <row r="195" spans="1:10" x14ac:dyDescent="0.3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583882.97740408429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653316.47068038466</v>
      </c>
    </row>
    <row r="196" spans="1:10" hidden="1" x14ac:dyDescent="0.3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-1701398.1915098226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-1903723.014226397</v>
      </c>
    </row>
    <row r="197" spans="1:10" hidden="1" x14ac:dyDescent="0.3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31997.183497814993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35802.186060372223</v>
      </c>
    </row>
    <row r="198" spans="1:10" x14ac:dyDescent="0.3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118405.98183220177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3.8990305265425622</v>
      </c>
    </row>
    <row r="199" spans="1:10" hidden="1" x14ac:dyDescent="0.3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-241148.29981156276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-7.9408537291771486</v>
      </c>
    </row>
    <row r="200" spans="1:10" hidden="1" x14ac:dyDescent="0.3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38031.261418395094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1.2523442391904154</v>
      </c>
    </row>
    <row r="201" spans="1:10" x14ac:dyDescent="0.3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4.6261214022325303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5.9968240399310559</v>
      </c>
    </row>
    <row r="202" spans="1:10" hidden="1" x14ac:dyDescent="0.3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-6.5226900783160939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-8.45533899040975</v>
      </c>
    </row>
    <row r="203" spans="1:10" hidden="1" x14ac:dyDescent="0.3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3.2614799821859632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4.2278444213521738</v>
      </c>
    </row>
    <row r="204" spans="1:10" hidden="1" x14ac:dyDescent="0.3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516622.41801782884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425309.02842294966</v>
      </c>
    </row>
    <row r="205" spans="1:10" hidden="1" x14ac:dyDescent="0.3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142241.21167725138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117099.97365632544</v>
      </c>
    </row>
    <row r="206" spans="1:10" hidden="1" x14ac:dyDescent="0.3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3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283872.44846779451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233697.78593253958</v>
      </c>
    </row>
    <row r="208" spans="1:10" hidden="1" x14ac:dyDescent="0.3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7657.134218172675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0.18551661552281196</v>
      </c>
    </row>
    <row r="209" spans="1:10" hidden="1" x14ac:dyDescent="0.3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2108.2322624463363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5.1078132225607163E-2</v>
      </c>
    </row>
    <row r="210" spans="1:10" hidden="1" x14ac:dyDescent="0.3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3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24660.245998761078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0.5974670477621441</v>
      </c>
    </row>
    <row r="212" spans="1:10" hidden="1" x14ac:dyDescent="0.3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9.8983310389589116E-2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9.440604748140001E-2</v>
      </c>
    </row>
    <row r="213" spans="1:10" hidden="1" x14ac:dyDescent="0.3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2.7252990800632919E-2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2.5992736890777055E-2</v>
      </c>
    </row>
    <row r="214" spans="1:10" hidden="1" x14ac:dyDescent="0.3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3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0.69971909188267134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0.66736213965688296</v>
      </c>
    </row>
    <row r="216" spans="1:10" hidden="1" x14ac:dyDescent="0.3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45958.491406325928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51423.727982047552</v>
      </c>
    </row>
    <row r="217" spans="1:10" hidden="1" x14ac:dyDescent="0.3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12653.712414525427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14158.4513602648</v>
      </c>
    </row>
    <row r="218" spans="1:10" hidden="1" x14ac:dyDescent="0.3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hidden="1" x14ac:dyDescent="0.3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44303.792535436143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49572.257622053847</v>
      </c>
    </row>
    <row r="220" spans="1:10" hidden="1" x14ac:dyDescent="0.3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681.17511917732634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2.2430645331394539E-2</v>
      </c>
    </row>
    <row r="221" spans="1:10" hidden="1" x14ac:dyDescent="0.3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187.54736716213358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6.1758105327325017E-3</v>
      </c>
    </row>
    <row r="222" spans="1:10" hidden="1" x14ac:dyDescent="0.3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3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3848.7089131014404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0.12673543437378815</v>
      </c>
    </row>
    <row r="224" spans="1:10" hidden="1" x14ac:dyDescent="0.3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8.8055095196287649E-3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1.1414549377296546E-2</v>
      </c>
    </row>
    <row r="225" spans="1:10" hidden="1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2.4244134590852054E-3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3.1427581877030444E-3</v>
      </c>
    </row>
    <row r="226" spans="1:10" hidden="1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hidden="1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0.1092047137620354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0.14156166598782366</v>
      </c>
    </row>
    <row r="228" spans="1:10" hidden="1" x14ac:dyDescent="0.3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604166.65457021014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497379.75724454958</v>
      </c>
    </row>
    <row r="229" spans="1:10" hidden="1" x14ac:dyDescent="0.3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-936380.62967232696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-770874.66968238191</v>
      </c>
    </row>
    <row r="230" spans="1:10" hidden="1" x14ac:dyDescent="0.3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15770.691581544139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12983.210329585532</v>
      </c>
    </row>
    <row r="231" spans="1:10" hidden="1" x14ac:dyDescent="0.3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3085.4320588884757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7.4753673721964703E-2</v>
      </c>
    </row>
    <row r="232" spans="1:10" hidden="1" x14ac:dyDescent="0.3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-3099.4593262392268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-7.509352556337151E-2</v>
      </c>
    </row>
    <row r="233" spans="1:10" hidden="1" x14ac:dyDescent="0.3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472.05339285400112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1.1436882950346606E-2</v>
      </c>
    </row>
    <row r="234" spans="1:10" hidden="1" x14ac:dyDescent="0.3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4.1400673880798877E-2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3.9486191851628986E-2</v>
      </c>
    </row>
    <row r="235" spans="1:10" hidden="1" x14ac:dyDescent="0.3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-2.546258775273496E-2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-2.4285127047406173E-2</v>
      </c>
    </row>
    <row r="236" spans="1:10" hidden="1" x14ac:dyDescent="0.3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1.390314815273707E-2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1.3260228006945761E-2</v>
      </c>
    </row>
    <row r="237" spans="1:10" hidden="1" x14ac:dyDescent="0.3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53746.386207141812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60137.734285022809</v>
      </c>
    </row>
    <row r="238" spans="1:10" hidden="1" x14ac:dyDescent="0.3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-83299.987807266531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-93205.755516142526</v>
      </c>
    </row>
    <row r="239" spans="1:10" hidden="1" x14ac:dyDescent="0.3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2461.3218075242298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2754.014312336325</v>
      </c>
    </row>
    <row r="240" spans="1:10" hidden="1" x14ac:dyDescent="0.3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274.47860916932729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9.0383987318375502E-3</v>
      </c>
    </row>
    <row r="241" spans="1:10" hidden="1" x14ac:dyDescent="0.3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-275.72646838625258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-9.0794899090258282E-3</v>
      </c>
    </row>
    <row r="242" spans="1:10" hidden="1" x14ac:dyDescent="0.3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73.673072873167797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2.4260054743159469E-3</v>
      </c>
    </row>
    <row r="243" spans="1:10" hidden="1" x14ac:dyDescent="0.3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3.6829848036155767E-3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4.7742395602424137E-3</v>
      </c>
    </row>
    <row r="244" spans="1:10" hidden="1" x14ac:dyDescent="0.3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-2.2651400318762483E-3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-2.9362926339136551E-3</v>
      </c>
    </row>
    <row r="245" spans="1:10" hidden="1" x14ac:dyDescent="0.3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2.1698554920456699E-3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2.8127756378369794E-3</v>
      </c>
    </row>
    <row r="246" spans="1:10" hidden="1" x14ac:dyDescent="0.3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63127.868868327081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51969.971953236076</v>
      </c>
    </row>
    <row r="247" spans="1:10" hidden="1" x14ac:dyDescent="0.3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-971061.393734265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-799425.58337432204</v>
      </c>
    </row>
    <row r="248" spans="1:10" hidden="1" x14ac:dyDescent="0.3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13634.356515328755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11224.474046162024</v>
      </c>
    </row>
    <row r="249" spans="1:10" hidden="1" x14ac:dyDescent="0.3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708.95734169055743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1.7176578447369726E-2</v>
      </c>
    </row>
    <row r="250" spans="1:10" hidden="1" x14ac:dyDescent="0.3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-9087.9183877320957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-0.22018157360207954</v>
      </c>
    </row>
    <row r="251" spans="1:10" hidden="1" x14ac:dyDescent="0.3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692.09005919036315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1.6767918879266978E-2</v>
      </c>
    </row>
    <row r="252" spans="1:10" hidden="1" x14ac:dyDescent="0.3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1.5416362042146159E-2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1.4703466687596051E-2</v>
      </c>
    </row>
    <row r="253" spans="1:10" hidden="1" x14ac:dyDescent="0.3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-0.1693867460636983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-0.16155383295092615</v>
      </c>
    </row>
    <row r="254" spans="1:10" hidden="1" x14ac:dyDescent="0.3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3.4484351901502862E-2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3.2889699790450713E-2</v>
      </c>
    </row>
    <row r="255" spans="1:10" hidden="1" x14ac:dyDescent="0.3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5615.8260224482874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6283.6420634367241</v>
      </c>
    </row>
    <row r="256" spans="1:10" hidden="1" x14ac:dyDescent="0.3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-86385.172540869011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-96657.820535258928</v>
      </c>
    </row>
    <row r="257" spans="1:10" hidden="1" x14ac:dyDescent="0.3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2127.905352103332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2380.9490400949744</v>
      </c>
    </row>
    <row r="258" spans="1:10" hidden="1" x14ac:dyDescent="0.3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63.068517275246698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2.076804485000157E-3</v>
      </c>
    </row>
    <row r="259" spans="1:10" hidden="1" x14ac:dyDescent="0.3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-808.4570172670343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-2.6621953899160521E-2</v>
      </c>
    </row>
    <row r="260" spans="1:10" hidden="1" x14ac:dyDescent="0.3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108.0140554805769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3.5568312774202676E-3</v>
      </c>
    </row>
    <row r="261" spans="1:10" hidden="1" x14ac:dyDescent="0.3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1.3714324383157768E-3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1.7777827904093401E-3</v>
      </c>
    </row>
    <row r="262" spans="1:10" hidden="1" x14ac:dyDescent="0.3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-1.5068566600695473E-2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-1.9533327074975612E-2</v>
      </c>
    </row>
    <row r="263" spans="1:10" hidden="1" x14ac:dyDescent="0.3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5.381950874801025E-3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6.9766029858531805E-3</v>
      </c>
    </row>
    <row r="264" spans="1:10" hidden="1" x14ac:dyDescent="0.3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1107747.0050605813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911951.91309814411</v>
      </c>
    </row>
    <row r="265" spans="1:10" hidden="1" x14ac:dyDescent="0.3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-4927558.5604670299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-4056608.9870631522</v>
      </c>
    </row>
    <row r="266" spans="1:10" hidden="1" x14ac:dyDescent="0.3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78853.457907720702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64916.051647927663</v>
      </c>
    </row>
    <row r="267" spans="1:10" hidden="1" x14ac:dyDescent="0.3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44004.466038950108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1.0661377187381633</v>
      </c>
    </row>
    <row r="268" spans="1:10" hidden="1" x14ac:dyDescent="0.3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-143507.16828434472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-3.4768835709043713</v>
      </c>
    </row>
    <row r="269" spans="1:10" hidden="1" x14ac:dyDescent="0.3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18359.382197972347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0.44481007533787331</v>
      </c>
    </row>
    <row r="270" spans="1:10" hidden="1" x14ac:dyDescent="0.3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0.956882367999908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0.91263347236985437</v>
      </c>
    </row>
    <row r="271" spans="1:10" hidden="1" x14ac:dyDescent="0.3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-2.3092295763705035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-2.2024443936481677</v>
      </c>
    </row>
    <row r="272" spans="1:10" hidden="1" x14ac:dyDescent="0.3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0.87629526334408736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0.83577293902759764</v>
      </c>
    </row>
    <row r="273" spans="1:10" hidden="1" x14ac:dyDescent="0.3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98544.661317238992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110263.27676550287</v>
      </c>
    </row>
    <row r="274" spans="1:10" hidden="1" x14ac:dyDescent="0.3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-438353.33089935023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-490480.9047994538</v>
      </c>
    </row>
    <row r="275" spans="1:10" hidden="1" x14ac:dyDescent="0.3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12306.60903762115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13770.071561681623</v>
      </c>
    </row>
    <row r="276" spans="1:10" hidden="1" x14ac:dyDescent="0.3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3914.6169499389716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0.12890574235652336</v>
      </c>
    </row>
    <row r="277" spans="1:10" hidden="1" x14ac:dyDescent="0.3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-12766.331328878992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-0.42038683175480124</v>
      </c>
    </row>
    <row r="278" spans="1:10" hidden="1" x14ac:dyDescent="0.3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2865.3371060419277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9.4353652344397368E-2</v>
      </c>
    </row>
    <row r="279" spans="1:10" hidden="1" x14ac:dyDescent="0.3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8.5123812968315504E-2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0.11034568347744603</v>
      </c>
    </row>
    <row r="280" spans="1:10" hidden="1" x14ac:dyDescent="0.3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-0.20542799526209277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-0.26629554941382388</v>
      </c>
    </row>
    <row r="281" spans="1:10" hidden="1" x14ac:dyDescent="0.3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0.13676284456815238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0.17728516888464194</v>
      </c>
    </row>
    <row r="282" spans="1:10" hidden="1" x14ac:dyDescent="0.3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3309565.8932028729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2724597.7051101746</v>
      </c>
    </row>
    <row r="283" spans="1:10" hidden="1" x14ac:dyDescent="0.3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-11097844.499820173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-9136292.3814208228</v>
      </c>
    </row>
    <row r="284" spans="1:10" hidden="1" x14ac:dyDescent="0.3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157706.9158154414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129832.10329585533</v>
      </c>
    </row>
    <row r="285" spans="1:10" hidden="1" x14ac:dyDescent="0.3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218175.48732189485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5.2859433888383958</v>
      </c>
    </row>
    <row r="286" spans="1:10" hidden="1" x14ac:dyDescent="0.3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-495354.00801273214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-12.001408938880065</v>
      </c>
    </row>
    <row r="287" spans="1:10" hidden="1" x14ac:dyDescent="0.3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60934.999229604276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1.4763297209982922</v>
      </c>
    </row>
    <row r="288" spans="1:10" hidden="1" x14ac:dyDescent="0.3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2.820341313820756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2.6899209062452294</v>
      </c>
    </row>
    <row r="289" spans="1:10" hidden="1" x14ac:dyDescent="0.3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-4.2220294070089235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-4.0267910529275861</v>
      </c>
    </row>
    <row r="290" spans="1:10" hidden="1" x14ac:dyDescent="0.3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1.7289925788636529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1.6490391648121545</v>
      </c>
    </row>
    <row r="291" spans="1:10" hidden="1" x14ac:dyDescent="0.3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428713.13102125074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479694.32323303365</v>
      </c>
    </row>
    <row r="292" spans="1:10" hidden="1" x14ac:dyDescent="0.3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-1437587.8337628327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-1608541.1738198476</v>
      </c>
    </row>
    <row r="293" spans="1:10" hidden="1" x14ac:dyDescent="0.3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24613.218075242301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27540.143123363247</v>
      </c>
    </row>
    <row r="294" spans="1:10" hidden="1" x14ac:dyDescent="0.3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28261.922953084759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0.93064639664094173</v>
      </c>
    </row>
    <row r="295" spans="1:10" hidden="1" x14ac:dyDescent="0.3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-64166.955604423863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-2.1129753313603992</v>
      </c>
    </row>
    <row r="296" spans="1:10" hidden="1" x14ac:dyDescent="0.3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9510.0865849671427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0.31316084990872861</v>
      </c>
    </row>
    <row r="297" spans="1:10" hidden="1" x14ac:dyDescent="0.3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0.36534016672094299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0.47358910500862972</v>
      </c>
    </row>
    <row r="298" spans="1:10" hidden="1" x14ac:dyDescent="0.3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-0.5469114393703467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-0.70895927325785679</v>
      </c>
    </row>
    <row r="299" spans="1:10" hidden="1" x14ac:dyDescent="0.3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0.26984277242380711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0.34979618647530547</v>
      </c>
    </row>
    <row r="300" spans="1:10" hidden="1" x14ac:dyDescent="0.3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654328.91170939757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538675.79880857188</v>
      </c>
    </row>
    <row r="301" spans="1:10" hidden="1" x14ac:dyDescent="0.3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324112.54861724813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266825.4189993951</v>
      </c>
    </row>
    <row r="302" spans="1:10" hidden="1" x14ac:dyDescent="0.3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-24276534.843356628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-19985639.584358051</v>
      </c>
    </row>
    <row r="303" spans="1:10" hidden="1" x14ac:dyDescent="0.3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315413.83163088281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259664.20659171065</v>
      </c>
    </row>
    <row r="304" spans="1:10" hidden="1" x14ac:dyDescent="0.3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9346.1575671998344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0.22643817786226661</v>
      </c>
    </row>
    <row r="305" spans="1:10" hidden="1" x14ac:dyDescent="0.3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4629.4866307678276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0.1121629407134921</v>
      </c>
    </row>
    <row r="306" spans="1:10" hidden="1" x14ac:dyDescent="0.3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-239426.596994427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-5.8008140741655101</v>
      </c>
    </row>
    <row r="307" spans="1:10" hidden="1" x14ac:dyDescent="0.3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26405.772155737857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0.63975755694250325</v>
      </c>
    </row>
    <row r="308" spans="1:10" hidden="1" x14ac:dyDescent="0.3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0.14611066864294522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0.13935410593113273</v>
      </c>
    </row>
    <row r="309" spans="1:10" hidden="1" x14ac:dyDescent="0.3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7.2373847993846926E-2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6.9027080456559198E-2</v>
      </c>
    </row>
    <row r="310" spans="1:10" hidden="1" x14ac:dyDescent="0.3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-2.544510638862107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-2.4268454070072116</v>
      </c>
    </row>
    <row r="311" spans="1:10" hidden="1" x14ac:dyDescent="0.3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0.90610453910866218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0.86420375117300141</v>
      </c>
    </row>
    <row r="312" spans="1:10" hidden="1" x14ac:dyDescent="0.3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56166.383461760423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62845.50986100005</v>
      </c>
    </row>
    <row r="313" spans="1:10" hidden="1" x14ac:dyDescent="0.3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27821.221658763781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31129.632216596096</v>
      </c>
    </row>
    <row r="314" spans="1:10" hidden="1" x14ac:dyDescent="0.3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-2083852.8463806126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-2331657.9515084396</v>
      </c>
    </row>
    <row r="315" spans="1:10" hidden="1" x14ac:dyDescent="0.3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49226.436150484602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55080.286246726493</v>
      </c>
    </row>
    <row r="316" spans="1:10" hidden="1" x14ac:dyDescent="0.3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802.25687787813627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2.641778741726444E-2</v>
      </c>
    </row>
    <row r="317" spans="1:10" hidden="1" x14ac:dyDescent="0.3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397.38656917284544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1.3085676416574078E-2</v>
      </c>
    </row>
    <row r="318" spans="1:10" hidden="1" x14ac:dyDescent="0.3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-20551.936215995614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-0.6767616419859761</v>
      </c>
    </row>
    <row r="319" spans="1:10" hidden="1" x14ac:dyDescent="0.3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4121.1320705486833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0.13570614844234916</v>
      </c>
    </row>
    <row r="320" spans="1:10" hidden="1" x14ac:dyDescent="0.3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1.2541869533801946E-2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1.6257979025298817E-2</v>
      </c>
    </row>
    <row r="321" spans="1:10" hidden="1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6.2124372410903286E-3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8.0531593865985733E-3</v>
      </c>
    </row>
    <row r="322" spans="1:10" hidden="1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-0.2184160866306491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-0.28313196415084135</v>
      </c>
    </row>
    <row r="323" spans="1:10" hidden="1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0.14141515928285478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0.18331594721851543</v>
      </c>
    </row>
    <row r="324" spans="1:10" hidden="1" x14ac:dyDescent="0.3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858364.9078720425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706648.28367323068</v>
      </c>
    </row>
    <row r="325" spans="1:10" hidden="1" x14ac:dyDescent="0.3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132248.74752289176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108873.68483721504</v>
      </c>
    </row>
    <row r="326" spans="1:10" hidden="1" x14ac:dyDescent="0.3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-8405640.7323871888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-6919937.595585702</v>
      </c>
    </row>
    <row r="327" spans="1:10" hidden="1" x14ac:dyDescent="0.3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127412.38658890074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104892.15422956061</v>
      </c>
    </row>
    <row r="328" spans="1:10" hidden="1" x14ac:dyDescent="0.3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52087.589925103726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1.2619751878858152</v>
      </c>
    </row>
    <row r="329" spans="1:10" hidden="1" x14ac:dyDescent="0.3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8025.1632678672413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0.1944332025602149</v>
      </c>
    </row>
    <row r="330" spans="1:10" hidden="1" x14ac:dyDescent="0.3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-382555.45238773926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-9.2685319017051615</v>
      </c>
    </row>
    <row r="331" spans="1:10" hidden="1" x14ac:dyDescent="0.3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45316.369431110084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1.0979224400545016</v>
      </c>
    </row>
    <row r="332" spans="1:10" hidden="1" x14ac:dyDescent="0.3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1.4600023513380349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1.3924877917385883</v>
      </c>
    </row>
    <row r="333" spans="1:10" hidden="1" x14ac:dyDescent="0.3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0.22494335517932812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0.21454135031554414</v>
      </c>
    </row>
    <row r="334" spans="1:10" hidden="1" x14ac:dyDescent="0.3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-8.1698555149877059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-7.7920587281674631</v>
      </c>
    </row>
    <row r="335" spans="1:10" hidden="1" x14ac:dyDescent="0.3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2.7880785506357664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2.6591500627450948</v>
      </c>
    </row>
    <row r="336" spans="1:10" hidden="1" x14ac:dyDescent="0.3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76359.745272547589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85440.20157139971</v>
      </c>
    </row>
    <row r="337" spans="1:10" hidden="1" x14ac:dyDescent="0.3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11764.787424146265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13163.818257590547</v>
      </c>
    </row>
    <row r="338" spans="1:10" hidden="1" x14ac:dyDescent="0.3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-747761.91255166929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-836683.36382990761</v>
      </c>
    </row>
    <row r="339" spans="1:10" hidden="1" x14ac:dyDescent="0.3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19885.170161273523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22249.850897179527</v>
      </c>
    </row>
    <row r="340" spans="1:10" hidden="1" x14ac:dyDescent="0.3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4633.687912990441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0.15258427271710306</v>
      </c>
    </row>
    <row r="341" spans="1:10" hidden="1" x14ac:dyDescent="0.3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713.91481325131122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2.3508741764098708E-2</v>
      </c>
    </row>
    <row r="342" spans="1:10" hidden="1" x14ac:dyDescent="0.3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-34031.956140157839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-1.1206497662970782</v>
      </c>
    </row>
    <row r="343" spans="1:10" hidden="1" x14ac:dyDescent="0.3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7072.4969632368347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0.23289263879943969</v>
      </c>
    </row>
    <row r="344" spans="1:10" hidden="1" x14ac:dyDescent="0.3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0.1298811340294356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0.16836443300112025</v>
      </c>
    </row>
    <row r="345" spans="1:10" hidden="1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2.0010856856704395E-2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2.5939999629061253E-2</v>
      </c>
    </row>
    <row r="346" spans="1:10" hidden="1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-0.726786568645438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-0.94213073713297524</v>
      </c>
    </row>
    <row r="347" spans="1:10" hidden="1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0.43513364663101561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0.56406213452168696</v>
      </c>
    </row>
    <row r="348" spans="1:10" hidden="1" x14ac:dyDescent="0.3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743555.58148795145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612131.58955519518</v>
      </c>
    </row>
    <row r="349" spans="1:10" hidden="1" x14ac:dyDescent="0.3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-1525953.6187252735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-1256240.2024453632</v>
      </c>
    </row>
    <row r="350" spans="1:10" hidden="1" x14ac:dyDescent="0.3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27268.713030657509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22448.948092324048</v>
      </c>
    </row>
    <row r="351" spans="1:10" hidden="1" x14ac:dyDescent="0.3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20941.147059828374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0.50736092864674365</v>
      </c>
    </row>
    <row r="352" spans="1:10" hidden="1" x14ac:dyDescent="0.3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-32557.753513414758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-0.78880741394083276</v>
      </c>
    </row>
    <row r="353" spans="1:10" hidden="1" x14ac:dyDescent="0.3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3471.2081725195412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8.4100235622437486E-2</v>
      </c>
    </row>
    <row r="354" spans="1:10" hidden="1" x14ac:dyDescent="0.3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0.45536774311739758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0.4343102752275757</v>
      </c>
    </row>
    <row r="355" spans="1:10" hidden="1" x14ac:dyDescent="0.3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-0.54615001173461863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-0.52089451986249746</v>
      </c>
    </row>
    <row r="356" spans="1:10" hidden="1" x14ac:dyDescent="0.3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0.17295778570287446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0.16495973780909989</v>
      </c>
    </row>
    <row r="357" spans="1:10" hidden="1" x14ac:dyDescent="0.3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66146.360688436835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74012.274009855406</v>
      </c>
    </row>
    <row r="358" spans="1:10" hidden="1" x14ac:dyDescent="0.3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-135748.12827850843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-151890.86084112118</v>
      </c>
    </row>
    <row r="359" spans="1:10" hidden="1" x14ac:dyDescent="0.3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4255.810704206664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4761.8980801899488</v>
      </c>
    </row>
    <row r="360" spans="1:10" hidden="1" x14ac:dyDescent="0.3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1862.9147586749057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6.1344548645469892E-2</v>
      </c>
    </row>
    <row r="361" spans="1:10" hidden="1" x14ac:dyDescent="0.3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-2896.322696944816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-9.5373987321937012E-2</v>
      </c>
    </row>
    <row r="362" spans="1:10" hidden="1" x14ac:dyDescent="0.3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541.74925235854118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1.7839443919910981E-2</v>
      </c>
    </row>
    <row r="363" spans="1:10" hidden="1" x14ac:dyDescent="0.3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4.0509303853044784E-2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5.2512060550243253E-2</v>
      </c>
    </row>
    <row r="364" spans="1:10" hidden="1" x14ac:dyDescent="0.3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-4.8585252488992946E-2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-6.2980882856101969E-2</v>
      </c>
    </row>
    <row r="365" spans="1:10" hidden="1" x14ac:dyDescent="0.3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2.6993411641489076E-2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3.4991459535263621E-2</v>
      </c>
    </row>
    <row r="366" spans="1:10" hidden="1" x14ac:dyDescent="0.3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181355.01987511013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149300.38769638908</v>
      </c>
    </row>
    <row r="367" spans="1:10" hidden="1" x14ac:dyDescent="0.3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-832338.33748651284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-685221.92860656173</v>
      </c>
    </row>
    <row r="368" spans="1:10" hidden="1" x14ac:dyDescent="0.3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13634.356515328755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11224.474046162024</v>
      </c>
    </row>
    <row r="369" spans="1:10" hidden="1" x14ac:dyDescent="0.3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16777.114803525586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0.40647499023864508</v>
      </c>
    </row>
    <row r="370" spans="1:10" hidden="1" x14ac:dyDescent="0.3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-64166.204006021362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-1.5546151678903404</v>
      </c>
    </row>
    <row r="371" spans="1:10" hidden="1" x14ac:dyDescent="0.3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5701.0037986160087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0.13812359815919922</v>
      </c>
    </row>
    <row r="372" spans="1:10" hidden="1" x14ac:dyDescent="0.3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0.52434459319496152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0.50009744437669734</v>
      </c>
    </row>
    <row r="373" spans="1:10" hidden="1" x14ac:dyDescent="0.3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-1.7189335011455296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-1.6394452467572969</v>
      </c>
    </row>
    <row r="374" spans="1:10" hidden="1" x14ac:dyDescent="0.3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0.4082709773973468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0.38939139462752725</v>
      </c>
    </row>
    <row r="375" spans="1:10" hidden="1" x14ac:dyDescent="0.3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16133.25870449679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18051.774148745222</v>
      </c>
    </row>
    <row r="376" spans="1:10" hidden="1" x14ac:dyDescent="0.3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-74044.433606459148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-82849.560458793363</v>
      </c>
    </row>
    <row r="377" spans="1:10" hidden="1" x14ac:dyDescent="0.3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2127.905352103332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2380.9490400949744</v>
      </c>
    </row>
    <row r="378" spans="1:10" hidden="1" x14ac:dyDescent="0.3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1492.4843747182588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4.9146521547036179E-2</v>
      </c>
    </row>
    <row r="379" spans="1:10" hidden="1" x14ac:dyDescent="0.3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-5708.1958361425941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-0.18796710666310479</v>
      </c>
    </row>
    <row r="380" spans="1:10" hidden="1" x14ac:dyDescent="0.3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889.75203793429046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2.9298945064072567E-2</v>
      </c>
    </row>
    <row r="381" spans="1:10" hidden="1" x14ac:dyDescent="0.3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4.6645452539135587E-2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6.0466327365546121E-2</v>
      </c>
    </row>
    <row r="382" spans="1:10" hidden="1" x14ac:dyDescent="0.3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-0.15291552937936242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-0.19822383438065497</v>
      </c>
    </row>
    <row r="383" spans="1:10" hidden="1" x14ac:dyDescent="0.3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6.3718591848140826E-2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8.2598174617960318E-2</v>
      </c>
    </row>
    <row r="384" spans="1:10" x14ac:dyDescent="0.3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3486234.6993644098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2870040.1707884888</v>
      </c>
    </row>
    <row r="385" spans="1:10" hidden="1" x14ac:dyDescent="0.3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-11791459.781058934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-9707310.655259626</v>
      </c>
    </row>
    <row r="386" spans="1:10" hidden="1" x14ac:dyDescent="0.3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463568.12152117776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381632.11756950885</v>
      </c>
    </row>
    <row r="387" spans="1:10" x14ac:dyDescent="0.3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268111.46640836471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6.4957894708038477</v>
      </c>
    </row>
    <row r="388" spans="1:10" hidden="1" x14ac:dyDescent="0.3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-755692.46996177512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-18.308874496500476</v>
      </c>
    </row>
    <row r="389" spans="1:10" hidden="1" x14ac:dyDescent="0.3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161139.24301085269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3.9040724818867463</v>
      </c>
    </row>
    <row r="390" spans="1:10" x14ac:dyDescent="0.3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10.964621433671345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10.457586916507353</v>
      </c>
    </row>
    <row r="391" spans="1:10" hidden="1" x14ac:dyDescent="0.3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-26.489670661678876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-25.264714792930722</v>
      </c>
    </row>
    <row r="392" spans="1:10" hidden="1" x14ac:dyDescent="0.3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15.100009941890358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14.401743586196005</v>
      </c>
    </row>
    <row r="393" spans="1:10" x14ac:dyDescent="0.3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544094.43284878065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608796.39986422483</v>
      </c>
    </row>
    <row r="394" spans="1:10" hidden="1" x14ac:dyDescent="0.3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-1840285.6305698911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-2059126.5026308293</v>
      </c>
    </row>
    <row r="395" spans="1:10" hidden="1" x14ac:dyDescent="0.3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72348.781971513279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80952.267363229141</v>
      </c>
    </row>
    <row r="396" spans="1:10" x14ac:dyDescent="0.3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41843.986086854602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1.3778947362311191</v>
      </c>
    </row>
    <row r="397" spans="1:10" hidden="1" x14ac:dyDescent="0.3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-117940.44328883197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-3.8837006507728278</v>
      </c>
    </row>
    <row r="398" spans="1:10" hidden="1" x14ac:dyDescent="0.3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25148.899198225565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0.82813658706688553</v>
      </c>
    </row>
    <row r="399" spans="1:10" x14ac:dyDescent="0.3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1.711241495428476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2.2182760125924688</v>
      </c>
    </row>
    <row r="400" spans="1:10" hidden="1" x14ac:dyDescent="0.3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-4.1342260570250273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-5.359181925773183</v>
      </c>
    </row>
    <row r="401" spans="1:10" hidden="1" x14ac:dyDescent="0.3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2.3566489504684371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3.0549153061627887</v>
      </c>
    </row>
    <row r="402" spans="1:10" hidden="1" x14ac:dyDescent="0.3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614281.02378706157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695607.30474103929</v>
      </c>
    </row>
    <row r="403" spans="1:10" hidden="1" x14ac:dyDescent="0.3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665471.10910264996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753574.58013612602</v>
      </c>
    </row>
    <row r="404" spans="1:10" hidden="1" x14ac:dyDescent="0.3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2502141.5052936058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1534789.7228421343</v>
      </c>
    </row>
    <row r="405" spans="1:10" hidden="1" x14ac:dyDescent="0.3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97408.630707357341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59749.524561055543</v>
      </c>
    </row>
    <row r="406" spans="1:10" s="171" customFormat="1" hidden="1" x14ac:dyDescent="0.3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12799.494074946755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7851.0875273226984</v>
      </c>
    </row>
    <row r="407" spans="1:10" hidden="1" x14ac:dyDescent="0.3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1296795.0922933305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795441.73503903183</v>
      </c>
    </row>
    <row r="408" spans="1:10" hidden="1" x14ac:dyDescent="0.3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1033509.7693363478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670075.43744177814</v>
      </c>
    </row>
    <row r="409" spans="1:10" hidden="1" x14ac:dyDescent="0.3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19800.424386268802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12837.593243730647</v>
      </c>
    </row>
    <row r="410" spans="1:10" hidden="1" x14ac:dyDescent="0.3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92172.376491504838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59759.904869842845</v>
      </c>
    </row>
    <row r="411" spans="1:10" hidden="1" x14ac:dyDescent="0.3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90946.524745892661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58965.124627748664</v>
      </c>
    </row>
    <row r="412" spans="1:10" hidden="1" x14ac:dyDescent="0.3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84934.510833187902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51394.057868840908</v>
      </c>
    </row>
    <row r="413" spans="1:10" hidden="1" x14ac:dyDescent="0.3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41193.926040245511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24926.534549838969</v>
      </c>
    </row>
    <row r="414" spans="1:10" hidden="1" x14ac:dyDescent="0.3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5437.460580082532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3290.219263888519</v>
      </c>
    </row>
    <row r="415" spans="1:10" hidden="1" x14ac:dyDescent="0.3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55888.835329455884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33818.456231360462</v>
      </c>
    </row>
    <row r="416" spans="1:10" hidden="1" x14ac:dyDescent="0.3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" hidden="1" thickBot="1" x14ac:dyDescent="0.4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hidden="1" x14ac:dyDescent="0.3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4080761831.5310001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2724321569.9699998</v>
      </c>
      <c r="N418" s="171"/>
      <c r="O418" s="171"/>
    </row>
    <row r="419" spans="1:15" hidden="1" x14ac:dyDescent="0.3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112220950.3671025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74918843.174174994</v>
      </c>
      <c r="M419" s="171"/>
      <c r="N419" s="171"/>
      <c r="O419" s="171"/>
    </row>
    <row r="420" spans="1:15" hidden="1" x14ac:dyDescent="0.3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hidden="1" x14ac:dyDescent="0.3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51009522.894137502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34054019.624624997</v>
      </c>
      <c r="M421" s="171"/>
      <c r="N421" s="171"/>
      <c r="O421" s="171"/>
    </row>
    <row r="422" spans="1:15" hidden="1" x14ac:dyDescent="0.3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102019045.788275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68108039.249249995</v>
      </c>
      <c r="M422" s="171"/>
      <c r="N422" s="171"/>
      <c r="O422" s="171"/>
    </row>
    <row r="423" spans="1:15" hidden="1" x14ac:dyDescent="0.3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1152815217.4075074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769620843.51652491</v>
      </c>
      <c r="M423" s="171"/>
      <c r="N423" s="171"/>
      <c r="O423" s="171"/>
    </row>
    <row r="424" spans="1:15" hidden="1" x14ac:dyDescent="0.3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163230473.26124001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108972862.79879999</v>
      </c>
      <c r="M424" s="171"/>
      <c r="N424" s="171"/>
      <c r="O424" s="171"/>
    </row>
    <row r="425" spans="1:15" hidden="1" x14ac:dyDescent="0.3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hidden="1" x14ac:dyDescent="0.3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hidden="1" x14ac:dyDescent="0.3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1571093305.1394348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1048863804.4384499</v>
      </c>
      <c r="M427" s="171"/>
      <c r="N427" s="171"/>
      <c r="O427" s="171"/>
    </row>
    <row r="428" spans="1:15" hidden="1" x14ac:dyDescent="0.3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112220950.36710249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74918843.174174994</v>
      </c>
      <c r="M428" s="171"/>
      <c r="N428" s="171"/>
      <c r="O428" s="171"/>
    </row>
    <row r="429" spans="1:15" hidden="1" x14ac:dyDescent="0.3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520297133.52020246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347351000.17117494</v>
      </c>
      <c r="M429" s="171"/>
      <c r="N429" s="171"/>
      <c r="O429" s="171"/>
    </row>
    <row r="430" spans="1:15" hidden="1" x14ac:dyDescent="0.3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2254620911.9208775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1505187667.4084249</v>
      </c>
      <c r="M430" s="171"/>
      <c r="N430" s="171"/>
      <c r="O430" s="171"/>
    </row>
    <row r="431" spans="1:15" hidden="1" x14ac:dyDescent="0.3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81615236.630620003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54486431.399399996</v>
      </c>
      <c r="M431" s="171"/>
      <c r="N431" s="171"/>
      <c r="O431" s="171"/>
    </row>
    <row r="432" spans="1:15" hidden="1" x14ac:dyDescent="0.3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hidden="1" x14ac:dyDescent="0.3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hidden="1" x14ac:dyDescent="0.3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273430.21235984121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265026.9750464696</v>
      </c>
      <c r="L434" s="127"/>
      <c r="M434" s="125"/>
    </row>
    <row r="435" spans="1:13" hidden="1" x14ac:dyDescent="0.3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  <c r="L435" s="127"/>
      <c r="M435" s="125"/>
    </row>
    <row r="436" spans="1:13" hidden="1" x14ac:dyDescent="0.3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101755123.93719724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77934375.544929624</v>
      </c>
      <c r="L436" s="127"/>
      <c r="M436" s="125"/>
    </row>
    <row r="437" spans="1:13" s="171" customFormat="1" hidden="1" x14ac:dyDescent="0.3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-107924.87666800858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-82659.79680862125</v>
      </c>
      <c r="L437" s="127"/>
      <c r="M437" s="125"/>
    </row>
    <row r="438" spans="1:13" hidden="1" x14ac:dyDescent="0.3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109840382.17790073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80806154.25867863</v>
      </c>
      <c r="L438" s="127"/>
      <c r="M438" s="125"/>
    </row>
    <row r="439" spans="1:13" s="171" customFormat="1" hidden="1" x14ac:dyDescent="0.3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-229234.18803397313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-168640.46530387079</v>
      </c>
      <c r="L439" s="127"/>
      <c r="M439" s="125"/>
    </row>
    <row r="440" spans="1:13" hidden="1" x14ac:dyDescent="0.3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81967.284281734363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101577.11900806775</v>
      </c>
      <c r="L440" s="127"/>
      <c r="M440" s="125"/>
    </row>
    <row r="441" spans="1:13" hidden="1" x14ac:dyDescent="0.3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91678387.47847791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78739414.930099815</v>
      </c>
      <c r="L441" s="127"/>
      <c r="M441" s="125"/>
    </row>
    <row r="442" spans="1:13" hidden="1" x14ac:dyDescent="0.3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25213734.695648223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24216391.618130017</v>
      </c>
      <c r="L442" s="128"/>
      <c r="M442" s="125"/>
    </row>
    <row r="443" spans="1:13" hidden="1" x14ac:dyDescent="0.3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1617412.305677372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1589027.5159651136</v>
      </c>
      <c r="L443" s="127"/>
      <c r="M443" s="125"/>
    </row>
    <row r="444" spans="1:13" hidden="1" x14ac:dyDescent="0.3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hidden="1" x14ac:dyDescent="0.3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52001698.445427336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49013748.942711547</v>
      </c>
      <c r="L445" s="127"/>
      <c r="M445" s="125"/>
    </row>
    <row r="446" spans="1:13" hidden="1" x14ac:dyDescent="0.3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hidden="1" x14ac:dyDescent="0.3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hidden="1" x14ac:dyDescent="0.3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hidden="1" x14ac:dyDescent="0.3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18959312.213880107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18985889.895719901</v>
      </c>
      <c r="L449" s="128"/>
      <c r="M449" s="125"/>
    </row>
    <row r="450" spans="1:14" hidden="1" x14ac:dyDescent="0.3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" hidden="1" thickBot="1" x14ac:dyDescent="0.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27449433.936803631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42347216.038347013</v>
      </c>
      <c r="L451" s="142"/>
      <c r="M451" s="125"/>
    </row>
    <row r="452" spans="1:14" hidden="1" x14ac:dyDescent="0.3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20288522.839408737</v>
      </c>
      <c r="J452" s="286">
        <f ca="1">SUMIFS('Forbrug af biomasse'!$E$1:$E$425,'Forbrug af biomasse'!$A$1:$A$425,"Biogas",'Forbrug af biomasse'!$B$1:$B$425,$A$1,'Forbrug af biomasse'!$D$1:$D$425,J$2)*'[1]Processer - data'!J452</f>
        <v>17326468.088146493</v>
      </c>
    </row>
    <row r="453" spans="1:14" hidden="1" x14ac:dyDescent="0.3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14980615.468531813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3824557.3184085824</v>
      </c>
    </row>
    <row r="454" spans="1:14" hidden="1" x14ac:dyDescent="0.3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20773594.738137256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5094162.6010199282</v>
      </c>
      <c r="M454" s="171"/>
      <c r="N454" s="171"/>
    </row>
    <row r="455" spans="1:14" hidden="1" x14ac:dyDescent="0.3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14599.770737204595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6030.8722057376935</v>
      </c>
    </row>
    <row r="456" spans="1:14" hidden="1" x14ac:dyDescent="0.3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2699419.1868662941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772812.77616579423</v>
      </c>
    </row>
    <row r="457" spans="1:14" hidden="1" x14ac:dyDescent="0.3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118163354.68790129</v>
      </c>
      <c r="J457" s="286">
        <f ca="1">J452*'[1]Processer - data'!J$457*Biogasanlæg!AC$3</f>
        <v>85571658.356830597</v>
      </c>
    </row>
    <row r="458" spans="1:14" hidden="1" x14ac:dyDescent="0.3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76729311.516404092</v>
      </c>
      <c r="J458" s="286">
        <f ca="1">-SUMIFS('Resultater - Vestdanmark'!J$3:J$482,'Resultater - Vestdanmark'!$F$3:$F$482,"Gødning",'Resultater - Vestdanmark'!$A$3:$A$482,"&lt;&gt;Gødning")-SUM(J453:J457)</f>
        <v>96930715.683132261</v>
      </c>
    </row>
    <row r="459" spans="1:14" hidden="1" x14ac:dyDescent="0.3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2.6295872236207458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0</v>
      </c>
    </row>
    <row r="460" spans="1:14" hidden="1" x14ac:dyDescent="0.3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8.0712113246102692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6.7370432319413665</v>
      </c>
    </row>
    <row r="461" spans="1:14" hidden="1" x14ac:dyDescent="0.3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3.9699554569612943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3.0792984757596873</v>
      </c>
    </row>
    <row r="462" spans="1:14" hidden="1" x14ac:dyDescent="0.3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32.299735597523586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34.119638824419908</v>
      </c>
    </row>
    <row r="463" spans="1:14" hidden="1" x14ac:dyDescent="0.3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hidden="1" x14ac:dyDescent="0.3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hidden="1" x14ac:dyDescent="0.3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3.3615702361092654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4.9124816951555159</v>
      </c>
    </row>
    <row r="466" spans="1:10" s="171" customFormat="1" hidden="1" x14ac:dyDescent="0.3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3.6219735642585746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5.2930260518224923</v>
      </c>
    </row>
    <row r="467" spans="1:10" hidden="1" x14ac:dyDescent="0.3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17.784644891762667</v>
      </c>
      <c r="J467" s="286">
        <f ca="1">SUM(J433:J451)*'[1]Processer - data'!$H$467</f>
        <v>15.826003396566492</v>
      </c>
    </row>
    <row r="468" spans="1:10" x14ac:dyDescent="0.3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819862.14978940994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547340.96996669995</v>
      </c>
    </row>
    <row r="469" spans="1:10" hidden="1" x14ac:dyDescent="0.3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1687951.4848605499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1126878.4675784998</v>
      </c>
    </row>
    <row r="470" spans="1:10" hidden="1" x14ac:dyDescent="0.3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2396507.2594762691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1599911.1658842943</v>
      </c>
    </row>
    <row r="471" spans="1:10" hidden="1" x14ac:dyDescent="0.3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360321.93413438706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300760.85856881103</v>
      </c>
    </row>
    <row r="472" spans="1:10" hidden="1" x14ac:dyDescent="0.35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230606.03784600773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192486.94948403907</v>
      </c>
    </row>
    <row r="473" spans="1:10" hidden="1" x14ac:dyDescent="0.3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-471054.80092049856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-688383.08421465277</v>
      </c>
    </row>
    <row r="474" spans="1:10" hidden="1" x14ac:dyDescent="0.3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101043.4200135901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147661.33573552311</v>
      </c>
    </row>
    <row r="475" spans="1:10" ht="15" hidden="1" thickBot="1" x14ac:dyDescent="0.4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404173.68005436042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590645.34294209245</v>
      </c>
    </row>
    <row r="476" spans="1:10" x14ac:dyDescent="0.35">
      <c r="H476" s="97"/>
      <c r="I476" s="97"/>
      <c r="J476" s="97"/>
    </row>
    <row r="477" spans="1:10" x14ac:dyDescent="0.35">
      <c r="H477" s="97"/>
      <c r="I477" s="97"/>
      <c r="J477" s="97"/>
    </row>
    <row r="478" spans="1:10" x14ac:dyDescent="0.35">
      <c r="H478" s="97"/>
      <c r="I478" s="97"/>
      <c r="J478" s="97"/>
    </row>
    <row r="479" spans="1:10" x14ac:dyDescent="0.35">
      <c r="H479" s="97"/>
      <c r="I479" s="97"/>
      <c r="J479" s="97"/>
    </row>
    <row r="480" spans="1:10" x14ac:dyDescent="0.35">
      <c r="H480" s="97"/>
      <c r="I480" s="97"/>
      <c r="J480" s="97"/>
    </row>
  </sheetData>
  <autoFilter ref="A2:U475" xr:uid="{909A89E6-B9A6-46D5-83F7-24899AA46FB2}">
    <filterColumn colId="5">
      <filters>
        <filter val="Græs"/>
        <filter val="Græsprotein"/>
      </filters>
    </filterColumn>
  </autoFilter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L453" sqref="L453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4.453125" bestFit="1" customWidth="1"/>
    <col min="11" max="11" width="4.453125" bestFit="1" customWidth="1"/>
    <col min="12" max="12" width="10.7265625" bestFit="1" customWidth="1"/>
  </cols>
  <sheetData>
    <row r="1" spans="1:21" x14ac:dyDescent="0.3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" thickBot="1" x14ac:dyDescent="0.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224108.96073862392</v>
      </c>
      <c r="O3" s="171">
        <f>SUMIF($F$3:$F$472,"Roer",J3:J472)</f>
        <v>202279.77798791436</v>
      </c>
    </row>
    <row r="4" spans="1:2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3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3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3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3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-18803.672323557344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-10980.411251397294</v>
      </c>
    </row>
    <row r="17" spans="1:10" x14ac:dyDescent="0.3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3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3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-4136.8079111826155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-24156.90475307405</v>
      </c>
    </row>
    <row r="20" spans="1:10" x14ac:dyDescent="0.3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3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3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-105300.56501192114</v>
      </c>
    </row>
    <row r="23" spans="1:10" x14ac:dyDescent="0.3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1435.9775288191522</v>
      </c>
    </row>
    <row r="24" spans="1:10" x14ac:dyDescent="0.3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750.13751505478092</v>
      </c>
    </row>
    <row r="25" spans="1:10" x14ac:dyDescent="0.3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-10906.129947663259</v>
      </c>
    </row>
    <row r="26" spans="1:10" x14ac:dyDescent="0.3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3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3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-94018.361617786722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-54902.056256986478</v>
      </c>
    </row>
    <row r="29" spans="1:10" x14ac:dyDescent="0.3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1719.0107469106013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10038.1694712914</v>
      </c>
    </row>
    <row r="30" spans="1:10" x14ac:dyDescent="0.3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429.75268672765031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2509.5423678228499</v>
      </c>
    </row>
    <row r="31" spans="1:10" x14ac:dyDescent="0.3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-12034.350287076701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-70274.632008942688</v>
      </c>
    </row>
    <row r="32" spans="1:10" x14ac:dyDescent="0.3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18179.220795701403</v>
      </c>
    </row>
    <row r="33" spans="1:10" x14ac:dyDescent="0.3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6292.807198512025</v>
      </c>
    </row>
    <row r="34" spans="1:10" x14ac:dyDescent="0.3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-3760.7344647114692</v>
      </c>
    </row>
    <row r="35" spans="1:10" x14ac:dyDescent="0.3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835.63022419265349</v>
      </c>
    </row>
    <row r="36" spans="1:10" x14ac:dyDescent="0.3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417.8151120963268</v>
      </c>
    </row>
    <row r="37" spans="1:10" x14ac:dyDescent="0.3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-9401.8361617786722</v>
      </c>
    </row>
    <row r="38" spans="1:10" x14ac:dyDescent="0.3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3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3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-18803.672323557344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-10980.411251397294</v>
      </c>
    </row>
    <row r="41" spans="1:10" x14ac:dyDescent="0.3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3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3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-3196.6242950047485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-18666.699127375403</v>
      </c>
    </row>
    <row r="44" spans="1:10" x14ac:dyDescent="0.3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3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3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-103420.19777956541</v>
      </c>
    </row>
    <row r="47" spans="1:10" x14ac:dyDescent="0.3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1052.8197308068388</v>
      </c>
    </row>
    <row r="48" spans="1:10" x14ac:dyDescent="0.3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574.26530771282137</v>
      </c>
    </row>
    <row r="49" spans="1:10" x14ac:dyDescent="0.3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-9965.9463314853929</v>
      </c>
    </row>
    <row r="50" spans="1:10" x14ac:dyDescent="0.3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3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3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-71453.954829517912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-41725.562755309722</v>
      </c>
    </row>
    <row r="53" spans="1:10" x14ac:dyDescent="0.3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436.53501033454319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2549.1477710453069</v>
      </c>
    </row>
    <row r="54" spans="1:10" x14ac:dyDescent="0.3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1527.8725361709005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8922.0171986585683</v>
      </c>
    </row>
    <row r="55" spans="1:10" x14ac:dyDescent="0.3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-6017.1751435383503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-35137.316004471344</v>
      </c>
    </row>
    <row r="56" spans="1:10" x14ac:dyDescent="0.3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4698.8143473509836</v>
      </c>
    </row>
    <row r="57" spans="1:10" x14ac:dyDescent="0.3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6214.5609110125915</v>
      </c>
    </row>
    <row r="58" spans="1:10" x14ac:dyDescent="0.3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-33846.610182403223</v>
      </c>
    </row>
    <row r="59" spans="1:10" x14ac:dyDescent="0.3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388.38776654764484</v>
      </c>
    </row>
    <row r="60" spans="1:10" x14ac:dyDescent="0.3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211.84787266235173</v>
      </c>
    </row>
    <row r="61" spans="1:10" x14ac:dyDescent="0.3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-9777.9096082498199</v>
      </c>
    </row>
    <row r="62" spans="1:10" x14ac:dyDescent="0.3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3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3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3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3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3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3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3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3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3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3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3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3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1518628.2461073445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969266.04664412036</v>
      </c>
    </row>
    <row r="75" spans="1:10" x14ac:dyDescent="0.3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1638224.8785321345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1045598.7208186348</v>
      </c>
    </row>
    <row r="76" spans="1:10" x14ac:dyDescent="0.3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210008.6091950777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134038.21173319253</v>
      </c>
    </row>
    <row r="77" spans="1:10" x14ac:dyDescent="0.3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17165.428003236691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10955.852152953736</v>
      </c>
    </row>
    <row r="78" spans="1:10" x14ac:dyDescent="0.3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-937217155.31142628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-598179817.41368413</v>
      </c>
    </row>
    <row r="79" spans="1:10" x14ac:dyDescent="0.3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-71978.172354332361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-45940.142850221571</v>
      </c>
    </row>
    <row r="80" spans="1:10" x14ac:dyDescent="0.3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122729.34771199414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78332.132942302502</v>
      </c>
    </row>
    <row r="81" spans="1:10" x14ac:dyDescent="0.3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33960.53236970181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37353.954222681423</v>
      </c>
    </row>
    <row r="82" spans="1:10" x14ac:dyDescent="0.3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3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36810.531017722024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40488.73190737488</v>
      </c>
    </row>
    <row r="84" spans="1:10" x14ac:dyDescent="0.3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1125.8163419154941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1238.3107438143875</v>
      </c>
    </row>
    <row r="85" spans="1:10" x14ac:dyDescent="0.3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-61468574.461073771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-67610669.101315826</v>
      </c>
    </row>
    <row r="86" spans="1:10" x14ac:dyDescent="0.3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-4149.5437304955294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-4564.1765819970187</v>
      </c>
    </row>
    <row r="87" spans="1:10" x14ac:dyDescent="0.3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8854.2957266671438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9739.0392367077111</v>
      </c>
    </row>
    <row r="88" spans="1:10" x14ac:dyDescent="0.3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13558.074175805912</v>
      </c>
    </row>
    <row r="89" spans="1:10" x14ac:dyDescent="0.3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393433.40302942914</v>
      </c>
    </row>
    <row r="90" spans="1:10" x14ac:dyDescent="0.3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7710.193067385223</v>
      </c>
    </row>
    <row r="91" spans="1:10" x14ac:dyDescent="0.3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147274.04222743327</v>
      </c>
    </row>
    <row r="92" spans="1:10" x14ac:dyDescent="0.3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1677.7470473474502</v>
      </c>
    </row>
    <row r="93" spans="1:10" x14ac:dyDescent="0.3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-102077156.08897279</v>
      </c>
    </row>
    <row r="94" spans="1:10" x14ac:dyDescent="0.3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-426.94608830185337</v>
      </c>
    </row>
    <row r="95" spans="1:10" x14ac:dyDescent="0.3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110410.12742642483</v>
      </c>
    </row>
    <row r="96" spans="1:10" x14ac:dyDescent="0.3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1094.4945258058528</v>
      </c>
    </row>
    <row r="97" spans="1:10" x14ac:dyDescent="0.3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59144.800336816275</v>
      </c>
    </row>
    <row r="98" spans="1:10" x14ac:dyDescent="0.3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488.31294228261123</v>
      </c>
    </row>
    <row r="99" spans="1:10" x14ac:dyDescent="0.3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22591.489571120805</v>
      </c>
    </row>
    <row r="100" spans="1:10" x14ac:dyDescent="0.3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451.53092700203422</v>
      </c>
    </row>
    <row r="101" spans="1:10" x14ac:dyDescent="0.3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-27471955.911027208</v>
      </c>
    </row>
    <row r="102" spans="1:10" x14ac:dyDescent="0.3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-138.51406341694391</v>
      </c>
    </row>
    <row r="103" spans="1:10" x14ac:dyDescent="0.3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24848.795454642288</v>
      </c>
    </row>
    <row r="104" spans="1:10" x14ac:dyDescent="0.3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3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3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3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3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3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3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3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3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3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3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3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3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3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3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3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3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1367392.2107198883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1245506.6830480653</v>
      </c>
    </row>
    <row r="121" spans="1:10" x14ac:dyDescent="0.3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413916.76527854829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377021.37933684437</v>
      </c>
    </row>
    <row r="122" spans="1:10" x14ac:dyDescent="0.3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-29113892.961438634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-26518761.748633407</v>
      </c>
    </row>
    <row r="123" spans="1:10" x14ac:dyDescent="0.3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413725.59026248509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376847.24512847915</v>
      </c>
    </row>
    <row r="124" spans="1:10" x14ac:dyDescent="0.3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22936.668399113973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0.55570830699390517</v>
      </c>
    </row>
    <row r="125" spans="1:10" x14ac:dyDescent="0.3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6943.0493428288109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0.16821580748089759</v>
      </c>
    </row>
    <row r="126" spans="1:10" x14ac:dyDescent="0.3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-330658.46009396855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-8.0111745025327714</v>
      </c>
    </row>
    <row r="127" spans="1:10" x14ac:dyDescent="0.3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40675.300260354867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0.98547887822381874</v>
      </c>
    </row>
    <row r="128" spans="1:10" x14ac:dyDescent="0.3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0.48136972077585966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0.45910984929489501</v>
      </c>
    </row>
    <row r="129" spans="1:10" x14ac:dyDescent="0.3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0.14571312909679707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0.13897494971659835</v>
      </c>
    </row>
    <row r="130" spans="1:10" x14ac:dyDescent="0.3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-4.5754933628917618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-4.3639098547811592</v>
      </c>
    </row>
    <row r="131" spans="1:10" x14ac:dyDescent="0.3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1.8737420577760162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1.7870950262025587</v>
      </c>
    </row>
    <row r="132" spans="1:10" x14ac:dyDescent="0.3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142983.38203423572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177012.91949986137</v>
      </c>
    </row>
    <row r="133" spans="1:10" x14ac:dyDescent="0.3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43281.816669878252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53582.735426963642</v>
      </c>
    </row>
    <row r="134" spans="1:10" x14ac:dyDescent="0.3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-3044337.1310544787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-3768878.5636694143</v>
      </c>
    </row>
    <row r="135" spans="1:10" x14ac:dyDescent="0.3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64569.889809752007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79937.294421192535</v>
      </c>
    </row>
    <row r="136" spans="1:10" x14ac:dyDescent="0.3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2398.4065395374096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7.8977938175800455E-2</v>
      </c>
    </row>
    <row r="137" spans="1:10" x14ac:dyDescent="0.3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726.01018850735954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2.3907034457133627E-2</v>
      </c>
    </row>
    <row r="138" spans="1:10" x14ac:dyDescent="0.3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-34575.789266473366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-1.1385578308145059</v>
      </c>
    </row>
    <row r="139" spans="1:10" x14ac:dyDescent="0.3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6348.168248725905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0.2090409741686888</v>
      </c>
    </row>
    <row r="140" spans="1:10" x14ac:dyDescent="0.3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5.0335134386331228E-2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6.5249248278577504E-2</v>
      </c>
    </row>
    <row r="141" spans="1:10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1.5236708123474331E-2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1.9751288308207465E-2</v>
      </c>
    </row>
    <row r="142" spans="1:10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-0.47844320771509807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-0.62020415814920116</v>
      </c>
    </row>
    <row r="143" spans="1:10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0.29243373156041874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0.37908076313387606</v>
      </c>
    </row>
    <row r="144" spans="1:10" x14ac:dyDescent="0.3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100430.0569174194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91385.832496521936</v>
      </c>
    </row>
    <row r="145" spans="1:10" x14ac:dyDescent="0.3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-909809.15504495718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-828711.30464479397</v>
      </c>
    </row>
    <row r="146" spans="1:10" x14ac:dyDescent="0.3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10343.139756562126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9421.1811282119779</v>
      </c>
    </row>
    <row r="147" spans="1:10" x14ac:dyDescent="0.3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409.87205245249947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9.9203515484537607E-3</v>
      </c>
    </row>
    <row r="148" spans="1:10" x14ac:dyDescent="0.3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-3016.8816258393249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-7.3092837700917068E-2</v>
      </c>
    </row>
    <row r="149" spans="1:10" x14ac:dyDescent="0.3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247.41050719643644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5.9942477998219711E-3</v>
      </c>
    </row>
    <row r="150" spans="1:10" x14ac:dyDescent="0.3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4.3396908692616429E-3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4.1348412340183258E-3</v>
      </c>
    </row>
    <row r="151" spans="1:10" x14ac:dyDescent="0.3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-2.6677243801748664E-2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-2.5443614030569529E-2</v>
      </c>
    </row>
    <row r="152" spans="1:10" x14ac:dyDescent="0.3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5.7498859722952995E-3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5.4839952914955163E-3</v>
      </c>
    </row>
    <row r="153" spans="1:10" x14ac:dyDescent="0.3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8934.2114217288126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11049.377929124923</v>
      </c>
    </row>
    <row r="154" spans="1:10" x14ac:dyDescent="0.3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-80936.201711802831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-100198.73047068871</v>
      </c>
    </row>
    <row r="155" spans="1:10" x14ac:dyDescent="0.3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1614.2472452438001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1998.4323605298134</v>
      </c>
    </row>
    <row r="156" spans="1:10" x14ac:dyDescent="0.3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36.462028249965122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1.1994606872221367E-3</v>
      </c>
    </row>
    <row r="157" spans="1:10" x14ac:dyDescent="0.3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-268.38039434489713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-8.8375885583836088E-3</v>
      </c>
    </row>
    <row r="158" spans="1:10" x14ac:dyDescent="0.3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38.613200545108576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1.2715071090531455E-3</v>
      </c>
    </row>
    <row r="159" spans="1:10" x14ac:dyDescent="0.3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3.8605689293605015E-4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4.9993989465857934E-4</v>
      </c>
    </row>
    <row r="160" spans="1:10" x14ac:dyDescent="0.3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-2.3731952723058491E-3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-3.0763642418779524E-3</v>
      </c>
    </row>
    <row r="161" spans="1:10" x14ac:dyDescent="0.3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8.9738104769926635E-4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1.1632717284990491E-3</v>
      </c>
    </row>
    <row r="162" spans="1:10" x14ac:dyDescent="0.3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12975.293184861825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13349.141120385324</v>
      </c>
    </row>
    <row r="163" spans="1:10" x14ac:dyDescent="0.3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-9585485.9172579125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-8701469.7671428658</v>
      </c>
    </row>
    <row r="164" spans="1:10" x14ac:dyDescent="0.3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2075.663365683859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1884.2364569902625</v>
      </c>
    </row>
    <row r="165" spans="1:10" x14ac:dyDescent="0.3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1154.2760815897309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1614.0325172829525</v>
      </c>
    </row>
    <row r="166" spans="1:10" x14ac:dyDescent="0.3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-852720.39460462017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-1052086.7991181829</v>
      </c>
    </row>
    <row r="167" spans="1:10" x14ac:dyDescent="0.3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323.94746169632486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399.68652117975262</v>
      </c>
    </row>
    <row r="168" spans="1:10" x14ac:dyDescent="0.3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517781.53636568616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471627.93443355768</v>
      </c>
    </row>
    <row r="169" spans="1:10" x14ac:dyDescent="0.3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-1705892.1657092948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-1553833.6962089888</v>
      </c>
    </row>
    <row r="170" spans="1:10" x14ac:dyDescent="0.3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25857.849391405318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23552.952820529947</v>
      </c>
    </row>
    <row r="171" spans="1:10" x14ac:dyDescent="0.3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1437.0221110963284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3.4816090574906519E-2</v>
      </c>
    </row>
    <row r="172" spans="1:10" x14ac:dyDescent="0.3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-3156.2922315032624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-7.6470469983968878E-2</v>
      </c>
    </row>
    <row r="173" spans="1:10" x14ac:dyDescent="0.3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420.62050583890692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1.0190769867680008E-2</v>
      </c>
    </row>
    <row r="174" spans="1:10" x14ac:dyDescent="0.3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5.1011418828965656E-2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4.8652509287741813E-2</v>
      </c>
    </row>
    <row r="175" spans="1:10" x14ac:dyDescent="0.3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-7.2027050817754637E-2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-6.8696320144101236E-2</v>
      </c>
    </row>
    <row r="176" spans="1:10" x14ac:dyDescent="0.3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3.2773664125333675E-2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3.1258118963468536E-2</v>
      </c>
    </row>
    <row r="177" spans="1:10" x14ac:dyDescent="0.3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46061.606038542828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57024.104799693778</v>
      </c>
    </row>
    <row r="178" spans="1:10" x14ac:dyDescent="0.3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-151755.37820963029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-187872.61963254132</v>
      </c>
    </row>
    <row r="179" spans="1:10" x14ac:dyDescent="0.3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4035.6181131095004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4996.0809013245334</v>
      </c>
    </row>
    <row r="180" spans="1:10" x14ac:dyDescent="0.3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127.83682248423408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4.2095818604205148E-3</v>
      </c>
    </row>
    <row r="181" spans="1:10" x14ac:dyDescent="0.3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-280.78229735742894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-9.2459750071525997E-3</v>
      </c>
    </row>
    <row r="182" spans="1:10" x14ac:dyDescent="0.3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65.645974899713806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2.1616784567806079E-3</v>
      </c>
    </row>
    <row r="183" spans="1:10" x14ac:dyDescent="0.3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4.5379522299293729E-3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5.8825306684269644E-3</v>
      </c>
    </row>
    <row r="184" spans="1:10" x14ac:dyDescent="0.3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-6.407493133440717E-3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-8.3060096174231504E-3</v>
      </c>
    </row>
    <row r="185" spans="1:10" x14ac:dyDescent="0.3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5.1149649212948525E-3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6.6305100831599928E-3</v>
      </c>
    </row>
    <row r="186" spans="1:10" x14ac:dyDescent="0.3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1572842.4027228444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1432643.6179867778</v>
      </c>
    </row>
    <row r="187" spans="1:10" x14ac:dyDescent="0.3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-4583163.618538972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-4174633.1971481498</v>
      </c>
    </row>
    <row r="188" spans="1:10" x14ac:dyDescent="0.3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67230.408417653831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61237.677333377862</v>
      </c>
    </row>
    <row r="189" spans="1:10" x14ac:dyDescent="0.3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52143.635648788171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1.2633330605247997</v>
      </c>
    </row>
    <row r="190" spans="1:10" x14ac:dyDescent="0.3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-106196.90735319872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-2.5729326755892035</v>
      </c>
    </row>
    <row r="191" spans="1:10" x14ac:dyDescent="0.3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13063.603732034793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0.31650425366260893</v>
      </c>
    </row>
    <row r="192" spans="1:10" x14ac:dyDescent="0.3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2.2215686991047594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2.1188371985681229</v>
      </c>
    </row>
    <row r="193" spans="1:10" x14ac:dyDescent="0.3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-3.1323441068699909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-2.9874958244713783</v>
      </c>
    </row>
    <row r="194" spans="1:10" x14ac:dyDescent="0.3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1.2216647477936575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1.1651715802656273</v>
      </c>
    </row>
    <row r="195" spans="1:10" x14ac:dyDescent="0.3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191468.56070140525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237037.39861235779</v>
      </c>
    </row>
    <row r="196" spans="1:10" x14ac:dyDescent="0.3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-557927.31680017791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-690712.03807360295</v>
      </c>
    </row>
    <row r="197" spans="1:10" x14ac:dyDescent="0.3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10492.607094084702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12989.810343443789</v>
      </c>
    </row>
    <row r="198" spans="1:10" x14ac:dyDescent="0.3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6347.6587674189541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0.2090241972868305</v>
      </c>
    </row>
    <row r="199" spans="1:10" x14ac:dyDescent="0.3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-12927.785369123498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-0.42570340632475917</v>
      </c>
    </row>
    <row r="200" spans="1:10" x14ac:dyDescent="0.3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2038.8283281210372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6.7137265928432194E-2</v>
      </c>
    </row>
    <row r="201" spans="1:10" x14ac:dyDescent="0.3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0.27044067516269493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0.35057124558127117</v>
      </c>
    </row>
    <row r="202" spans="1:10" x14ac:dyDescent="0.3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-0.38131310341434688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-0.49429476368526443</v>
      </c>
    </row>
    <row r="203" spans="1:10" x14ac:dyDescent="0.3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0.19066444040710265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0.247157607935133</v>
      </c>
    </row>
    <row r="204" spans="1:10" x14ac:dyDescent="0.3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169412.28744796335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154311.34867721036</v>
      </c>
    </row>
    <row r="205" spans="1:10" x14ac:dyDescent="0.3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46644.141251302615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42486.412602094519</v>
      </c>
    </row>
    <row r="206" spans="1:10" x14ac:dyDescent="0.3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3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93088.257809059141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84790.630153907798</v>
      </c>
    </row>
    <row r="208" spans="1:10" x14ac:dyDescent="0.3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341.53245714729019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8.2746290892063736E-3</v>
      </c>
    </row>
    <row r="209" spans="1:10" x14ac:dyDescent="0.3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94.03384142355003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2.2782466009594014E-3</v>
      </c>
    </row>
    <row r="210" spans="1:10" x14ac:dyDescent="0.3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3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1099.9251377656303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2.664892413718585E-2</v>
      </c>
    </row>
    <row r="212" spans="1:10" x14ac:dyDescent="0.3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4.8144064710030588E-3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4.5917749578930911E-3</v>
      </c>
    </row>
    <row r="213" spans="1:10" x14ac:dyDescent="0.3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1.3255464456415479E-3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1.2642495001783552E-3</v>
      </c>
    </row>
    <row r="214" spans="1:10" x14ac:dyDescent="0.3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3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3.4033334615555896E-2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3.2459538795183367E-2</v>
      </c>
    </row>
    <row r="216" spans="1:10" x14ac:dyDescent="0.3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15070.838750428647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18657.644885517257</v>
      </c>
    </row>
    <row r="217" spans="1:10" x14ac:dyDescent="0.3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4149.4412361707928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5136.9935237077916</v>
      </c>
    </row>
    <row r="218" spans="1:10" x14ac:dyDescent="0.3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3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14528.225207194202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17985.891244768321</v>
      </c>
    </row>
    <row r="220" spans="1:10" x14ac:dyDescent="0.3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30.3825694537387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1.0004778807858614E-3</v>
      </c>
    </row>
    <row r="221" spans="1:10" x14ac:dyDescent="0.3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8.3652070491817039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2.754607253887276E-4</v>
      </c>
    </row>
    <row r="222" spans="1:10" x14ac:dyDescent="0.3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3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171.66461687671688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5.6528020897060891E-3</v>
      </c>
    </row>
    <row r="224" spans="1:10" x14ac:dyDescent="0.3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4.2828737334530098E-4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5.5518733581798264E-4</v>
      </c>
    </row>
    <row r="225" spans="1:10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1.1791999883481745E-4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1.5285925774883739E-4</v>
      </c>
    </row>
    <row r="226" spans="1:10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5.3115608937572781E-3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6.8853567141298044E-3</v>
      </c>
    </row>
    <row r="228" spans="1:10" x14ac:dyDescent="0.3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198120.04160258989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180460.17369945033</v>
      </c>
    </row>
    <row r="229" spans="1:10" x14ac:dyDescent="0.3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-307060.58982767304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-279690.06531761796</v>
      </c>
    </row>
    <row r="230" spans="1:10" x14ac:dyDescent="0.3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5171.5698782810632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4710.590564105989</v>
      </c>
    </row>
    <row r="231" spans="1:10" x14ac:dyDescent="0.3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7680.8450433257158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0.18609108005737846</v>
      </c>
    </row>
    <row r="232" spans="1:10" x14ac:dyDescent="0.3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-7715.7643884437011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-0.18693710397938804</v>
      </c>
    </row>
    <row r="233" spans="1:10" x14ac:dyDescent="0.3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1175.1251991573336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2.8470866978868796E-2</v>
      </c>
    </row>
    <row r="234" spans="1:10" x14ac:dyDescent="0.3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0.11238684588607067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0.10718976630752407</v>
      </c>
    </row>
    <row r="235" spans="1:10" x14ac:dyDescent="0.3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-6.9121095320005821E-2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-6.592474409133503E-2</v>
      </c>
    </row>
    <row r="236" spans="1:10" x14ac:dyDescent="0.3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3.7741679598542764E-2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3.5996399617107259E-2</v>
      </c>
    </row>
    <row r="237" spans="1:10" x14ac:dyDescent="0.3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17624.667284762185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21819.275547297173</v>
      </c>
    </row>
    <row r="238" spans="1:10" x14ac:dyDescent="0.3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-27315.968077733454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-33817.071533857437</v>
      </c>
    </row>
    <row r="239" spans="1:10" x14ac:dyDescent="0.3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807.12362262190004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999.21618026490671</v>
      </c>
    </row>
    <row r="240" spans="1:10" x14ac:dyDescent="0.3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683.28442321839748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2.2500103316028485E-2</v>
      </c>
    </row>
    <row r="241" spans="1:10" x14ac:dyDescent="0.3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-686.39083201241942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-2.2602395299326006E-2</v>
      </c>
    </row>
    <row r="242" spans="1:10" x14ac:dyDescent="0.3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183.40104264305208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6.0392748136994419E-3</v>
      </c>
    </row>
    <row r="243" spans="1:10" x14ac:dyDescent="0.3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9.9978818392290631E-3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1.2960217199000635E-2</v>
      </c>
    </row>
    <row r="244" spans="1:10" x14ac:dyDescent="0.3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-6.1489806761554303E-3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-7.9709008764977801E-3</v>
      </c>
    </row>
    <row r="245" spans="1:10" x14ac:dyDescent="0.3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5.8903199373448248E-3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7.6355999187803277E-3</v>
      </c>
    </row>
    <row r="246" spans="1:10" x14ac:dyDescent="0.3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20701.069666568921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18855.834056843927</v>
      </c>
    </row>
    <row r="247" spans="1:10" x14ac:dyDescent="0.3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-318433.204265735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-290048.95662567788</v>
      </c>
    </row>
    <row r="248" spans="1:10" x14ac:dyDescent="0.3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4471.016828896446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4072.4828595294975</v>
      </c>
    </row>
    <row r="249" spans="1:10" x14ac:dyDescent="0.3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184.58014456985373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4.471997321440371E-3</v>
      </c>
    </row>
    <row r="250" spans="1:10" x14ac:dyDescent="0.3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-2366.0792987158147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-5.7325235662973768E-2</v>
      </c>
    </row>
    <row r="251" spans="1:10" x14ac:dyDescent="0.3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180.18867380101679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4.3656010155907442E-3</v>
      </c>
    </row>
    <row r="252" spans="1:10" x14ac:dyDescent="0.3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4.3768517362668654E-3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4.1744539681157974E-3</v>
      </c>
    </row>
    <row r="253" spans="1:10" x14ac:dyDescent="0.3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-4.8090507448038805E-2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-4.5866668953331809E-2</v>
      </c>
    </row>
    <row r="254" spans="1:10" x14ac:dyDescent="0.3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9.7904353232948962E-3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9.3376984297321268E-3</v>
      </c>
    </row>
    <row r="255" spans="1:10" x14ac:dyDescent="0.3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1841.5575847889925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2279.8417541456747</v>
      </c>
    </row>
    <row r="256" spans="1:10" x14ac:dyDescent="0.3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-28327.670599130994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-35069.555664741049</v>
      </c>
    </row>
    <row r="257" spans="1:10" x14ac:dyDescent="0.3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697.78875364279793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863.86000050625705</v>
      </c>
    </row>
    <row r="258" spans="1:10" x14ac:dyDescent="0.3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16.420164305954042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5.4070513068324466E-4</v>
      </c>
    </row>
    <row r="259" spans="1:10" x14ac:dyDescent="0.3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-210.48532027304273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-6.9311421301595537E-3</v>
      </c>
    </row>
    <row r="260" spans="1:10" x14ac:dyDescent="0.3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28.12193174929164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9.2603657906470296E-4</v>
      </c>
    </row>
    <row r="261" spans="1:10" x14ac:dyDescent="0.3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3.8936270648061883E-4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5.04729434326728E-4</v>
      </c>
    </row>
    <row r="262" spans="1:10" x14ac:dyDescent="0.3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-4.2781093041925847E-3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-5.5456972461755717E-3</v>
      </c>
    </row>
    <row r="263" spans="1:10" x14ac:dyDescent="0.3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1.5279870157743479E-3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1.9807239093371175E-3</v>
      </c>
    </row>
    <row r="264" spans="1:10" x14ac:dyDescent="0.3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363255.53730513353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330875.95191840816</v>
      </c>
    </row>
    <row r="265" spans="1:10" x14ac:dyDescent="0.3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-1615858.9680746377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-1471825.8066868477</v>
      </c>
    </row>
    <row r="266" spans="1:10" x14ac:dyDescent="0.3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25857.849391405318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23552.952820529947</v>
      </c>
    </row>
    <row r="267" spans="1:10" x14ac:dyDescent="0.3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4625.5368549862578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0.11206724576973086</v>
      </c>
    </row>
    <row r="268" spans="1:10" x14ac:dyDescent="0.3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-15084.780150869181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-0.36547320182466403</v>
      </c>
    </row>
    <row r="269" spans="1:10" x14ac:dyDescent="0.3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1929.8495501872892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4.6756285944690848E-2</v>
      </c>
    </row>
    <row r="270" spans="1:10" x14ac:dyDescent="0.3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0.10968291883231901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0.10461087634296322</v>
      </c>
    </row>
    <row r="271" spans="1:10" x14ac:dyDescent="0.3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-0.26469610963743945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-0.25245582711085268</v>
      </c>
    </row>
    <row r="272" spans="1:10" x14ac:dyDescent="0.3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0.10044559859893289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9.5800715426727898E-2</v>
      </c>
    </row>
    <row r="273" spans="1:10" x14ac:dyDescent="0.3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32315.044619225457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40005.910550134795</v>
      </c>
    </row>
    <row r="274" spans="1:10" x14ac:dyDescent="0.3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-143746.06658189982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-177957.12026304609</v>
      </c>
    </row>
    <row r="275" spans="1:10" x14ac:dyDescent="0.3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4035.6181131095004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4996.0809013245334</v>
      </c>
    </row>
    <row r="276" spans="1:10" x14ac:dyDescent="0.3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411.48561964299711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1.3549948806703823E-2</v>
      </c>
    </row>
    <row r="277" spans="1:10" x14ac:dyDescent="0.3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-1341.9350666004434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-4.4189032584254835E-2</v>
      </c>
    </row>
    <row r="278" spans="1:10" x14ac:dyDescent="0.3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301.19039222576191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9.9180000488738179E-3</v>
      </c>
    </row>
    <row r="279" spans="1:10" x14ac:dyDescent="0.3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9.757341738898204E-3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1.2648405957831005E-2</v>
      </c>
    </row>
    <row r="280" spans="1:10" x14ac:dyDescent="0.3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-2.3547243510521346E-2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-3.052420455067582E-2</v>
      </c>
    </row>
    <row r="281" spans="1:10" x14ac:dyDescent="0.3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1.5676480706191841E-2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2.0321363878396826E-2</v>
      </c>
    </row>
    <row r="282" spans="1:10" x14ac:dyDescent="0.3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1085282.2271601683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988543.1965490263</v>
      </c>
    </row>
    <row r="283" spans="1:10" x14ac:dyDescent="0.3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-3639236.6201798292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-3314845.2185791759</v>
      </c>
    </row>
    <row r="284" spans="1:10" x14ac:dyDescent="0.3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51715.698782810636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47105.905641059893</v>
      </c>
    </row>
    <row r="285" spans="1:10" x14ac:dyDescent="0.3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4485.8356059695452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0.10868257179593749</v>
      </c>
    </row>
    <row r="286" spans="1:10" x14ac:dyDescent="0.3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-10184.813491099476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-0.24675708623865392</v>
      </c>
    </row>
    <row r="287" spans="1:10" x14ac:dyDescent="0.3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1252.8648041500417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3.0354337739536965E-2</v>
      </c>
    </row>
    <row r="288" spans="1:10" x14ac:dyDescent="0.3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6.3234505293070509E-2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6.0310366319980546E-2</v>
      </c>
    </row>
    <row r="289" spans="1:10" x14ac:dyDescent="0.3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-9.4661571483107609E-2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-9.0284157772906118E-2</v>
      </c>
    </row>
    <row r="290" spans="1:10" x14ac:dyDescent="0.3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3.8765517437220995E-2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3.6972892353418871E-2</v>
      </c>
    </row>
    <row r="291" spans="1:10" x14ac:dyDescent="0.3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140584.82491710619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174043.51430151035</v>
      </c>
    </row>
    <row r="292" spans="1:10" x14ac:dyDescent="0.3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-471417.87663716736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-583613.65818015172</v>
      </c>
    </row>
    <row r="293" spans="1:10" x14ac:dyDescent="0.3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8071.2362262190009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9992.1618026490669</v>
      </c>
    </row>
    <row r="294" spans="1:10" x14ac:dyDescent="0.3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581.08425392934976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1.9134719458618075E-2</v>
      </c>
    </row>
    <row r="295" spans="1:10" x14ac:dyDescent="0.3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-1319.316013500227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-4.3444202152926631E-2</v>
      </c>
    </row>
    <row r="296" spans="1:10" x14ac:dyDescent="0.3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195.53381336445742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6.4387989144472331E-3</v>
      </c>
    </row>
    <row r="297" spans="1:10" x14ac:dyDescent="0.3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8.1912442983682662E-3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1.0618279646032937E-2</v>
      </c>
    </row>
    <row r="298" spans="1:10" x14ac:dyDescent="0.3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-1.2262230155701976E-2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-1.5895483535169227E-2</v>
      </c>
    </row>
    <row r="299" spans="1:10" x14ac:dyDescent="0.3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6.050109657832179E-3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7.8427347416343048E-3</v>
      </c>
    </row>
    <row r="300" spans="1:10" x14ac:dyDescent="0.3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214569.39112580277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195443.27408742826</v>
      </c>
    </row>
    <row r="301" spans="1:10" x14ac:dyDescent="0.3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106283.9054923519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96810.054608604827</v>
      </c>
    </row>
    <row r="302" spans="1:10" x14ac:dyDescent="0.3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-7960830.1066433759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-7251223.9156419476</v>
      </c>
    </row>
    <row r="303" spans="1:10" x14ac:dyDescent="0.3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103431.39756562127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94211.811282119786</v>
      </c>
    </row>
    <row r="304" spans="1:10" x14ac:dyDescent="0.3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1572.4904051581343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3.8098208755040587E-2</v>
      </c>
    </row>
    <row r="305" spans="1:10" x14ac:dyDescent="0.3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778.91082568933678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1.8871407508327002E-2</v>
      </c>
    </row>
    <row r="306" spans="1:10" x14ac:dyDescent="0.3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-40283.50943222973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-0.97598659216009509</v>
      </c>
    </row>
    <row r="307" spans="1:10" x14ac:dyDescent="0.3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4442.7694544133492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0.10763916750750291</v>
      </c>
    </row>
    <row r="308" spans="1:10" x14ac:dyDescent="0.3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2.680722693241289E-2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2.556758638062501E-2</v>
      </c>
    </row>
    <row r="309" spans="1:10" x14ac:dyDescent="0.3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1.3278579758499292E-2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1.2664541388164065E-2</v>
      </c>
    </row>
    <row r="310" spans="1:10" x14ac:dyDescent="0.3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-0.46684663591955233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-0.44525835217760767</v>
      </c>
    </row>
    <row r="311" spans="1:10" x14ac:dyDescent="0.3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0.1662448760927501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0.15855725176476165</v>
      </c>
    </row>
    <row r="312" spans="1:10" x14ac:dyDescent="0.3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18418.239642879598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22801.715310199961</v>
      </c>
    </row>
    <row r="313" spans="1:10" x14ac:dyDescent="0.3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9123.2138529562162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11294.506371003894</v>
      </c>
    </row>
    <row r="314" spans="1:10" x14ac:dyDescent="0.3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-683342.93111938809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-845976.12349156057</v>
      </c>
    </row>
    <row r="315" spans="1:10" x14ac:dyDescent="0.3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16142.472452438002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19984.323605298134</v>
      </c>
    </row>
    <row r="316" spans="1:10" x14ac:dyDescent="0.3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134.97966772600174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4.444791021421402E-3</v>
      </c>
    </row>
    <row r="317" spans="1:10" x14ac:dyDescent="0.3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66.8602645172639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2.2016642093048168E-3</v>
      </c>
    </row>
    <row r="318" spans="1:10" x14ac:dyDescent="0.3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-3457.8619368127843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-0.11386510241867775</v>
      </c>
    </row>
    <row r="319" spans="1:10" x14ac:dyDescent="0.3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693.3802038679795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2.2832550683409707E-2</v>
      </c>
    </row>
    <row r="320" spans="1:10" x14ac:dyDescent="0.3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2.3010827742562514E-3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2.982885077739585E-3</v>
      </c>
    </row>
    <row r="321" spans="1:10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1.139808724934766E-3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1.4775298286191412E-3</v>
      </c>
    </row>
    <row r="322" spans="1:10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-4.0073251695984698E-2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-5.194680775405424E-2</v>
      </c>
    </row>
    <row r="323" spans="1:10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2.5945732106961002E-2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3.3633356434949448E-2</v>
      </c>
    </row>
    <row r="324" spans="1:10" x14ac:dyDescent="0.3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281477.45323480066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256387.33816300097</v>
      </c>
    </row>
    <row r="325" spans="1:10" x14ac:dyDescent="0.3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43367.38408670466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39501.736431470621</v>
      </c>
    </row>
    <row r="326" spans="1:10" x14ac:dyDescent="0.3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-2756401.5309346183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-2510703.5867460142</v>
      </c>
    </row>
    <row r="327" spans="1:10" x14ac:dyDescent="0.3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41781.43090276228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38057.15069073304</v>
      </c>
    </row>
    <row r="328" spans="1:10" x14ac:dyDescent="0.3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16104.09751040333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0.39016916526188677</v>
      </c>
    </row>
    <row r="329" spans="1:10" x14ac:dyDescent="0.3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2481.1670493580377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6.0113575187801929E-2</v>
      </c>
    </row>
    <row r="330" spans="1:10" x14ac:dyDescent="0.3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-118275.97163253359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-2.8655835629778461</v>
      </c>
    </row>
    <row r="331" spans="1:10" x14ac:dyDescent="0.3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14010.616217517463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0.33944841869356845</v>
      </c>
    </row>
    <row r="332" spans="1:10" x14ac:dyDescent="0.3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0.49223301631824173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0.46947079591046187</v>
      </c>
    </row>
    <row r="333" spans="1:10" x14ac:dyDescent="0.3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7.5838608149631781E-2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7.2331620489533205E-2</v>
      </c>
    </row>
    <row r="334" spans="1:10" x14ac:dyDescent="0.3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-2.754428867420041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-2.6270564342445479</v>
      </c>
    </row>
    <row r="335" spans="1:10" x14ac:dyDescent="0.3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0.93998774279637187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0.8965201015109906</v>
      </c>
    </row>
    <row r="336" spans="1:10" x14ac:dyDescent="0.3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25040.104076783708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30999.55997789012</v>
      </c>
    </row>
    <row r="337" spans="1:10" x14ac:dyDescent="0.3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3857.9424340715868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4776.1190412596297</v>
      </c>
    </row>
    <row r="338" spans="1:10" x14ac:dyDescent="0.3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-245208.20555539746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-303566.88821565441</v>
      </c>
    </row>
    <row r="339" spans="1:10" x14ac:dyDescent="0.3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6520.8013547663668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8072.7289343979182</v>
      </c>
    </row>
    <row r="340" spans="1:10" x14ac:dyDescent="0.3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1432.6130675439724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4.7174999072573581E-2</v>
      </c>
    </row>
    <row r="341" spans="1:10" x14ac:dyDescent="0.3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220.72347335040578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7.2682777272524129E-3</v>
      </c>
    </row>
    <row r="342" spans="1:10" x14ac:dyDescent="0.3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-10521.775742339258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-0.34647510352368494</v>
      </c>
    </row>
    <row r="343" spans="1:10" x14ac:dyDescent="0.3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2186.6279645836503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7.2004210025908441E-2</v>
      </c>
    </row>
    <row r="344" spans="1:10" x14ac:dyDescent="0.3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4.378882150946671E-2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5.6763287141901292E-2</v>
      </c>
    </row>
    <row r="345" spans="1:10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6.746567511114643E-3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8.7455504773708333E-3</v>
      </c>
    </row>
    <row r="346" spans="1:10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-0.24503271832135506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-0.31763500523138621</v>
      </c>
    </row>
    <row r="347" spans="1:10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0.1467032893381621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0.19017093062354345</v>
      </c>
    </row>
    <row r="348" spans="1:10" x14ac:dyDescent="0.3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243828.85355204853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222094.62964480481</v>
      </c>
    </row>
    <row r="349" spans="1:10" x14ac:dyDescent="0.3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-500395.03527472646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-455791.21755463665</v>
      </c>
    </row>
    <row r="350" spans="1:10" x14ac:dyDescent="0.3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8942.033657792892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8144.9657190589951</v>
      </c>
    </row>
    <row r="351" spans="1:10" x14ac:dyDescent="0.3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1703.3924391194751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4.1269695843266757E-2</v>
      </c>
    </row>
    <row r="352" spans="1:10" x14ac:dyDescent="0.3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-2648.3091404220695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-6.416308433343712E-2</v>
      </c>
    </row>
    <row r="353" spans="1:10" x14ac:dyDescent="0.3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282.35462645798242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6.840871948383012E-3</v>
      </c>
    </row>
    <row r="354" spans="1:10" x14ac:dyDescent="0.3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4.0391647606941902E-2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3.8523825752285634E-2</v>
      </c>
    </row>
    <row r="355" spans="1:10" x14ac:dyDescent="0.3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-4.8444140253528403E-2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-4.6203948796717839E-2</v>
      </c>
    </row>
    <row r="356" spans="1:10" x14ac:dyDescent="0.3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1.5341556437796293E-2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1.4632120301944442E-2</v>
      </c>
    </row>
    <row r="357" spans="1:10" x14ac:dyDescent="0.3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21690.90205876316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26853.259766144576</v>
      </c>
    </row>
    <row r="358" spans="1:10" x14ac:dyDescent="0.3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-44514.910941491558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-55109.301758878792</v>
      </c>
    </row>
    <row r="359" spans="1:10" x14ac:dyDescent="0.3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1395.5775072855959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1727.7200010125141</v>
      </c>
    </row>
    <row r="360" spans="1:10" x14ac:dyDescent="0.3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151.53300368814288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4.9898814065040716E-3</v>
      </c>
    </row>
    <row r="361" spans="1:10" x14ac:dyDescent="0.3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-235.59235648032163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-7.7579001966792144E-3</v>
      </c>
    </row>
    <row r="362" spans="1:10" x14ac:dyDescent="0.3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44.0669070194539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1.4510940496570027E-3</v>
      </c>
    </row>
    <row r="363" spans="1:10" x14ac:dyDescent="0.3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3.5932222928950048E-3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4.6578807500490807E-3</v>
      </c>
    </row>
    <row r="364" spans="1:10" x14ac:dyDescent="0.3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-4.3095683150393181E-3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-5.5864774454213381E-3</v>
      </c>
    </row>
    <row r="365" spans="1:10" x14ac:dyDescent="0.3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2.3943469584999997E-3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3.1037830943518511E-3</v>
      </c>
    </row>
    <row r="366" spans="1:10" x14ac:dyDescent="0.3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59470.452085865501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54169.421864586533</v>
      </c>
    </row>
    <row r="367" spans="1:10" x14ac:dyDescent="0.3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-272942.74651348713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-248613.39139343819</v>
      </c>
    </row>
    <row r="368" spans="1:10" x14ac:dyDescent="0.3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4471.016828896446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4072.4828595294975</v>
      </c>
    </row>
    <row r="369" spans="1:10" x14ac:dyDescent="0.3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1763.5292466758597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4.2726687021482843E-2</v>
      </c>
    </row>
    <row r="370" spans="1:10" x14ac:dyDescent="0.3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-6744.8413352341649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-0.16341363506350715</v>
      </c>
    </row>
    <row r="371" spans="1:10" x14ac:dyDescent="0.3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599.26197394541009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1.4518885271057656E-2</v>
      </c>
    </row>
    <row r="372" spans="1:10" x14ac:dyDescent="0.3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6.0103151002541863E-2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5.7323814539996569E-2</v>
      </c>
    </row>
    <row r="373" spans="1:10" x14ac:dyDescent="0.3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-0.19703325088786378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-0.1879218866849568</v>
      </c>
    </row>
    <row r="374" spans="1:10" x14ac:dyDescent="0.3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4.679817914198315E-2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4.4634101493798962E-2</v>
      </c>
    </row>
    <row r="375" spans="1:10" x14ac:dyDescent="0.3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5290.4639167715022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6549.5755527181882</v>
      </c>
    </row>
    <row r="376" spans="1:10" x14ac:dyDescent="0.3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-24280.860513540851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-30059.619141206611</v>
      </c>
    </row>
    <row r="377" spans="1:10" x14ac:dyDescent="0.3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697.78875364279793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863.86000050625705</v>
      </c>
    </row>
    <row r="378" spans="1:10" x14ac:dyDescent="0.3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156.88274627943051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5.166044885324743E-3</v>
      </c>
    </row>
    <row r="379" spans="1:10" x14ac:dyDescent="0.3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-600.01796618065771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-1.9758194057678587E-2</v>
      </c>
    </row>
    <row r="380" spans="1:10" x14ac:dyDescent="0.3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93.526435240035099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3.0797635423455635E-3</v>
      </c>
    </row>
    <row r="381" spans="1:10" x14ac:dyDescent="0.3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5.3467485198214985E-3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6.9309703034723122E-3</v>
      </c>
    </row>
    <row r="382" spans="1:10" x14ac:dyDescent="0.3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-1.7527986885342333E-2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-2.272146448099932E-2</v>
      </c>
    </row>
    <row r="383" spans="1:10" x14ac:dyDescent="0.3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7.3037620626216484E-3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9.46783971080584E-3</v>
      </c>
    </row>
    <row r="384" spans="1:10" x14ac:dyDescent="0.3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1143215.9627641349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1041312.8805526319</v>
      </c>
    </row>
    <row r="385" spans="1:10" x14ac:dyDescent="0.3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-3866688.9089410682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-3522023.0447403747</v>
      </c>
    </row>
    <row r="386" spans="1:10" x14ac:dyDescent="0.3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152014.57218247917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138464.41722400291</v>
      </c>
    </row>
    <row r="387" spans="1:10" x14ac:dyDescent="0.3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28896.884625625411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0.70011208922237467</v>
      </c>
    </row>
    <row r="388" spans="1:10" x14ac:dyDescent="0.3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-81448.057442193851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-1.9733189372390409</v>
      </c>
    </row>
    <row r="389" spans="1:10" x14ac:dyDescent="0.3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17367.485905481411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0.42077846796827756</v>
      </c>
    </row>
    <row r="390" spans="1:10" x14ac:dyDescent="0.3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1.1817599775865641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1.1271121173513474</v>
      </c>
    </row>
    <row r="391" spans="1:10" x14ac:dyDescent="0.3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-2.855039984443791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-2.7230150140648877</v>
      </c>
    </row>
    <row r="392" spans="1:10" x14ac:dyDescent="0.3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1.6274695408713478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1.5522108337790312</v>
      </c>
    </row>
    <row r="393" spans="1:10" x14ac:dyDescent="0.3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178420.98840827539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220884.55042025525</v>
      </c>
    </row>
    <row r="394" spans="1:10" x14ac:dyDescent="0.3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-603471.67943010887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-747095.79736917035</v>
      </c>
    </row>
    <row r="395" spans="1:10" x14ac:dyDescent="0.3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23724.817623855131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29371.240017212742</v>
      </c>
    </row>
    <row r="396" spans="1:10" x14ac:dyDescent="0.3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4509.9184097796888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0.14850862498656431</v>
      </c>
    </row>
    <row r="397" spans="1:10" x14ac:dyDescent="0.3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-12711.546537221007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-0.41858280486888738</v>
      </c>
    </row>
    <row r="398" spans="1:10" x14ac:dyDescent="0.3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2710.5324823583705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8.9256038659937656E-2</v>
      </c>
    </row>
    <row r="399" spans="1:10" x14ac:dyDescent="0.3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0.18443652829385687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0.23908438852907368</v>
      </c>
    </row>
    <row r="400" spans="1:10" x14ac:dyDescent="0.3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-0.44558427502879983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-0.57760924540770342</v>
      </c>
    </row>
    <row r="401" spans="1:10" x14ac:dyDescent="0.3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0.25399813643656877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0.3292568435288854</v>
      </c>
    </row>
    <row r="402" spans="1:10" x14ac:dyDescent="0.3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178393.88316623261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179246.53073851895</v>
      </c>
    </row>
    <row r="403" spans="1:10" x14ac:dyDescent="0.3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193260.040096752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194183.74163339552</v>
      </c>
    </row>
    <row r="404" spans="1:10" x14ac:dyDescent="0.3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109083.65982189869</v>
      </c>
    </row>
    <row r="405" spans="1:10" x14ac:dyDescent="0.3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4246.6382949638519</v>
      </c>
    </row>
    <row r="406" spans="1:10" s="171" customFormat="1" x14ac:dyDescent="0.3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558.00827195825013</v>
      </c>
    </row>
    <row r="407" spans="1:10" x14ac:dyDescent="0.3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56535.233681691527</v>
      </c>
    </row>
    <row r="408" spans="1:10" x14ac:dyDescent="0.3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149752.58402122525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97091.997795525866</v>
      </c>
    </row>
    <row r="409" spans="1:10" x14ac:dyDescent="0.3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2869.0243716464051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1860.1302260515317</v>
      </c>
    </row>
    <row r="410" spans="1:10" x14ac:dyDescent="0.3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13355.511447021445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8659.0378152575722</v>
      </c>
    </row>
    <row r="411" spans="1:10" x14ac:dyDescent="0.3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13177.889065522108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8543.8764510267865</v>
      </c>
    </row>
    <row r="412" spans="1:10" x14ac:dyDescent="0.3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3652.7817732906901</v>
      </c>
    </row>
    <row r="413" spans="1:10" x14ac:dyDescent="0.3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1771.6287611948771</v>
      </c>
    </row>
    <row r="414" spans="1:10" x14ac:dyDescent="0.3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233.84907624794536</v>
      </c>
    </row>
    <row r="415" spans="1:10" x14ac:dyDescent="0.3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2403.6132900421717</v>
      </c>
    </row>
    <row r="416" spans="1:10" x14ac:dyDescent="0.3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" thickBot="1" x14ac:dyDescent="0.4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3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495584487.01300013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331334602.83000004</v>
      </c>
    </row>
    <row r="419" spans="1:10" x14ac:dyDescent="0.3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13628573.392857501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9111701.5778250005</v>
      </c>
    </row>
    <row r="420" spans="1:10" x14ac:dyDescent="0.3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3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6194806.0876625013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4141682.5353750004</v>
      </c>
    </row>
    <row r="422" spans="1:10" x14ac:dyDescent="0.3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12389612.175325003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8283365.07075</v>
      </c>
    </row>
    <row r="423" spans="1:10" x14ac:dyDescent="0.3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140002617.58117253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93602025.299475014</v>
      </c>
    </row>
    <row r="424" spans="1:10" x14ac:dyDescent="0.3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19823379.480520006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13253384.113200001</v>
      </c>
    </row>
    <row r="425" spans="1:10" x14ac:dyDescent="0.3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3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3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190800027.50000504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127563822.08955</v>
      </c>
    </row>
    <row r="428" spans="1:10" x14ac:dyDescent="0.3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13628573.392857499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9111701.5778250005</v>
      </c>
    </row>
    <row r="429" spans="1:10" x14ac:dyDescent="0.3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63187022.09415751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42245161.860825002</v>
      </c>
    </row>
    <row r="430" spans="1:10" x14ac:dyDescent="0.3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273810429.07468253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183062368.063575</v>
      </c>
    </row>
    <row r="431" spans="1:10" x14ac:dyDescent="0.3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9911689.7402600031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6626692.0566000007</v>
      </c>
    </row>
    <row r="432" spans="1:10" x14ac:dyDescent="0.3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3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3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87754.187640158809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96157.424953530368</v>
      </c>
    </row>
    <row r="435" spans="1:10" x14ac:dyDescent="0.3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0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0</v>
      </c>
    </row>
    <row r="436" spans="1:10" x14ac:dyDescent="0.3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14744023.906789212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11292466.184841257</v>
      </c>
    </row>
    <row r="437" spans="1:10" s="171" customFormat="1" x14ac:dyDescent="0.3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-15638.00327846395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-11977.166093658825</v>
      </c>
    </row>
    <row r="438" spans="1:10" x14ac:dyDescent="0.3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7806796.4007561281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5743217.4007176552</v>
      </c>
    </row>
    <row r="439" spans="1:10" s="171" customFormat="1" x14ac:dyDescent="0.3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-16292.592929760665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-11985.954085846017</v>
      </c>
    </row>
    <row r="440" spans="1:10" x14ac:dyDescent="0.3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6879.4839146267968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8525.3301049752408</v>
      </c>
    </row>
    <row r="441" spans="1:10" x14ac:dyDescent="0.3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12257232.319053285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10493963.497751288</v>
      </c>
    </row>
    <row r="442" spans="1:10" x14ac:dyDescent="0.3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7788865.3043517657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8786208.3818699848</v>
      </c>
    </row>
    <row r="443" spans="1:10" x14ac:dyDescent="0.3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548149.6943226282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576534.484034886</v>
      </c>
    </row>
    <row r="444" spans="1:10" x14ac:dyDescent="0.3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3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22478988.514572684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25165719.097288467</v>
      </c>
    </row>
    <row r="446" spans="1:10" x14ac:dyDescent="0.3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3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3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3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2302496.7899461938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2309082.1426200937</v>
      </c>
    </row>
    <row r="450" spans="1:10" x14ac:dyDescent="0.3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3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23229146.832630299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36446163.348185107</v>
      </c>
    </row>
    <row r="452" spans="1:10" x14ac:dyDescent="0.3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3958963.2992530242</v>
      </c>
      <c r="J452" s="286">
        <f ca="1">SUMIFS('Forbrug af biomasse'!$E$1:$E$425,'Forbrug af biomasse'!$A$1:$A$425,"Biogas",'Forbrug af biomasse'!$B$1:$B$425,$A$1,'Forbrug af biomasse'!$D$1:$D$425,J$2)*'[1]Processer - data'!J452</f>
        <v>4444390.8914948301</v>
      </c>
    </row>
    <row r="453" spans="1:10" x14ac:dyDescent="0.3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2170647.9640550781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554167.32203387632</v>
      </c>
    </row>
    <row r="454" spans="1:10" x14ac:dyDescent="0.3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1476462.6762659345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362062.56269299629</v>
      </c>
    </row>
    <row r="455" spans="1:10" x14ac:dyDescent="0.3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1225.3533690174957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506.16887815798708</v>
      </c>
    </row>
    <row r="456" spans="1:10" x14ac:dyDescent="0.3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360907.39606101345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102996.30840385522</v>
      </c>
    </row>
    <row r="457" spans="1:10" x14ac:dyDescent="0.3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23057587.19986004</v>
      </c>
      <c r="J457" s="286">
        <f ca="1">J452*'[1]Processer - data'!J$457*Biogasanlæg!AC$3</f>
        <v>21949880.208499528</v>
      </c>
    </row>
    <row r="458" spans="1:10" x14ac:dyDescent="0.3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47835498.129790664</v>
      </c>
      <c r="J458" s="286">
        <f ca="1">-SUMIFS('Resultater - Østdanmark'!J$3:J$482,'Resultater - Østdanmark'!$F$3:$F$482,"Gødning",'Resultater - Østdanmark'!$A$3:$A$482,"&lt;&gt;Gødning")-SUM(J453:J457)</f>
        <v>46764612.562567048</v>
      </c>
    </row>
    <row r="459" spans="1:10" x14ac:dyDescent="0.3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2.6257696396025745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7.2375109956234487E-2</v>
      </c>
    </row>
    <row r="460" spans="1:10" x14ac:dyDescent="0.3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2.6285854554386132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2.4443446775003141</v>
      </c>
    </row>
    <row r="461" spans="1:10" x14ac:dyDescent="0.3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1.2269376393970493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2.2344632319854298</v>
      </c>
    </row>
    <row r="462" spans="1:10" x14ac:dyDescent="0.3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9.3935210185437228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0</v>
      </c>
    </row>
    <row r="463" spans="1:10" x14ac:dyDescent="0.3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3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3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1.2960297638907334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2.0739183048444838</v>
      </c>
    </row>
    <row r="466" spans="1:10" s="171" customFormat="1" x14ac:dyDescent="0.3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1.396426435741424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2.2345739481775073</v>
      </c>
    </row>
    <row r="467" spans="1:10" x14ac:dyDescent="0.3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4.2841690900952178</v>
      </c>
      <c r="J467" s="286">
        <f ca="1">SUM(J433:J451)*'[1]Processer - data'!$H$467</f>
        <v>4.6430413222502498</v>
      </c>
    </row>
    <row r="468" spans="1:10" x14ac:dyDescent="0.3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99567.428754430017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66568.133841300005</v>
      </c>
    </row>
    <row r="469" spans="1:10" x14ac:dyDescent="0.3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204991.76508265003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137052.04026150002</v>
      </c>
    </row>
    <row r="470" spans="1:10" ht="15" thickBot="1" x14ac:dyDescent="0.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291041.69021422468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194582.730818151</v>
      </c>
    </row>
    <row r="471" spans="1:10" x14ac:dyDescent="0.3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117347.56497493811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109122.53024554974</v>
      </c>
    </row>
    <row r="472" spans="1:10" ht="15" thickBot="1" x14ac:dyDescent="0.4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75102.44158396039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69838.419357151841</v>
      </c>
    </row>
    <row r="473" spans="1:10" x14ac:dyDescent="0.3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-181611.86574616801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-290616.91578534723</v>
      </c>
    </row>
    <row r="474" spans="1:10" x14ac:dyDescent="0.3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38956.579986409895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62338.664264476945</v>
      </c>
    </row>
    <row r="475" spans="1:10" ht="15" thickBot="1" x14ac:dyDescent="0.4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155826.31994563958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249354.65705790778</v>
      </c>
    </row>
    <row r="476" spans="1:10" x14ac:dyDescent="0.35">
      <c r="H476" s="97"/>
      <c r="I476" s="97"/>
      <c r="J476" s="97"/>
    </row>
    <row r="477" spans="1:10" x14ac:dyDescent="0.35">
      <c r="H477" s="97"/>
      <c r="I477" s="97"/>
      <c r="J477" s="97"/>
    </row>
    <row r="478" spans="1:10" x14ac:dyDescent="0.35">
      <c r="H478" s="97"/>
      <c r="I478" s="97"/>
      <c r="J478" s="97"/>
    </row>
    <row r="479" spans="1:10" x14ac:dyDescent="0.35">
      <c r="H479" s="97"/>
      <c r="I479" s="97"/>
      <c r="J479" s="97"/>
    </row>
    <row r="480" spans="1:10" x14ac:dyDescent="0.3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26.453125" customWidth="1"/>
    <col min="7" max="7" width="16" bestFit="1" customWidth="1"/>
    <col min="8" max="8" width="35.1796875" bestFit="1" customWidth="1"/>
    <col min="9" max="9" width="17.453125" customWidth="1"/>
    <col min="10" max="10" width="15.81640625" customWidth="1"/>
    <col min="11" max="11" width="4.453125" bestFit="1" customWidth="1"/>
    <col min="12" max="12" width="12.453125" bestFit="1" customWidth="1"/>
    <col min="13" max="13" width="11.26953125" customWidth="1"/>
    <col min="14" max="14" width="12.26953125" customWidth="1"/>
    <col min="15" max="15" width="11.1796875" customWidth="1"/>
    <col min="17" max="17" width="16.1796875" customWidth="1"/>
  </cols>
  <sheetData>
    <row r="1" spans="1:21" x14ac:dyDescent="0.3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" thickBot="1" x14ac:dyDescent="0.4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3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6568557.7355642393</v>
      </c>
      <c r="O3" s="98">
        <f>SUMIF($F$3:$F$487,$L$3,J$3:J$487)</f>
        <v>336429.087197165</v>
      </c>
      <c r="Q3" s="98"/>
      <c r="U3" s="98"/>
    </row>
    <row r="4" spans="1:21" x14ac:dyDescent="0.3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1039701.4022577816</v>
      </c>
      <c r="O4" s="98">
        <f t="shared" si="0"/>
        <v>695889.84481713665</v>
      </c>
    </row>
    <row r="5" spans="1:21" x14ac:dyDescent="0.3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71" customFormat="1" x14ac:dyDescent="0.3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3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9729.8831932819066</v>
      </c>
      <c r="O7" s="98">
        <f>SUMIFS(J$3:J$487,$F$3:$F$487,$L$3,$C$3:$C$487,$L7)+SUMIFS(J$3:J$487,$F$3:$F$487,$L$3,$C$3:$C$487,"",$A$3:$A$487,"Grøntsager I drivhus")</f>
        <v>8578.8140985043919</v>
      </c>
    </row>
    <row r="8" spans="1:21" x14ac:dyDescent="0.3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1159306.6165279076</v>
      </c>
      <c r="O8" s="98">
        <f>SUMIFS(J$3:J$487,$F$3:$F$487,$L$3,$C$3:$C$487,$L8)</f>
        <v>29.202274382245825</v>
      </c>
    </row>
    <row r="9" spans="1:21" x14ac:dyDescent="0.3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9802.9921234803096</v>
      </c>
      <c r="O9" s="98">
        <f>SUMIFS(J$3:J$487,$F$3:$F$487,$L$3,$C$3:$C$487,$L9)</f>
        <v>73.108930198402646</v>
      </c>
    </row>
    <row r="10" spans="1:21" x14ac:dyDescent="0.3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3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3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3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3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3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3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-170536.00091069678</v>
      </c>
      <c r="J16" s="280">
        <f>'Resultater - Vestdanmark'!J16+'Resultater - Østdanmark'!J16</f>
        <v>-91820.003233590673</v>
      </c>
    </row>
    <row r="17" spans="1:10" x14ac:dyDescent="0.3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3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3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-37517.920200353285</v>
      </c>
      <c r="J19" s="280">
        <f>'Resultater - Vestdanmark'!J19+'Resultater - Østdanmark'!J19</f>
        <v>-202004.00711389948</v>
      </c>
    </row>
    <row r="20" spans="1:10" x14ac:dyDescent="0.3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3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3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-955001.60509990179</v>
      </c>
    </row>
    <row r="23" spans="1:10" x14ac:dyDescent="0.3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13023.299967615827</v>
      </c>
    </row>
    <row r="24" spans="1:10" x14ac:dyDescent="0.3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6803.2164009933431</v>
      </c>
    </row>
    <row r="25" spans="1:10" x14ac:dyDescent="0.3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-98910.880528204114</v>
      </c>
    </row>
    <row r="26" spans="1:10" x14ac:dyDescent="0.3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3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3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-852680.0045534838</v>
      </c>
      <c r="J28" s="280">
        <f>'Resultater - Vestdanmark'!J28+'Resultater - Østdanmark'!J28</f>
        <v>-459100.01616795338</v>
      </c>
    </row>
    <row r="29" spans="1:10" x14ac:dyDescent="0.3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15590.210957536196</v>
      </c>
      <c r="J29" s="280">
        <f>'Resultater - Vestdanmark'!J29+'Resultater - Østdanmark'!J29</f>
        <v>83940.822635037228</v>
      </c>
    </row>
    <row r="30" spans="1:10" x14ac:dyDescent="0.3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3897.5527393840489</v>
      </c>
      <c r="J30" s="280">
        <f>'Resultater - Vestdanmark'!J30+'Resultater - Østdanmark'!J30</f>
        <v>20985.205658759307</v>
      </c>
    </row>
    <row r="31" spans="1:10" x14ac:dyDescent="0.3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-109143.04058284592</v>
      </c>
      <c r="J31" s="280">
        <f>'Resultater - Vestdanmark'!J31+'Resultater - Østdanmark'!J31</f>
        <v>-587648.02069498028</v>
      </c>
    </row>
    <row r="32" spans="1:10" x14ac:dyDescent="0.3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164872.66746759511</v>
      </c>
    </row>
    <row r="33" spans="1:10" x14ac:dyDescent="0.3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57071.307969552166</v>
      </c>
    </row>
    <row r="34" spans="1:10" x14ac:dyDescent="0.3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-34107.20018213935</v>
      </c>
    </row>
    <row r="35" spans="1:10" x14ac:dyDescent="0.3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7578.5747710245396</v>
      </c>
    </row>
    <row r="36" spans="1:10" x14ac:dyDescent="0.3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3789.2873855122702</v>
      </c>
    </row>
    <row r="37" spans="1:10" x14ac:dyDescent="0.3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-85268.000455348374</v>
      </c>
    </row>
    <row r="38" spans="1:10" x14ac:dyDescent="0.3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3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3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-170536.00091069678</v>
      </c>
      <c r="J40" s="280">
        <f>'Resultater - Vestdanmark'!J40+'Resultater - Østdanmark'!J40</f>
        <v>-91820.003233590673</v>
      </c>
    </row>
    <row r="41" spans="1:10" x14ac:dyDescent="0.3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3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3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-28991.120154818447</v>
      </c>
      <c r="J43" s="280">
        <f>'Resultater - Vestdanmark'!J43+'Resultater - Østdanmark'!J43</f>
        <v>-156094.00549710417</v>
      </c>
    </row>
    <row r="44" spans="1:10" x14ac:dyDescent="0.3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3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3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-937948.00500883232</v>
      </c>
    </row>
    <row r="47" spans="1:10" x14ac:dyDescent="0.3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9548.3298944079816</v>
      </c>
    </row>
    <row r="48" spans="1:10" x14ac:dyDescent="0.3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5208.1799424043547</v>
      </c>
    </row>
    <row r="49" spans="1:10" x14ac:dyDescent="0.3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-90384.080482669277</v>
      </c>
    </row>
    <row r="50" spans="1:10" x14ac:dyDescent="0.3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3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3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-648036.8034606477</v>
      </c>
      <c r="J52" s="280">
        <f>'Resultater - Vestdanmark'!J52+'Resultater - Østdanmark'!J52</f>
        <v>-348916.01228764455</v>
      </c>
    </row>
    <row r="53" spans="1:10" x14ac:dyDescent="0.3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3959.063614754531</v>
      </c>
      <c r="J53" s="280">
        <f>'Resultater - Vestdanmark'!J53+'Resultater - Østdanmark'!J53</f>
        <v>21316.392548639309</v>
      </c>
    </row>
    <row r="54" spans="1:10" x14ac:dyDescent="0.3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13856.722651640852</v>
      </c>
      <c r="J54" s="280">
        <f>'Resultater - Vestdanmark'!J54+'Resultater - Østdanmark'!J54</f>
        <v>74607.373920237529</v>
      </c>
    </row>
    <row r="55" spans="1:10" x14ac:dyDescent="0.3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-54571.520291422959</v>
      </c>
      <c r="J55" s="280">
        <f>'Resultater - Vestdanmark'!J55+'Resultater - Østdanmark'!J55</f>
        <v>-293824.01034749014</v>
      </c>
    </row>
    <row r="56" spans="1:10" x14ac:dyDescent="0.3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42614.920853260563</v>
      </c>
    </row>
    <row r="57" spans="1:10" x14ac:dyDescent="0.3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56361.669515602684</v>
      </c>
    </row>
    <row r="58" spans="1:10" x14ac:dyDescent="0.3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-306964.8016392542</v>
      </c>
    </row>
    <row r="59" spans="1:10" x14ac:dyDescent="0.3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3522.4021866566027</v>
      </c>
    </row>
    <row r="60" spans="1:10" x14ac:dyDescent="0.3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1921.3102836308744</v>
      </c>
    </row>
    <row r="61" spans="1:10" x14ac:dyDescent="0.3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-88678.720473562309</v>
      </c>
    </row>
    <row r="62" spans="1:10" x14ac:dyDescent="0.3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3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3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3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3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3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3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3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3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3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3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3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3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11999363.110218991</v>
      </c>
      <c r="J74" s="280">
        <f>'Resultater - Vestdanmark'!J74+'Resultater - Østdanmark'!J74</f>
        <v>7658605.8990418315</v>
      </c>
    </row>
    <row r="75" spans="1:10" x14ac:dyDescent="0.3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12944349.760442937</v>
      </c>
      <c r="J75" s="280">
        <f>'Resultater - Vestdanmark'!J75+'Resultater - Østdanmark'!J75</f>
        <v>8261744.6046084156</v>
      </c>
    </row>
    <row r="76" spans="1:10" x14ac:dyDescent="0.3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1659372.2423267029</v>
      </c>
      <c r="J76" s="280">
        <f>'Resultater - Vestdanmark'!J76+'Resultater - Østdanmark'!J76</f>
        <v>1059096.0476032819</v>
      </c>
    </row>
    <row r="77" spans="1:10" x14ac:dyDescent="0.3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135631.74798119688</v>
      </c>
      <c r="J77" s="280">
        <f>'Resultater - Vestdanmark'!J77+'Resultater - Østdanmark'!J77</f>
        <v>86567.103240797936</v>
      </c>
    </row>
    <row r="78" spans="1:10" x14ac:dyDescent="0.3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-7405373229.7781744</v>
      </c>
      <c r="J78" s="280">
        <f>'Resultater - Vestdanmark'!J78+'Resultater - Østdanmark'!J78</f>
        <v>-4726487112.7939835</v>
      </c>
    </row>
    <row r="79" spans="1:10" x14ac:dyDescent="0.3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-568731.83302328084</v>
      </c>
      <c r="J79" s="280">
        <f>'Resultater - Vestdanmark'!J79+'Resultater - Østdanmark'!J79</f>
        <v>-362993.67986085394</v>
      </c>
    </row>
    <row r="80" spans="1:10" x14ac:dyDescent="0.3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969739.63921150845</v>
      </c>
      <c r="J80" s="280">
        <f>'Resultater - Vestdanmark'!J80+'Resultater - Østdanmark'!J80</f>
        <v>618937.32635484973</v>
      </c>
    </row>
    <row r="81" spans="1:10" x14ac:dyDescent="0.3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268337.40276130312</v>
      </c>
      <c r="J81" s="280">
        <f>'Resultater - Vestdanmark'!J81+'Resultater - Østdanmark'!J81</f>
        <v>295150.35129194462</v>
      </c>
    </row>
    <row r="82" spans="1:10" x14ac:dyDescent="0.3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3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290856.52074089216</v>
      </c>
      <c r="J83" s="280">
        <f>'Resultater - Vestdanmark'!J83+'Resultater - Østdanmark'!J83</f>
        <v>319919.63620737183</v>
      </c>
    </row>
    <row r="84" spans="1:10" x14ac:dyDescent="0.3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8895.580018803088</v>
      </c>
      <c r="J84" s="280">
        <f>'Resultater - Vestdanmark'!J84+'Resultater - Østdanmark'!J84</f>
        <v>9784.448759202056</v>
      </c>
    </row>
    <row r="85" spans="1:10" x14ac:dyDescent="0.3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-485690784.90182483</v>
      </c>
      <c r="J85" s="280">
        <f>'Resultater - Vestdanmark'!J85+'Resultater - Østdanmark'!J85</f>
        <v>-534222230.32601655</v>
      </c>
    </row>
    <row r="86" spans="1:10" x14ac:dyDescent="0.3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-32787.406721545332</v>
      </c>
      <c r="J86" s="280">
        <f>'Resultater - Vestdanmark'!J86+'Resultater - Østdanmark'!J86</f>
        <v>-36063.606907696885</v>
      </c>
    </row>
    <row r="87" spans="1:10" x14ac:dyDescent="0.3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69961.763046273118</v>
      </c>
      <c r="J87" s="280">
        <f>'Resultater - Vestdanmark'!J87+'Resultater - Østdanmark'!J87</f>
        <v>76952.518462286942</v>
      </c>
    </row>
    <row r="88" spans="1:10" x14ac:dyDescent="0.3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343504.41336069477</v>
      </c>
      <c r="J88" s="280">
        <f>'Resultater - Vestdanmark'!J88+'Resultater - Østdanmark'!J88</f>
        <v>204318.01879567697</v>
      </c>
    </row>
    <row r="89" spans="1:10" x14ac:dyDescent="0.3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9967942.9800798073</v>
      </c>
      <c r="J89" s="280">
        <f>'Resultater - Vestdanmark'!J89+'Resultater - Østdanmark'!J89</f>
        <v>5928978.7319839485</v>
      </c>
    </row>
    <row r="90" spans="1:10" x14ac:dyDescent="0.3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195343.77170144278</v>
      </c>
      <c r="J90" s="280">
        <f>'Resultater - Vestdanmark'!J90+'Resultater - Østdanmark'!J90</f>
        <v>116191.38172819979</v>
      </c>
    </row>
    <row r="91" spans="1:10" x14ac:dyDescent="0.3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3731303.0466279737</v>
      </c>
      <c r="J91" s="280">
        <f>'Resultater - Vestdanmark'!J91+'Resultater - Østdanmark'!J91</f>
        <v>2219396.3639494102</v>
      </c>
    </row>
    <row r="92" spans="1:10" x14ac:dyDescent="0.3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42507.033653433064</v>
      </c>
      <c r="J92" s="280">
        <f>'Resultater - Vestdanmark'!J92+'Resultater - Østdanmark'!J92</f>
        <v>25283.380833395662</v>
      </c>
    </row>
    <row r="93" spans="1:10" x14ac:dyDescent="0.3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-2586204586.6692138</v>
      </c>
      <c r="J93" s="280">
        <f>'Resultater - Vestdanmark'!J93+'Resultater - Østdanmark'!J93</f>
        <v>-1538286487.1482584</v>
      </c>
    </row>
    <row r="94" spans="1:10" x14ac:dyDescent="0.3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-10817.013072585138</v>
      </c>
      <c r="J94" s="280">
        <f>'Resultater - Vestdanmark'!J94+'Resultater - Østdanmark'!J94</f>
        <v>-6434.0095623657107</v>
      </c>
    </row>
    <row r="95" spans="1:10" x14ac:dyDescent="0.3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2797326.9329336165</v>
      </c>
      <c r="J95" s="280">
        <f>'Resultater - Vestdanmark'!J95+'Resultater - Østdanmark'!J95</f>
        <v>1663863.0382330411</v>
      </c>
    </row>
    <row r="96" spans="1:10" x14ac:dyDescent="0.3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21412.262565954799</v>
      </c>
      <c r="J96" s="280">
        <f>'Resultater - Vestdanmark'!J96+'Resultater - Østdanmark'!J96</f>
        <v>16493.858212873602</v>
      </c>
    </row>
    <row r="97" spans="1:10" x14ac:dyDescent="0.3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1157085.7271217881</v>
      </c>
      <c r="J97" s="280">
        <f>'Resultater - Vestdanmark'!J97+'Resultater - Østdanmark'!J97</f>
        <v>891302.72265720798</v>
      </c>
    </row>
    <row r="98" spans="1:10" x14ac:dyDescent="0.3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9553.1632986567565</v>
      </c>
      <c r="J98" s="280">
        <f>'Resultater - Vestdanmark'!J98+'Resultater - Østdanmark'!J98</f>
        <v>7358.7982795897606</v>
      </c>
    </row>
    <row r="99" spans="1:10" x14ac:dyDescent="0.3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441971.06065624644</v>
      </c>
      <c r="J99" s="280">
        <f>'Resultater - Vestdanmark'!J99+'Resultater - Østdanmark'!J99</f>
        <v>340450.15029136534</v>
      </c>
    </row>
    <row r="100" spans="1:10" x14ac:dyDescent="0.3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8833.5743465669384</v>
      </c>
      <c r="J100" s="280">
        <f>'Resultater - Vestdanmark'!J100+'Resultater - Østdanmark'!J100</f>
        <v>6804.4991666043361</v>
      </c>
    </row>
    <row r="101" spans="1:10" x14ac:dyDescent="0.3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-537450594.13078606</v>
      </c>
      <c r="J101" s="280">
        <f>'Resultater - Vestdanmark'!J101+'Resultater - Østdanmark'!J101</f>
        <v>-413998000.85174125</v>
      </c>
    </row>
    <row r="102" spans="1:10" x14ac:dyDescent="0.3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-2709.8349283905177</v>
      </c>
      <c r="J102" s="280">
        <f>'Resultater - Vestdanmark'!J102+'Resultater - Østdanmark'!J102</f>
        <v>-2087.3848782440737</v>
      </c>
    </row>
    <row r="103" spans="1:10" x14ac:dyDescent="0.3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486132.10955144238</v>
      </c>
      <c r="J103" s="280">
        <f>'Resultater - Vestdanmark'!J103+'Resultater - Østdanmark'!J103</f>
        <v>374467.39049498882</v>
      </c>
    </row>
    <row r="104" spans="1:10" x14ac:dyDescent="0.3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3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3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3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3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3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3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3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3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3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3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3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3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3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3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3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3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5537251.9117043205</v>
      </c>
      <c r="J120" s="280">
        <f>'Resultater - Vestdanmark'!J120+'Resultater - Østdanmark'!J120</f>
        <v>4678340.6372736003</v>
      </c>
    </row>
    <row r="121" spans="1:10" x14ac:dyDescent="0.3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1676155.0796157201</v>
      </c>
      <c r="J121" s="280">
        <f>'Resultater - Vestdanmark'!J121+'Resultater - Østdanmark'!J121</f>
        <v>1416158.1499955999</v>
      </c>
    </row>
    <row r="122" spans="1:10" x14ac:dyDescent="0.3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-117896648.96000001</v>
      </c>
      <c r="J122" s="280">
        <f>'Resultater - Vestdanmark'!J122+'Resultater - Østdanmark'!J122</f>
        <v>-99609100.799999982</v>
      </c>
    </row>
    <row r="123" spans="1:10" x14ac:dyDescent="0.3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1675380.9167860164</v>
      </c>
      <c r="J123" s="280">
        <f>'Resultater - Vestdanmark'!J123+'Resultater - Østdanmark'!J123</f>
        <v>1415504.0714953218</v>
      </c>
    </row>
    <row r="124" spans="1:10" x14ac:dyDescent="0.3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185152.60445012414</v>
      </c>
      <c r="J124" s="280">
        <f>'Resultater - Vestdanmark'!J124+'Resultater - Østdanmark'!J124</f>
        <v>4.4858668470684426</v>
      </c>
    </row>
    <row r="125" spans="1:10" x14ac:dyDescent="0.3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56046.660582150449</v>
      </c>
      <c r="J125" s="280">
        <f>'Resultater - Vestdanmark'!J125+'Resultater - Østdanmark'!J125</f>
        <v>1.3578953282404007</v>
      </c>
    </row>
    <row r="126" spans="1:10" x14ac:dyDescent="0.3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-2669187.7828355702</v>
      </c>
      <c r="J126" s="280">
        <f>'Resultater - Vestdanmark'!J126+'Resultater - Østdanmark'!J126</f>
        <v>-64.668930902603776</v>
      </c>
    </row>
    <row r="127" spans="1:10" x14ac:dyDescent="0.3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328344.88640409685</v>
      </c>
      <c r="J127" s="280">
        <f>'Resultater - Vestdanmark'!J127+'Resultater - Østdanmark'!J127</f>
        <v>7.955121369742117</v>
      </c>
    </row>
    <row r="128" spans="1:10" x14ac:dyDescent="0.3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3.6033265463698143</v>
      </c>
      <c r="J128" s="280">
        <f>'Resultater - Vestdanmark'!J128+'Resultater - Østdanmark'!J128</f>
        <v>3.4366987291966442</v>
      </c>
    </row>
    <row r="129" spans="1:10" x14ac:dyDescent="0.3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1.090745768933773</v>
      </c>
      <c r="J129" s="280">
        <f>'Resultater - Vestdanmark'!J129+'Resultater - Østdanmark'!J129</f>
        <v>1.0403066582316334</v>
      </c>
    </row>
    <row r="130" spans="1:10" x14ac:dyDescent="0.3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-34.250174004865642</v>
      </c>
      <c r="J130" s="280">
        <f>'Resultater - Vestdanmark'!J130+'Resultater - Østdanmark'!J130</f>
        <v>-32.666350929496133</v>
      </c>
    </row>
    <row r="131" spans="1:10" x14ac:dyDescent="0.3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14.02602657880453</v>
      </c>
      <c r="J131" s="280">
        <f>'Resultater - Vestdanmark'!J131+'Resultater - Østdanmark'!J131</f>
        <v>13.3774241936575</v>
      </c>
    </row>
    <row r="132" spans="1:10" x14ac:dyDescent="0.3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579010.90799266566</v>
      </c>
      <c r="J132" s="280">
        <f>'Resultater - Vestdanmark'!J132+'Resultater - Østdanmark'!J132</f>
        <v>664891.44208524795</v>
      </c>
    </row>
    <row r="133" spans="1:10" x14ac:dyDescent="0.3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175269.62653322762</v>
      </c>
      <c r="J133" s="280">
        <f>'Resultater - Vestdanmark'!J133+'Resultater - Østdanmark'!J133</f>
        <v>201266.11283270799</v>
      </c>
    </row>
    <row r="134" spans="1:10" x14ac:dyDescent="0.3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-12328036.876800001</v>
      </c>
      <c r="J134" s="280">
        <f>'Resultater - Vestdanmark'!J134+'Resultater - Østdanmark'!J134</f>
        <v>-14156566.143999998</v>
      </c>
    </row>
    <row r="135" spans="1:10" x14ac:dyDescent="0.3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261475.63441169041</v>
      </c>
      <c r="J135" s="280">
        <f>'Resultater - Vestdanmark'!J135+'Resultater - Østdanmark'!J135</f>
        <v>300258.43940809852</v>
      </c>
    </row>
    <row r="136" spans="1:10" x14ac:dyDescent="0.3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19360.754997125699</v>
      </c>
      <c r="J136" s="280">
        <f>'Resultater - Vestdanmark'!J136+'Resultater - Østdanmark'!J136</f>
        <v>0.63753683371972725</v>
      </c>
    </row>
    <row r="137" spans="1:10" x14ac:dyDescent="0.3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5860.6016759023223</v>
      </c>
      <c r="J137" s="280">
        <f>'Resultater - Vestdanmark'!J137+'Resultater - Østdanmark'!J137</f>
        <v>0.19298572998325697</v>
      </c>
    </row>
    <row r="138" spans="1:10" x14ac:dyDescent="0.3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-279107.55486413569</v>
      </c>
      <c r="J138" s="280">
        <f>'Resultater - Vestdanmark'!J138+'Resultater - Østdanmark'!J138</f>
        <v>-9.190826846460963</v>
      </c>
    </row>
    <row r="139" spans="1:10" x14ac:dyDescent="0.3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51244.577646882164</v>
      </c>
      <c r="J139" s="280">
        <f>'Resultater - Vestdanmark'!J139+'Resultater - Østdanmark'!J139</f>
        <v>1.6874499875210551</v>
      </c>
    </row>
    <row r="140" spans="1:10" x14ac:dyDescent="0.3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0.37678715158283216</v>
      </c>
      <c r="J140" s="280">
        <f>'Resultater - Vestdanmark'!J140+'Resultater - Østdanmark'!J140</f>
        <v>0.48842778908885631</v>
      </c>
    </row>
    <row r="141" spans="1:10" x14ac:dyDescent="0.3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0.11405543907521365</v>
      </c>
      <c r="J141" s="280">
        <f>'Resultater - Vestdanmark'!J141+'Resultater - Østdanmark'!J141</f>
        <v>0.14784964324564728</v>
      </c>
    </row>
    <row r="142" spans="1:10" x14ac:dyDescent="0.3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-3.5814199291793036</v>
      </c>
      <c r="J142" s="280">
        <f>'Resultater - Vestdanmark'!J142+'Resultater - Østdanmark'!J142</f>
        <v>-4.6425813896768746</v>
      </c>
    </row>
    <row r="143" spans="1:10" x14ac:dyDescent="0.3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2.1890330498712274</v>
      </c>
      <c r="J143" s="280">
        <f>'Resultater - Vestdanmark'!J143+'Resultater - Østdanmark'!J143</f>
        <v>2.8376354350182571</v>
      </c>
    </row>
    <row r="144" spans="1:10" x14ac:dyDescent="0.3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406691.30648753804</v>
      </c>
      <c r="J144" s="280">
        <f>'Resultater - Vestdanmark'!J144+'Resultater - Østdanmark'!J144</f>
        <v>343261.14797977201</v>
      </c>
    </row>
    <row r="145" spans="1:10" x14ac:dyDescent="0.3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-3684270.28</v>
      </c>
      <c r="J145" s="280">
        <f>'Resultater - Vestdanmark'!J145+'Resultater - Østdanmark'!J145</f>
        <v>-3112784.3999999994</v>
      </c>
    </row>
    <row r="146" spans="1:10" x14ac:dyDescent="0.3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41884.522919650408</v>
      </c>
      <c r="J146" s="280">
        <f>'Resultater - Vestdanmark'!J146+'Resultater - Østdanmark'!J146</f>
        <v>35387.601787383042</v>
      </c>
    </row>
    <row r="147" spans="1:10" x14ac:dyDescent="0.3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2297.9681683144686</v>
      </c>
      <c r="J147" s="280">
        <f>'Resultater - Vestdanmark'!J147+'Resultater - Østdanmark'!J147</f>
        <v>5.5618947279484909E-2</v>
      </c>
    </row>
    <row r="148" spans="1:10" x14ac:dyDescent="0.3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-16914.297772363989</v>
      </c>
      <c r="J148" s="280">
        <f>'Resultater - Vestdanmark'!J148+'Resultater - Østdanmark'!J148</f>
        <v>-0.40979865146300187</v>
      </c>
    </row>
    <row r="149" spans="1:10" x14ac:dyDescent="0.3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1387.1193867501797</v>
      </c>
      <c r="J149" s="280">
        <f>'Resultater - Vestdanmark'!J149+'Resultater - Østdanmark'!J149</f>
        <v>3.3607050186687304E-2</v>
      </c>
    </row>
    <row r="150" spans="1:10" x14ac:dyDescent="0.3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2.2672099525195683E-2</v>
      </c>
      <c r="J150" s="280">
        <f>'Resultater - Vestdanmark'!J150+'Resultater - Østdanmark'!J150</f>
        <v>2.1601891656051607E-2</v>
      </c>
    </row>
    <row r="151" spans="1:10" x14ac:dyDescent="0.3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-0.13937147708266634</v>
      </c>
      <c r="J151" s="280">
        <f>'Resultater - Vestdanmark'!J151+'Resultater - Østdanmark'!J151</f>
        <v>-0.13292655328693606</v>
      </c>
    </row>
    <row r="152" spans="1:10" x14ac:dyDescent="0.3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3.003946385807555E-2</v>
      </c>
      <c r="J152" s="280">
        <f>'Resultater - Vestdanmark'!J152+'Resultater - Østdanmark'!J152</f>
        <v>2.8650355702788816E-2</v>
      </c>
    </row>
    <row r="153" spans="1:10" x14ac:dyDescent="0.3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36179.070559787338</v>
      </c>
      <c r="J153" s="280">
        <f>'Resultater - Vestdanmark'!J153+'Resultater - Østdanmark'!J153</f>
        <v>41503.393346645156</v>
      </c>
    </row>
    <row r="154" spans="1:10" x14ac:dyDescent="0.3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-327750.9804</v>
      </c>
      <c r="J154" s="280">
        <f>'Resultater - Vestdanmark'!J154+'Resultater - Østdanmark'!J154</f>
        <v>-376363.93199999991</v>
      </c>
    </row>
    <row r="155" spans="1:10" x14ac:dyDescent="0.3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6536.8908602922602</v>
      </c>
      <c r="J155" s="280">
        <f>'Resultater - Vestdanmark'!J155+'Resultater - Østdanmark'!J155</f>
        <v>7506.4609852024632</v>
      </c>
    </row>
    <row r="156" spans="1:10" x14ac:dyDescent="0.3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204.42618560901545</v>
      </c>
      <c r="J156" s="280">
        <f>'Resultater - Vestdanmark'!J156+'Resultater - Østdanmark'!J156</f>
        <v>6.7248363528831755E-3</v>
      </c>
    </row>
    <row r="157" spans="1:10" x14ac:dyDescent="0.3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-1504.6881081889119</v>
      </c>
      <c r="J157" s="280">
        <f>'Resultater - Vestdanmark'!J157+'Resultater - Østdanmark'!J157</f>
        <v>-4.9548382404162948E-2</v>
      </c>
    </row>
    <row r="158" spans="1:10" x14ac:dyDescent="0.3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216.48684070667548</v>
      </c>
      <c r="J158" s="280">
        <f>'Resultater - Vestdanmark'!J158+'Resultater - Østdanmark'!J158</f>
        <v>7.1287682214185187E-3</v>
      </c>
    </row>
    <row r="159" spans="1:10" x14ac:dyDescent="0.3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2.0168994895535352E-3</v>
      </c>
      <c r="J159" s="280">
        <f>'Resultater - Vestdanmark'!J159+'Resultater - Østdanmark'!J159</f>
        <v>2.6118650820498761E-3</v>
      </c>
    </row>
    <row r="160" spans="1:10" x14ac:dyDescent="0.3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-1.2398422152036039E-2</v>
      </c>
      <c r="J160" s="280">
        <f>'Resultater - Vestdanmark'!J160+'Resultater - Østdanmark'!J160</f>
        <v>-1.6072028715602271E-2</v>
      </c>
    </row>
    <row r="161" spans="1:10" x14ac:dyDescent="0.3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4.6882400240927154E-3</v>
      </c>
      <c r="J161" s="280">
        <f>'Resultater - Vestdanmark'!J161+'Resultater - Østdanmark'!J161</f>
        <v>6.0773481793794451E-3</v>
      </c>
    </row>
    <row r="162" spans="1:10" x14ac:dyDescent="0.3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52611.900916085557</v>
      </c>
      <c r="J162" s="280">
        <f>'Resultater - Vestdanmark'!J162+'Resultater - Østdanmark'!J162</f>
        <v>50141.708429346807</v>
      </c>
    </row>
    <row r="163" spans="1:10" x14ac:dyDescent="0.3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-38866993.456431657</v>
      </c>
      <c r="J163" s="280">
        <f>'Resultater - Vestdanmark'!J163+'Resultater - Østdanmark'!J163</f>
        <v>-32684242.082404464</v>
      </c>
    </row>
    <row r="164" spans="1:10" x14ac:dyDescent="0.3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8416.3489621888493</v>
      </c>
      <c r="J164" s="280">
        <f>'Resultater - Vestdanmark'!J164+'Resultater - Østdanmark'!J164</f>
        <v>7077.5216312661232</v>
      </c>
    </row>
    <row r="165" spans="1:10" x14ac:dyDescent="0.3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4680.330376292236</v>
      </c>
      <c r="J165" s="280">
        <f>'Resultater - Vestdanmark'!J165+'Resultater - Østdanmark'!J165</f>
        <v>6062.5883828210235</v>
      </c>
    </row>
    <row r="166" spans="1:10" x14ac:dyDescent="0.3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-3457589.764707996</v>
      </c>
      <c r="J166" s="280">
        <f>'Resultater - Vestdanmark'!J166+'Resultater - Østdanmark'!J166</f>
        <v>-3951821.9972361764</v>
      </c>
    </row>
    <row r="167" spans="1:10" x14ac:dyDescent="0.3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1313.5342310930578</v>
      </c>
      <c r="J167" s="280">
        <f>'Resultater - Vestdanmark'!J167+'Resultater - Østdanmark'!J167</f>
        <v>1501.2924672382685</v>
      </c>
    </row>
    <row r="168" spans="1:10" x14ac:dyDescent="0.3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2096755.2539857356</v>
      </c>
      <c r="J168" s="280">
        <f>'Resultater - Vestdanmark'!J168+'Resultater - Østdanmark'!J168</f>
        <v>1771516.8945815871</v>
      </c>
    </row>
    <row r="169" spans="1:10" x14ac:dyDescent="0.3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-6908006.7750000004</v>
      </c>
      <c r="J169" s="280">
        <f>'Resultater - Vestdanmark'!J169+'Resultater - Østdanmark'!J169</f>
        <v>-5836470.75</v>
      </c>
    </row>
    <row r="170" spans="1:10" x14ac:dyDescent="0.3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104711.30729912603</v>
      </c>
      <c r="J170" s="280">
        <f>'Resultater - Vestdanmark'!J170+'Resultater - Østdanmark'!J170</f>
        <v>88469.004468457613</v>
      </c>
    </row>
    <row r="171" spans="1:10" x14ac:dyDescent="0.3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62909.083443499112</v>
      </c>
      <c r="J171" s="280">
        <f>'Resultater - Vestdanmark'!J171+'Resultater - Østdanmark'!J171</f>
        <v>1.5241577218777458</v>
      </c>
    </row>
    <row r="172" spans="1:10" x14ac:dyDescent="0.3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-138174.24925509488</v>
      </c>
      <c r="J172" s="280">
        <f>'Resultater - Vestdanmark'!J172+'Resultater - Østdanmark'!J172</f>
        <v>-3.3476779097562277</v>
      </c>
    </row>
    <row r="173" spans="1:10" x14ac:dyDescent="0.3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18413.669696201938</v>
      </c>
      <c r="J173" s="280">
        <f>'Resultater - Vestdanmark'!J173+'Resultater - Østdanmark'!J173</f>
        <v>0.44612534978003476</v>
      </c>
    </row>
    <row r="174" spans="1:10" x14ac:dyDescent="0.3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2.0521016512724364</v>
      </c>
      <c r="J174" s="280">
        <f>'Resultater - Vestdanmark'!J174+'Resultater - Østdanmark'!J174</f>
        <v>1.9572067772251565</v>
      </c>
    </row>
    <row r="175" spans="1:10" x14ac:dyDescent="0.3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-2.8975243840006524</v>
      </c>
      <c r="J175" s="280">
        <f>'Resultater - Vestdanmark'!J175+'Resultater - Østdanmark'!J175</f>
        <v>-2.7635348171104486</v>
      </c>
    </row>
    <row r="176" spans="1:10" x14ac:dyDescent="0.3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1.3184281443992363</v>
      </c>
      <c r="J176" s="280">
        <f>'Resultater - Vestdanmark'!J176+'Resultater - Østdanmark'!J176</f>
        <v>1.2574603689356878</v>
      </c>
    </row>
    <row r="177" spans="1:10" x14ac:dyDescent="0.3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186526.37779676571</v>
      </c>
      <c r="J177" s="280">
        <f>'Resultater - Vestdanmark'!J177+'Resultater - Østdanmark'!J177</f>
        <v>214192.49725395549</v>
      </c>
    </row>
    <row r="178" spans="1:10" x14ac:dyDescent="0.3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-614533.08824999991</v>
      </c>
      <c r="J178" s="280">
        <f>'Resultater - Vestdanmark'!J178+'Resultater - Østdanmark'!J178</f>
        <v>-705682.37249999982</v>
      </c>
    </row>
    <row r="179" spans="1:10" x14ac:dyDescent="0.3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16342.22715073065</v>
      </c>
      <c r="J179" s="280">
        <f>'Resultater - Vestdanmark'!J179+'Resultater - Østdanmark'!J179</f>
        <v>18766.152463006158</v>
      </c>
    </row>
    <row r="180" spans="1:10" x14ac:dyDescent="0.3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5596.3629722280421</v>
      </c>
      <c r="J180" s="280">
        <f>'Resultater - Vestdanmark'!J180+'Resultater - Østdanmark'!J180</f>
        <v>0.18428452455430924</v>
      </c>
    </row>
    <row r="181" spans="1:10" x14ac:dyDescent="0.3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-12291.917318126647</v>
      </c>
      <c r="J181" s="280">
        <f>'Resultater - Vestdanmark'!J181+'Resultater - Østdanmark'!J181</f>
        <v>-0.40476469272507115</v>
      </c>
    </row>
    <row r="182" spans="1:10" x14ac:dyDescent="0.3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2873.8097213725573</v>
      </c>
      <c r="J182" s="280">
        <f>'Resultater - Vestdanmark'!J182+'Resultater - Østdanmark'!J182</f>
        <v>9.4632649953340711E-2</v>
      </c>
    </row>
    <row r="183" spans="1:10" x14ac:dyDescent="0.3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0.1825540139484555</v>
      </c>
      <c r="J183" s="280">
        <f>'Resultater - Vestdanmark'!J183+'Resultater - Østdanmark'!J183</f>
        <v>0.23664409215540524</v>
      </c>
    </row>
    <row r="184" spans="1:10" x14ac:dyDescent="0.3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-0.25776242930502913</v>
      </c>
      <c r="J184" s="280">
        <f>'Resultater - Vestdanmark'!J184+'Resultater - Østdanmark'!J184</f>
        <v>-0.33413648243244515</v>
      </c>
    </row>
    <row r="185" spans="1:10" x14ac:dyDescent="0.3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0.2057662421894762</v>
      </c>
      <c r="J185" s="280">
        <f>'Resultater - Vestdanmark'!J185+'Resultater - Østdanmark'!J185</f>
        <v>0.26673401765302468</v>
      </c>
    </row>
    <row r="186" spans="1:10" x14ac:dyDescent="0.3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6369222.0366690233</v>
      </c>
      <c r="J186" s="280">
        <f>'Resultater - Vestdanmark'!J186+'Resultater - Østdanmark'!J186</f>
        <v>5381259.6495715193</v>
      </c>
    </row>
    <row r="187" spans="1:10" x14ac:dyDescent="0.3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-18559511.535500001</v>
      </c>
      <c r="J187" s="280">
        <f>'Resultater - Vestdanmark'!J187+'Resultater - Østdanmark'!J187</f>
        <v>-15680651.414999999</v>
      </c>
    </row>
    <row r="188" spans="1:10" x14ac:dyDescent="0.3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272249.39897772763</v>
      </c>
      <c r="J188" s="280">
        <f>'Resultater - Vestdanmark'!J188+'Resultater - Østdanmark'!J188</f>
        <v>230019.41161798977</v>
      </c>
    </row>
    <row r="189" spans="1:10" x14ac:dyDescent="0.3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1024804.3601013478</v>
      </c>
      <c r="J189" s="280">
        <f>'Resultater - Vestdanmark'!J189+'Resultater - Østdanmark'!J189</f>
        <v>24.828902176990834</v>
      </c>
    </row>
    <row r="190" spans="1:10" x14ac:dyDescent="0.3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-2087139.7310664158</v>
      </c>
      <c r="J190" s="280">
        <f>'Resultater - Vestdanmark'!J190+'Resultater - Østdanmark'!J190</f>
        <v>-50.567103566220311</v>
      </c>
    </row>
    <row r="191" spans="1:10" x14ac:dyDescent="0.3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256745.38985730708</v>
      </c>
      <c r="J191" s="280">
        <f>'Resultater - Vestdanmark'!J191+'Resultater - Østdanmark'!J191</f>
        <v>6.2204128098459952</v>
      </c>
    </row>
    <row r="192" spans="1:10" x14ac:dyDescent="0.3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40.223420673759442</v>
      </c>
      <c r="J192" s="280">
        <f>'Resultater - Vestdanmark'!J192+'Resultater - Østdanmark'!J192</f>
        <v>38.363378099250326</v>
      </c>
    </row>
    <row r="193" spans="1:10" x14ac:dyDescent="0.3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-56.713796317158888</v>
      </c>
      <c r="J193" s="280">
        <f>'Resultater - Vestdanmark'!J193+'Resultater - Østdanmark'!J193</f>
        <v>-54.091193019255577</v>
      </c>
    </row>
    <row r="194" spans="1:10" x14ac:dyDescent="0.3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22.119295744762979</v>
      </c>
      <c r="J194" s="280">
        <f>'Resultater - Vestdanmark'!J194+'Resultater - Østdanmark'!J194</f>
        <v>21.096438138068734</v>
      </c>
    </row>
    <row r="195" spans="1:10" x14ac:dyDescent="0.3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775351.53810548957</v>
      </c>
      <c r="J195" s="280">
        <f>'Resultater - Vestdanmark'!J195+'Resultater - Østdanmark'!J195</f>
        <v>890353.86929274246</v>
      </c>
    </row>
    <row r="196" spans="1:10" x14ac:dyDescent="0.3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-2259325.5083100004</v>
      </c>
      <c r="J196" s="280">
        <f>'Resultater - Vestdanmark'!J196+'Resultater - Østdanmark'!J196</f>
        <v>-2594435.0523000001</v>
      </c>
    </row>
    <row r="197" spans="1:10" x14ac:dyDescent="0.3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42489.790591899698</v>
      </c>
      <c r="J197" s="280">
        <f>'Resultater - Vestdanmark'!J197+'Resultater - Østdanmark'!J197</f>
        <v>48791.996403816011</v>
      </c>
    </row>
    <row r="198" spans="1:10" x14ac:dyDescent="0.3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124753.64059962072</v>
      </c>
      <c r="J198" s="280">
        <f>'Resultater - Vestdanmark'!J198+'Resultater - Østdanmark'!J198</f>
        <v>4.108054723829393</v>
      </c>
    </row>
    <row r="199" spans="1:10" x14ac:dyDescent="0.3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-254076.08518068626</v>
      </c>
      <c r="J199" s="280">
        <f>'Resultater - Vestdanmark'!J199+'Resultater - Østdanmark'!J199</f>
        <v>-8.3665571355019086</v>
      </c>
    </row>
    <row r="200" spans="1:10" x14ac:dyDescent="0.3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40070.089746516132</v>
      </c>
      <c r="J200" s="280">
        <f>'Resultater - Vestdanmark'!J200+'Resultater - Østdanmark'!J200</f>
        <v>1.3194815051188475</v>
      </c>
    </row>
    <row r="201" spans="1:10" x14ac:dyDescent="0.3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4.8965620773952256</v>
      </c>
      <c r="J201" s="280">
        <f>'Resultater - Vestdanmark'!J201+'Resultater - Østdanmark'!J201</f>
        <v>6.3473952855123272</v>
      </c>
    </row>
    <row r="202" spans="1:10" x14ac:dyDescent="0.3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-6.9040031817304408</v>
      </c>
      <c r="J202" s="280">
        <f>'Resultater - Vestdanmark'!J202+'Resultater - Østdanmark'!J202</f>
        <v>-8.9496337540950144</v>
      </c>
    </row>
    <row r="203" spans="1:10" x14ac:dyDescent="0.3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3.452144422593066</v>
      </c>
      <c r="J203" s="280">
        <f>'Resultater - Vestdanmark'!J203+'Resultater - Østdanmark'!J203</f>
        <v>4.4750020292873067</v>
      </c>
    </row>
    <row r="204" spans="1:10" x14ac:dyDescent="0.3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686034.70546579221</v>
      </c>
      <c r="J204" s="280">
        <f>'Resultater - Vestdanmark'!J204+'Resultater - Østdanmark'!J204</f>
        <v>579620.37710016</v>
      </c>
    </row>
    <row r="205" spans="1:10" x14ac:dyDescent="0.3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188885.352928554</v>
      </c>
      <c r="J205" s="280">
        <f>'Resultater - Vestdanmark'!J205+'Resultater - Østdanmark'!J205</f>
        <v>159586.38625841995</v>
      </c>
    </row>
    <row r="206" spans="1:10" x14ac:dyDescent="0.3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3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376960.70627685369</v>
      </c>
      <c r="J207" s="280">
        <f>'Resultater - Vestdanmark'!J207+'Resultater - Østdanmark'!J207</f>
        <v>318488.41608644737</v>
      </c>
    </row>
    <row r="208" spans="1:10" x14ac:dyDescent="0.3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7998.6666753199652</v>
      </c>
      <c r="J208" s="280">
        <f>'Resultater - Vestdanmark'!J208+'Resultater - Østdanmark'!J208</f>
        <v>0.19379124461201833</v>
      </c>
    </row>
    <row r="209" spans="1:10" x14ac:dyDescent="0.3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2202.2661038698861</v>
      </c>
      <c r="J209" s="280">
        <f>'Resultater - Vestdanmark'!J209+'Resultater - Østdanmark'!J209</f>
        <v>5.3356378826566561E-2</v>
      </c>
    </row>
    <row r="210" spans="1:10" x14ac:dyDescent="0.3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3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25760.171136526707</v>
      </c>
      <c r="J211" s="280">
        <f>'Resultater - Vestdanmark'!J211+'Resultater - Østdanmark'!J211</f>
        <v>0.62411597189932999</v>
      </c>
    </row>
    <row r="212" spans="1:10" x14ac:dyDescent="0.3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0.10379771686059218</v>
      </c>
      <c r="J212" s="280">
        <f>'Resultater - Vestdanmark'!J212+'Resultater - Østdanmark'!J212</f>
        <v>9.8997822439293101E-2</v>
      </c>
    </row>
    <row r="213" spans="1:10" x14ac:dyDescent="0.3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2.8578537246274467E-2</v>
      </c>
      <c r="J213" s="280">
        <f>'Resultater - Vestdanmark'!J213+'Resultater - Østdanmark'!J213</f>
        <v>2.7256986390955411E-2</v>
      </c>
    </row>
    <row r="214" spans="1:10" x14ac:dyDescent="0.3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3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0.73375242649822725</v>
      </c>
      <c r="J215" s="280">
        <f>'Resultater - Vestdanmark'!J215+'Resultater - Østdanmark'!J215</f>
        <v>0.69982167845206633</v>
      </c>
    </row>
    <row r="216" spans="1:10" x14ac:dyDescent="0.3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61029.330156754571</v>
      </c>
      <c r="J216" s="280">
        <f>'Resultater - Vestdanmark'!J216+'Resultater - Østdanmark'!J216</f>
        <v>70081.372867564816</v>
      </c>
    </row>
    <row r="217" spans="1:10" x14ac:dyDescent="0.3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16803.153650696222</v>
      </c>
      <c r="J217" s="280">
        <f>'Resultater - Vestdanmark'!J217+'Resultater - Østdanmark'!J217</f>
        <v>19295.444883972592</v>
      </c>
    </row>
    <row r="218" spans="1:10" x14ac:dyDescent="0.3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3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58832.017742630342</v>
      </c>
      <c r="J219" s="280">
        <f>'Resultater - Vestdanmark'!J219+'Resultater - Østdanmark'!J219</f>
        <v>67558.148866822172</v>
      </c>
    </row>
    <row r="220" spans="1:10" x14ac:dyDescent="0.3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711.55768863106505</v>
      </c>
      <c r="J220" s="280">
        <f>'Resultater - Vestdanmark'!J220+'Resultater - Østdanmark'!J220</f>
        <v>2.34311232121804E-2</v>
      </c>
    </row>
    <row r="221" spans="1:10" x14ac:dyDescent="0.3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195.91257421131527</v>
      </c>
      <c r="J221" s="280">
        <f>'Resultater - Vestdanmark'!J221+'Resultater - Østdanmark'!J221</f>
        <v>6.451271258121229E-3</v>
      </c>
    </row>
    <row r="222" spans="1:10" x14ac:dyDescent="0.3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3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4020.3735299781574</v>
      </c>
      <c r="J223" s="280">
        <f>'Resultater - Vestdanmark'!J223+'Resultater - Østdanmark'!J223</f>
        <v>0.13238823646349424</v>
      </c>
    </row>
    <row r="224" spans="1:10" x14ac:dyDescent="0.3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9.2337968929740652E-3</v>
      </c>
      <c r="J224" s="280">
        <f>'Resultater - Vestdanmark'!J224+'Resultater - Østdanmark'!J224</f>
        <v>1.1969736713114529E-2</v>
      </c>
    </row>
    <row r="225" spans="1:10" x14ac:dyDescent="0.3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2.542333457920023E-3</v>
      </c>
      <c r="J225" s="280">
        <f>'Resultater - Vestdanmark'!J225+'Resultater - Østdanmark'!J225</f>
        <v>3.2956174454518818E-3</v>
      </c>
    </row>
    <row r="226" spans="1:10" x14ac:dyDescent="0.3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3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0.11451627465579269</v>
      </c>
      <c r="J227" s="280">
        <f>'Resultater - Vestdanmark'!J227+'Resultater - Østdanmark'!J227</f>
        <v>0.14844702270195345</v>
      </c>
    </row>
    <row r="228" spans="1:10" x14ac:dyDescent="0.3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802286.69617280003</v>
      </c>
      <c r="J228" s="280">
        <f>'Resultater - Vestdanmark'!J228+'Resultater - Østdanmark'!J228</f>
        <v>677839.93094399991</v>
      </c>
    </row>
    <row r="229" spans="1:10" x14ac:dyDescent="0.3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-1243441.2195000001</v>
      </c>
      <c r="J229" s="280">
        <f>'Resultater - Vestdanmark'!J229+'Resultater - Østdanmark'!J229</f>
        <v>-1050564.7349999999</v>
      </c>
    </row>
    <row r="230" spans="1:10" x14ac:dyDescent="0.3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20942.261459825204</v>
      </c>
      <c r="J230" s="280">
        <f>'Resultater - Vestdanmark'!J230+'Resultater - Østdanmark'!J230</f>
        <v>17693.800893691521</v>
      </c>
    </row>
    <row r="231" spans="1:10" x14ac:dyDescent="0.3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10766.277102214191</v>
      </c>
      <c r="J231" s="280">
        <f>'Resultater - Vestdanmark'!J231+'Resultater - Østdanmark'!J231</f>
        <v>0.26084475377934313</v>
      </c>
    </row>
    <row r="232" spans="1:10" x14ac:dyDescent="0.3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-10815.223714682928</v>
      </c>
      <c r="J232" s="280">
        <f>'Resultater - Vestdanmark'!J232+'Resultater - Østdanmark'!J232</f>
        <v>-0.26203062954275957</v>
      </c>
    </row>
    <row r="233" spans="1:10" x14ac:dyDescent="0.3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1647.1785920113348</v>
      </c>
      <c r="J233" s="280">
        <f>'Resultater - Vestdanmark'!J233+'Resultater - Østdanmark'!J233</f>
        <v>3.9907749929215405E-2</v>
      </c>
    </row>
    <row r="234" spans="1:10" x14ac:dyDescent="0.3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0.15378751976686955</v>
      </c>
      <c r="J234" s="280">
        <f>'Resultater - Vestdanmark'!J234+'Resultater - Østdanmark'!J234</f>
        <v>0.14667595815915305</v>
      </c>
    </row>
    <row r="235" spans="1:10" x14ac:dyDescent="0.3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-9.4583683072740787E-2</v>
      </c>
      <c r="J235" s="280">
        <f>'Resultater - Vestdanmark'!J235+'Resultater - Østdanmark'!J235</f>
        <v>-9.020987113874121E-2</v>
      </c>
    </row>
    <row r="236" spans="1:10" x14ac:dyDescent="0.3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5.1644827751279834E-2</v>
      </c>
      <c r="J236" s="280">
        <f>'Resultater - Vestdanmark'!J236+'Resultater - Østdanmark'!J236</f>
        <v>4.9256627624053022E-2</v>
      </c>
    </row>
    <row r="237" spans="1:10" x14ac:dyDescent="0.3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71371.053491903993</v>
      </c>
      <c r="J237" s="280">
        <f>'Resultater - Vestdanmark'!J237+'Resultater - Østdanmark'!J237</f>
        <v>81957.009832319978</v>
      </c>
    </row>
    <row r="238" spans="1:10" x14ac:dyDescent="0.3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-110615.95588499999</v>
      </c>
      <c r="J238" s="280">
        <f>'Resultater - Vestdanmark'!J238+'Resultater - Østdanmark'!J238</f>
        <v>-127022.82704999996</v>
      </c>
    </row>
    <row r="239" spans="1:10" x14ac:dyDescent="0.3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3268.4454301461301</v>
      </c>
      <c r="J239" s="280">
        <f>'Resultater - Vestdanmark'!J239+'Resultater - Østdanmark'!J239</f>
        <v>3753.2304926012316</v>
      </c>
    </row>
    <row r="240" spans="1:10" x14ac:dyDescent="0.3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957.76303238772471</v>
      </c>
      <c r="J240" s="280">
        <f>'Resultater - Vestdanmark'!J240+'Resultater - Østdanmark'!J240</f>
        <v>3.1538502047866034E-2</v>
      </c>
    </row>
    <row r="241" spans="1:10" x14ac:dyDescent="0.3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-962.117300398672</v>
      </c>
      <c r="J241" s="280">
        <f>'Resultater - Vestdanmark'!J241+'Resultater - Østdanmark'!J241</f>
        <v>-3.1681885208351836E-2</v>
      </c>
    </row>
    <row r="242" spans="1:10" x14ac:dyDescent="0.3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257.07411551621988</v>
      </c>
      <c r="J242" s="280">
        <f>'Resultater - Vestdanmark'!J242+'Resultater - Østdanmark'!J242</f>
        <v>8.465280288015388E-3</v>
      </c>
    </row>
    <row r="243" spans="1:10" x14ac:dyDescent="0.3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1.368086664284464E-2</v>
      </c>
      <c r="J243" s="280">
        <f>'Resultater - Vestdanmark'!J243+'Resultater - Østdanmark'!J243</f>
        <v>1.773445675924305E-2</v>
      </c>
    </row>
    <row r="244" spans="1:10" x14ac:dyDescent="0.3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-8.4141207080316791E-3</v>
      </c>
      <c r="J244" s="280">
        <f>'Resultater - Vestdanmark'!J244+'Resultater - Østdanmark'!J244</f>
        <v>-1.0907193510411434E-2</v>
      </c>
    </row>
    <row r="245" spans="1:10" x14ac:dyDescent="0.3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8.0601754293904947E-3</v>
      </c>
      <c r="J245" s="280">
        <f>'Resultater - Vestdanmark'!J245+'Resultater - Østdanmark'!J245</f>
        <v>1.0448375556617307E-2</v>
      </c>
    </row>
    <row r="246" spans="1:10" x14ac:dyDescent="0.3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83828.938534896006</v>
      </c>
      <c r="J246" s="280">
        <f>'Resultater - Vestdanmark'!J246+'Resultater - Østdanmark'!J246</f>
        <v>70825.806010080007</v>
      </c>
    </row>
    <row r="247" spans="1:10" x14ac:dyDescent="0.3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-1289494.598</v>
      </c>
      <c r="J247" s="280">
        <f>'Resultater - Vestdanmark'!J247+'Resultater - Østdanmark'!J247</f>
        <v>-1089474.54</v>
      </c>
    </row>
    <row r="248" spans="1:10" x14ac:dyDescent="0.3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18105.373344225201</v>
      </c>
      <c r="J248" s="280">
        <f>'Resultater - Vestdanmark'!J248+'Resultater - Østdanmark'!J248</f>
        <v>15296.956905691521</v>
      </c>
    </row>
    <row r="249" spans="1:10" x14ac:dyDescent="0.3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893.53748626041113</v>
      </c>
      <c r="J249" s="280">
        <f>'Resultater - Vestdanmark'!J249+'Resultater - Østdanmark'!J249</f>
        <v>2.1648575768810095E-2</v>
      </c>
    </row>
    <row r="250" spans="1:10" x14ac:dyDescent="0.3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-11453.99768644791</v>
      </c>
      <c r="J250" s="280">
        <f>'Resultater - Vestdanmark'!J250+'Resultater - Østdanmark'!J250</f>
        <v>-0.27750680926505333</v>
      </c>
    </row>
    <row r="251" spans="1:10" x14ac:dyDescent="0.3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872.27873299137991</v>
      </c>
      <c r="J251" s="280">
        <f>'Resultater - Vestdanmark'!J251+'Resultater - Østdanmark'!J251</f>
        <v>2.1133519894857723E-2</v>
      </c>
    </row>
    <row r="252" spans="1:10" x14ac:dyDescent="0.3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1.9793213778413025E-2</v>
      </c>
      <c r="J252" s="280">
        <f>'Resultater - Vestdanmark'!J252+'Resultater - Østdanmark'!J252</f>
        <v>1.8877920655711849E-2</v>
      </c>
    </row>
    <row r="253" spans="1:10" x14ac:dyDescent="0.3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-0.21747725351173711</v>
      </c>
      <c r="J253" s="280">
        <f>'Resultater - Vestdanmark'!J253+'Resultater - Østdanmark'!J253</f>
        <v>-0.20742050190425795</v>
      </c>
    </row>
    <row r="254" spans="1:10" x14ac:dyDescent="0.3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4.427478722479776E-2</v>
      </c>
      <c r="J254" s="280">
        <f>'Resultater - Vestdanmark'!J254+'Resultater - Østdanmark'!J254</f>
        <v>4.2227398220182844E-2</v>
      </c>
    </row>
    <row r="255" spans="1:10" x14ac:dyDescent="0.3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7457.3836072372796</v>
      </c>
      <c r="J255" s="280">
        <f>'Resultater - Vestdanmark'!J255+'Resultater - Østdanmark'!J255</f>
        <v>8563.4838175823988</v>
      </c>
    </row>
    <row r="256" spans="1:10" x14ac:dyDescent="0.3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-114712.84314000001</v>
      </c>
      <c r="J256" s="280">
        <f>'Resultater - Vestdanmark'!J256+'Resultater - Østdanmark'!J256</f>
        <v>-131727.37619999997</v>
      </c>
    </row>
    <row r="257" spans="1:10" x14ac:dyDescent="0.3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2825.6941057461299</v>
      </c>
      <c r="J257" s="280">
        <f>'Resultater - Vestdanmark'!J257+'Resultater - Østdanmark'!J257</f>
        <v>3244.8090406012316</v>
      </c>
    </row>
    <row r="258" spans="1:10" x14ac:dyDescent="0.3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79.488681581200737</v>
      </c>
      <c r="J258" s="280">
        <f>'Resultater - Vestdanmark'!J258+'Resultater - Østdanmark'!J258</f>
        <v>2.6175096156834015E-3</v>
      </c>
    </row>
    <row r="259" spans="1:10" x14ac:dyDescent="0.3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-1018.942337540077</v>
      </c>
      <c r="J259" s="280">
        <f>'Resultater - Vestdanmark'!J259+'Resultater - Østdanmark'!J259</f>
        <v>-3.3553096029320072E-2</v>
      </c>
    </row>
    <row r="260" spans="1:10" x14ac:dyDescent="0.3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136.13598722986853</v>
      </c>
      <c r="J260" s="280">
        <f>'Resultater - Vestdanmark'!J260+'Resultater - Østdanmark'!J260</f>
        <v>4.4828678564849704E-3</v>
      </c>
    </row>
    <row r="261" spans="1:10" x14ac:dyDescent="0.3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1.7607951447963957E-3</v>
      </c>
      <c r="J261" s="280">
        <f>'Resultater - Vestdanmark'!J261+'Resultater - Østdanmark'!J261</f>
        <v>2.2825122247360679E-3</v>
      </c>
    </row>
    <row r="262" spans="1:10" x14ac:dyDescent="0.3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-1.9346675904888058E-2</v>
      </c>
      <c r="J262" s="280">
        <f>'Resultater - Vestdanmark'!J262+'Resultater - Østdanmark'!J262</f>
        <v>-2.5079024321151184E-2</v>
      </c>
    </row>
    <row r="263" spans="1:10" x14ac:dyDescent="0.3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6.9099378905753727E-3</v>
      </c>
      <c r="J263" s="280">
        <f>'Resultater - Vestdanmark'!J263+'Resultater - Østdanmark'!J263</f>
        <v>8.9573268951902985E-3</v>
      </c>
    </row>
    <row r="264" spans="1:10" x14ac:dyDescent="0.3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1471002.5423657149</v>
      </c>
      <c r="J264" s="280">
        <f>'Resultater - Vestdanmark'!J264+'Resultater - Østdanmark'!J264</f>
        <v>1242827.8650165522</v>
      </c>
    </row>
    <row r="265" spans="1:10" x14ac:dyDescent="0.3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-6543417.5285416674</v>
      </c>
      <c r="J265" s="280">
        <f>'Resultater - Vestdanmark'!J265+'Resultater - Østdanmark'!J265</f>
        <v>-5528434.7937500002</v>
      </c>
    </row>
    <row r="266" spans="1:10" x14ac:dyDescent="0.3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104711.30729912603</v>
      </c>
      <c r="J266" s="280">
        <f>'Resultater - Vestdanmark'!J266+'Resultater - Østdanmark'!J266</f>
        <v>88469.004468457613</v>
      </c>
    </row>
    <row r="267" spans="1:10" x14ac:dyDescent="0.3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48630.002893936369</v>
      </c>
      <c r="J267" s="280">
        <f>'Resultater - Vestdanmark'!J267+'Resultater - Østdanmark'!J267</f>
        <v>1.1782049645078942</v>
      </c>
    </row>
    <row r="268" spans="1:10" x14ac:dyDescent="0.3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-158591.94843521391</v>
      </c>
      <c r="J268" s="280">
        <f>'Resultater - Vestdanmark'!J268+'Resultater - Østdanmark'!J268</f>
        <v>-3.8423567727290351</v>
      </c>
    </row>
    <row r="269" spans="1:10" x14ac:dyDescent="0.3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20289.231748159636</v>
      </c>
      <c r="J269" s="280">
        <f>'Resultater - Vestdanmark'!J269+'Resultater - Østdanmark'!J269</f>
        <v>0.49156636128256415</v>
      </c>
    </row>
    <row r="270" spans="1:10" x14ac:dyDescent="0.3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1.0665652868322271</v>
      </c>
      <c r="J270" s="280">
        <f>'Resultater - Vestdanmark'!J270+'Resultater - Østdanmark'!J270</f>
        <v>1.0172443487128175</v>
      </c>
    </row>
    <row r="271" spans="1:10" x14ac:dyDescent="0.3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-2.5739256860079429</v>
      </c>
      <c r="J271" s="280">
        <f>'Resultater - Vestdanmark'!J271+'Resultater - Østdanmark'!J271</f>
        <v>-2.4549002207590203</v>
      </c>
    </row>
    <row r="272" spans="1:10" x14ac:dyDescent="0.3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0.97674086194302023</v>
      </c>
      <c r="J272" s="280">
        <f>'Resultater - Vestdanmark'!J272+'Resultater - Østdanmark'!J272</f>
        <v>0.93157365445432549</v>
      </c>
    </row>
    <row r="273" spans="1:10" x14ac:dyDescent="0.3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130859.70593646445</v>
      </c>
      <c r="J273" s="280">
        <f>'Resultater - Vestdanmark'!J273+'Resultater - Østdanmark'!J273</f>
        <v>150269.18731563765</v>
      </c>
    </row>
    <row r="274" spans="1:10" x14ac:dyDescent="0.3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-582099.39748125011</v>
      </c>
      <c r="J274" s="280">
        <f>'Resultater - Vestdanmark'!J274+'Resultater - Østdanmark'!J274</f>
        <v>-668438.02506249992</v>
      </c>
    </row>
    <row r="275" spans="1:10" x14ac:dyDescent="0.3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16342.22715073065</v>
      </c>
      <c r="J275" s="280">
        <f>'Resultater - Vestdanmark'!J275+'Resultater - Østdanmark'!J275</f>
        <v>18766.152463006158</v>
      </c>
    </row>
    <row r="276" spans="1:10" x14ac:dyDescent="0.3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4326.102569581969</v>
      </c>
      <c r="J276" s="280">
        <f>'Resultater - Vestdanmark'!J276+'Resultater - Østdanmark'!J276</f>
        <v>0.14245569116322718</v>
      </c>
    </row>
    <row r="277" spans="1:10" x14ac:dyDescent="0.3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-14108.266395479435</v>
      </c>
      <c r="J277" s="280">
        <f>'Resultater - Vestdanmark'!J277+'Resultater - Østdanmark'!J277</f>
        <v>-0.46457586433905607</v>
      </c>
    </row>
    <row r="278" spans="1:10" x14ac:dyDescent="0.3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3166.5274982676897</v>
      </c>
      <c r="J278" s="280">
        <f>'Resultater - Vestdanmark'!J278+'Resultater - Østdanmark'!J278</f>
        <v>0.10427165239327119</v>
      </c>
    </row>
    <row r="279" spans="1:10" x14ac:dyDescent="0.3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9.4881154707213713E-2</v>
      </c>
      <c r="J279" s="280">
        <f>'Resultater - Vestdanmark'!J279+'Resultater - Østdanmark'!J279</f>
        <v>0.12299408943527704</v>
      </c>
    </row>
    <row r="280" spans="1:10" x14ac:dyDescent="0.3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-0.22897523877261411</v>
      </c>
      <c r="J280" s="280">
        <f>'Resultater - Vestdanmark'!J280+'Resultater - Østdanmark'!J280</f>
        <v>-0.29681975396449972</v>
      </c>
    </row>
    <row r="281" spans="1:10" x14ac:dyDescent="0.3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0.15243932527434423</v>
      </c>
      <c r="J281" s="280">
        <f>'Resultater - Vestdanmark'!J281+'Resultater - Østdanmark'!J281</f>
        <v>0.19760653276303877</v>
      </c>
    </row>
    <row r="282" spans="1:10" x14ac:dyDescent="0.3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4394848.1203630418</v>
      </c>
      <c r="J282" s="280">
        <f>'Resultater - Vestdanmark'!J282+'Resultater - Østdanmark'!J282</f>
        <v>3713140.9016592009</v>
      </c>
    </row>
    <row r="283" spans="1:10" x14ac:dyDescent="0.3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-14737081.120000001</v>
      </c>
      <c r="J283" s="280">
        <f>'Resultater - Vestdanmark'!J283+'Resultater - Østdanmark'!J283</f>
        <v>-12451137.599999998</v>
      </c>
    </row>
    <row r="284" spans="1:10" x14ac:dyDescent="0.3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209422.61459825205</v>
      </c>
      <c r="J284" s="280">
        <f>'Resultater - Vestdanmark'!J284+'Resultater - Østdanmark'!J284</f>
        <v>176938.00893691523</v>
      </c>
    </row>
    <row r="285" spans="1:10" x14ac:dyDescent="0.3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222661.32292786438</v>
      </c>
      <c r="J285" s="280">
        <f>'Resultater - Vestdanmark'!J285+'Resultater - Østdanmark'!J285</f>
        <v>5.3946259606343334</v>
      </c>
    </row>
    <row r="286" spans="1:10" x14ac:dyDescent="0.3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-505538.8215038316</v>
      </c>
      <c r="J286" s="280">
        <f>'Resultater - Vestdanmark'!J286+'Resultater - Østdanmark'!J286</f>
        <v>-12.248166025118719</v>
      </c>
    </row>
    <row r="287" spans="1:10" x14ac:dyDescent="0.3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62187.864033754318</v>
      </c>
      <c r="J287" s="280">
        <f>'Resultater - Vestdanmark'!J287+'Resultater - Østdanmark'!J287</f>
        <v>1.5066840587378292</v>
      </c>
    </row>
    <row r="288" spans="1:10" x14ac:dyDescent="0.3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2.8835758191138265</v>
      </c>
      <c r="J288" s="280">
        <f>'Resultater - Vestdanmark'!J288+'Resultater - Østdanmark'!J288</f>
        <v>2.7502312725652098</v>
      </c>
    </row>
    <row r="289" spans="1:10" x14ac:dyDescent="0.3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-4.3166909784920309</v>
      </c>
      <c r="J289" s="280">
        <f>'Resultater - Vestdanmark'!J289+'Resultater - Østdanmark'!J289</f>
        <v>-4.1170752107004924</v>
      </c>
    </row>
    <row r="290" spans="1:10" x14ac:dyDescent="0.3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1.7677580963008739</v>
      </c>
      <c r="J290" s="280">
        <f>'Resultater - Vestdanmark'!J290+'Resultater - Østdanmark'!J290</f>
        <v>1.6860120571655735</v>
      </c>
    </row>
    <row r="291" spans="1:10" x14ac:dyDescent="0.3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569297.95593835693</v>
      </c>
      <c r="J291" s="280">
        <f>'Resultater - Vestdanmark'!J291+'Resultater - Østdanmark'!J291</f>
        <v>653737.83753454406</v>
      </c>
    </row>
    <row r="292" spans="1:10" x14ac:dyDescent="0.3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-1909005.7104</v>
      </c>
      <c r="J292" s="280">
        <f>'Resultater - Vestdanmark'!J292+'Resultater - Østdanmark'!J292</f>
        <v>-2192154.8319999995</v>
      </c>
    </row>
    <row r="293" spans="1:10" x14ac:dyDescent="0.3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32684.454301461301</v>
      </c>
      <c r="J293" s="280">
        <f>'Resultater - Vestdanmark'!J293+'Resultater - Østdanmark'!J293</f>
        <v>37532.304926012315</v>
      </c>
    </row>
    <row r="294" spans="1:10" x14ac:dyDescent="0.3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28843.007207014107</v>
      </c>
      <c r="J294" s="280">
        <f>'Resultater - Vestdanmark'!J294+'Resultater - Østdanmark'!J294</f>
        <v>0.94978111609955984</v>
      </c>
    </row>
    <row r="295" spans="1:10" x14ac:dyDescent="0.3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-65486.271617924089</v>
      </c>
      <c r="J295" s="280">
        <f>'Resultater - Vestdanmark'!J295+'Resultater - Østdanmark'!J295</f>
        <v>-2.1564195335133256</v>
      </c>
    </row>
    <row r="296" spans="1:10" x14ac:dyDescent="0.3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9705.6203983316009</v>
      </c>
      <c r="J296" s="280">
        <f>'Resultater - Vestdanmark'!J296+'Resultater - Østdanmark'!J296</f>
        <v>0.31959964882317582</v>
      </c>
    </row>
    <row r="297" spans="1:10" x14ac:dyDescent="0.3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0.37353141101931125</v>
      </c>
      <c r="J297" s="280">
        <f>'Resultater - Vestdanmark'!J297+'Resultater - Østdanmark'!J297</f>
        <v>0.48420738465466268</v>
      </c>
    </row>
    <row r="298" spans="1:10" x14ac:dyDescent="0.3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-0.55917366952604863</v>
      </c>
      <c r="J298" s="280">
        <f>'Resultater - Vestdanmark'!J298+'Resultater - Østdanmark'!J298</f>
        <v>-0.72485475679302602</v>
      </c>
    </row>
    <row r="299" spans="1:10" x14ac:dyDescent="0.3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0.27589288208163931</v>
      </c>
      <c r="J299" s="280">
        <f>'Resultater - Vestdanmark'!J299+'Resultater - Østdanmark'!J299</f>
        <v>0.3576389212169398</v>
      </c>
    </row>
    <row r="300" spans="1:10" x14ac:dyDescent="0.3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868898.30283520033</v>
      </c>
      <c r="J300" s="280">
        <f>'Resultater - Vestdanmark'!J300+'Resultater - Østdanmark'!J300</f>
        <v>734119.07289600011</v>
      </c>
    </row>
    <row r="301" spans="1:10" x14ac:dyDescent="0.3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430396.45410960005</v>
      </c>
      <c r="J301" s="280">
        <f>'Resultater - Vestdanmark'!J301+'Resultater - Østdanmark'!J301</f>
        <v>363635.47360799991</v>
      </c>
    </row>
    <row r="302" spans="1:10" x14ac:dyDescent="0.3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-32237364.950000003</v>
      </c>
      <c r="J302" s="280">
        <f>'Resultater - Vestdanmark'!J302+'Resultater - Østdanmark'!J302</f>
        <v>-27236863.5</v>
      </c>
    </row>
    <row r="303" spans="1:10" x14ac:dyDescent="0.3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418845.22919650411</v>
      </c>
      <c r="J303" s="280">
        <f>'Resultater - Vestdanmark'!J303+'Resultater - Østdanmark'!J303</f>
        <v>353876.01787383045</v>
      </c>
    </row>
    <row r="304" spans="1:10" x14ac:dyDescent="0.3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10918.647972357969</v>
      </c>
      <c r="J304" s="280">
        <f>'Resultater - Vestdanmark'!J304+'Resultater - Østdanmark'!J304</f>
        <v>0.26453638661730722</v>
      </c>
    </row>
    <row r="305" spans="1:10" x14ac:dyDescent="0.3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5408.3974564571645</v>
      </c>
      <c r="J305" s="280">
        <f>'Resultater - Vestdanmark'!J305+'Resultater - Østdanmark'!J305</f>
        <v>0.13103434822181911</v>
      </c>
    </row>
    <row r="306" spans="1:10" x14ac:dyDescent="0.3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-279710.10642665671</v>
      </c>
      <c r="J306" s="280">
        <f>'Resultater - Vestdanmark'!J306+'Resultater - Østdanmark'!J306</f>
        <v>-6.7768006663256051</v>
      </c>
    </row>
    <row r="307" spans="1:10" x14ac:dyDescent="0.3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30848.541610151206</v>
      </c>
      <c r="J307" s="280">
        <f>'Resultater - Vestdanmark'!J307+'Resultater - Østdanmark'!J307</f>
        <v>0.74739672445000616</v>
      </c>
    </row>
    <row r="308" spans="1:10" x14ac:dyDescent="0.3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0.17291789557535811</v>
      </c>
      <c r="J308" s="280">
        <f>'Resultater - Vestdanmark'!J308+'Resultater - Østdanmark'!J308</f>
        <v>0.16492169231175774</v>
      </c>
    </row>
    <row r="309" spans="1:10" x14ac:dyDescent="0.3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8.5652427752346216E-2</v>
      </c>
      <c r="J309" s="280">
        <f>'Resultater - Vestdanmark'!J309+'Resultater - Østdanmark'!J309</f>
        <v>8.1691621844723256E-2</v>
      </c>
    </row>
    <row r="310" spans="1:10" x14ac:dyDescent="0.3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-3.0113572747816595</v>
      </c>
      <c r="J310" s="280">
        <f>'Resultater - Vestdanmark'!J310+'Resultater - Østdanmark'!J310</f>
        <v>-2.8721037591848191</v>
      </c>
    </row>
    <row r="311" spans="1:10" x14ac:dyDescent="0.3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1.0723494152014124</v>
      </c>
      <c r="J311" s="280">
        <f>'Resultater - Vestdanmark'!J311+'Resultater - Østdanmark'!J311</f>
        <v>1.022761002937763</v>
      </c>
    </row>
    <row r="312" spans="1:10" x14ac:dyDescent="0.3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74584.623104640021</v>
      </c>
      <c r="J312" s="280">
        <f>'Resultater - Vestdanmark'!J312+'Resultater - Østdanmark'!J312</f>
        <v>85647.225171200014</v>
      </c>
    </row>
    <row r="313" spans="1:10" x14ac:dyDescent="0.3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36944.435511719996</v>
      </c>
      <c r="J313" s="280">
        <f>'Resultater - Vestdanmark'!J313+'Resultater - Østdanmark'!J313</f>
        <v>42424.138587599991</v>
      </c>
    </row>
    <row r="314" spans="1:10" x14ac:dyDescent="0.3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-2767195.7775000008</v>
      </c>
      <c r="J314" s="280">
        <f>'Resultater - Vestdanmark'!J314+'Resultater - Østdanmark'!J314</f>
        <v>-3177634.0750000002</v>
      </c>
    </row>
    <row r="315" spans="1:10" x14ac:dyDescent="0.3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65368.908602922602</v>
      </c>
      <c r="J315" s="280">
        <f>'Resultater - Vestdanmark'!J315+'Resultater - Østdanmark'!J315</f>
        <v>75064.609852024631</v>
      </c>
    </row>
    <row r="316" spans="1:10" x14ac:dyDescent="0.3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937.23654560413797</v>
      </c>
      <c r="J316" s="280">
        <f>'Resultater - Vestdanmark'!J316+'Resultater - Østdanmark'!J316</f>
        <v>3.0862578438685843E-2</v>
      </c>
    </row>
    <row r="317" spans="1:10" x14ac:dyDescent="0.3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464.24683369010933</v>
      </c>
      <c r="J317" s="280">
        <f>'Resultater - Vestdanmark'!J317+'Resultater - Østdanmark'!J317</f>
        <v>1.5287340625878896E-2</v>
      </c>
    </row>
    <row r="318" spans="1:10" x14ac:dyDescent="0.3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-24009.798152808398</v>
      </c>
      <c r="J318" s="280">
        <f>'Resultater - Vestdanmark'!J318+'Resultater - Østdanmark'!J318</f>
        <v>-0.79062674440465386</v>
      </c>
    </row>
    <row r="319" spans="1:10" x14ac:dyDescent="0.3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4814.5122744166629</v>
      </c>
      <c r="J319" s="280">
        <f>'Resultater - Vestdanmark'!J319+'Resultater - Østdanmark'!J319</f>
        <v>0.15853869912575885</v>
      </c>
    </row>
    <row r="320" spans="1:10" x14ac:dyDescent="0.3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1.4842952308058197E-2</v>
      </c>
      <c r="J320" s="280">
        <f>'Resultater - Vestdanmark'!J320+'Resultater - Østdanmark'!J320</f>
        <v>1.9240864103038401E-2</v>
      </c>
    </row>
    <row r="321" spans="1:10" x14ac:dyDescent="0.3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7.3522459660250944E-3</v>
      </c>
      <c r="J321" s="280">
        <f>'Resultater - Vestdanmark'!J321+'Resultater - Østdanmark'!J321</f>
        <v>9.5306892152177136E-3</v>
      </c>
    </row>
    <row r="322" spans="1:10" x14ac:dyDescent="0.3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-0.25848933832663379</v>
      </c>
      <c r="J322" s="280">
        <f>'Resultater - Vestdanmark'!J322+'Resultater - Østdanmark'!J322</f>
        <v>-0.3350787719048956</v>
      </c>
    </row>
    <row r="323" spans="1:10" x14ac:dyDescent="0.3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0.16736089138981577</v>
      </c>
      <c r="J323" s="280">
        <f>'Resultater - Vestdanmark'!J323+'Resultater - Østdanmark'!J323</f>
        <v>0.21694930365346488</v>
      </c>
    </row>
    <row r="324" spans="1:10" x14ac:dyDescent="0.3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1139842.3611068432</v>
      </c>
      <c r="J324" s="280">
        <f>'Resultater - Vestdanmark'!J324+'Resultater - Østdanmark'!J324</f>
        <v>963035.62183623167</v>
      </c>
    </row>
    <row r="325" spans="1:10" x14ac:dyDescent="0.3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175616.13160959643</v>
      </c>
      <c r="J325" s="280">
        <f>'Resultater - Vestdanmark'!J325+'Resultater - Østdanmark'!J325</f>
        <v>148375.42126868566</v>
      </c>
    </row>
    <row r="326" spans="1:10" x14ac:dyDescent="0.3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-11162042.263321808</v>
      </c>
      <c r="J326" s="280">
        <f>'Resultater - Vestdanmark'!J326+'Resultater - Østdanmark'!J326</f>
        <v>-9430641.1823317166</v>
      </c>
    </row>
    <row r="327" spans="1:10" x14ac:dyDescent="0.3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169193.81749166304</v>
      </c>
      <c r="J327" s="280">
        <f>'Resultater - Vestdanmark'!J327+'Resultater - Østdanmark'!J327</f>
        <v>142949.30492029365</v>
      </c>
    </row>
    <row r="328" spans="1:10" x14ac:dyDescent="0.3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68191.687435507061</v>
      </c>
      <c r="J328" s="280">
        <f>'Resultater - Vestdanmark'!J328+'Resultater - Østdanmark'!J328</f>
        <v>1.652144353147702</v>
      </c>
    </row>
    <row r="329" spans="1:10" x14ac:dyDescent="0.3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10506.330317225278</v>
      </c>
      <c r="J329" s="280">
        <f>'Resultater - Vestdanmark'!J329+'Resultater - Østdanmark'!J329</f>
        <v>0.25454677774801682</v>
      </c>
    </row>
    <row r="330" spans="1:10" x14ac:dyDescent="0.3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-500831.42402027285</v>
      </c>
      <c r="J330" s="280">
        <f>'Resultater - Vestdanmark'!J330+'Resultater - Østdanmark'!J330</f>
        <v>-12.134115464683008</v>
      </c>
    </row>
    <row r="331" spans="1:10" x14ac:dyDescent="0.3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59326.985648627546</v>
      </c>
      <c r="J331" s="280">
        <f>'Resultater - Vestdanmark'!J331+'Resultater - Østdanmark'!J331</f>
        <v>1.43737085874807</v>
      </c>
    </row>
    <row r="332" spans="1:10" x14ac:dyDescent="0.3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1.9522353676562767</v>
      </c>
      <c r="J332" s="280">
        <f>'Resultater - Vestdanmark'!J332+'Resultater - Østdanmark'!J332</f>
        <v>1.8619585876490501</v>
      </c>
    </row>
    <row r="333" spans="1:10" x14ac:dyDescent="0.3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0.3007819633289599</v>
      </c>
      <c r="J333" s="280">
        <f>'Resultater - Vestdanmark'!J333+'Resultater - Østdanmark'!J333</f>
        <v>0.28687297080507734</v>
      </c>
    </row>
    <row r="334" spans="1:10" x14ac:dyDescent="0.3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-10.924284382407746</v>
      </c>
      <c r="J334" s="280">
        <f>'Resultater - Vestdanmark'!J334+'Resultater - Østdanmark'!J334</f>
        <v>-10.419115162412011</v>
      </c>
    </row>
    <row r="335" spans="1:10" x14ac:dyDescent="0.3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3.7280662934321382</v>
      </c>
      <c r="J335" s="280">
        <f>'Resultater - Vestdanmark'!J335+'Resultater - Østdanmark'!J335</f>
        <v>3.5556701642560853</v>
      </c>
    </row>
    <row r="336" spans="1:10" x14ac:dyDescent="0.3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101399.8493493313</v>
      </c>
      <c r="J336" s="280">
        <f>'Resultater - Vestdanmark'!J336+'Resultater - Østdanmark'!J336</f>
        <v>116439.76154928983</v>
      </c>
    </row>
    <row r="337" spans="1:10" x14ac:dyDescent="0.3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15622.729858217852</v>
      </c>
      <c r="J337" s="280">
        <f>'Resultater - Vestdanmark'!J337+'Resultater - Østdanmark'!J337</f>
        <v>17939.937298850178</v>
      </c>
    </row>
    <row r="338" spans="1:10" x14ac:dyDescent="0.3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-992970.11810706672</v>
      </c>
      <c r="J338" s="280">
        <f>'Resultater - Vestdanmark'!J338+'Resultater - Østdanmark'!J338</f>
        <v>-1140250.252045562</v>
      </c>
    </row>
    <row r="339" spans="1:10" x14ac:dyDescent="0.3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26405.971516039892</v>
      </c>
      <c r="J339" s="280">
        <f>'Resultater - Vestdanmark'!J339+'Resultater - Østdanmark'!J339</f>
        <v>30322.579831577445</v>
      </c>
    </row>
    <row r="340" spans="1:10" x14ac:dyDescent="0.3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6066.3009805344136</v>
      </c>
      <c r="J340" s="280">
        <f>'Resultater - Vestdanmark'!J340+'Resultater - Østdanmark'!J340</f>
        <v>0.19975927178967665</v>
      </c>
    </row>
    <row r="341" spans="1:10" x14ac:dyDescent="0.3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934.63828660171703</v>
      </c>
      <c r="J341" s="280">
        <f>'Resultater - Vestdanmark'!J341+'Resultater - Østdanmark'!J341</f>
        <v>3.0777019491351122E-2</v>
      </c>
    </row>
    <row r="342" spans="1:10" x14ac:dyDescent="0.3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-44553.731882497101</v>
      </c>
      <c r="J342" s="280">
        <f>'Resultater - Vestdanmark'!J342+'Resultater - Østdanmark'!J342</f>
        <v>-1.4671248698207631</v>
      </c>
    </row>
    <row r="343" spans="1:10" x14ac:dyDescent="0.3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9259.124927820485</v>
      </c>
      <c r="J343" s="280">
        <f>'Resultater - Vestdanmark'!J343+'Resultater - Østdanmark'!J343</f>
        <v>0.30489684882534812</v>
      </c>
    </row>
    <row r="344" spans="1:10" x14ac:dyDescent="0.3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0.1736699555389023</v>
      </c>
      <c r="J344" s="280">
        <f>'Resultater - Vestdanmark'!J344+'Resultater - Østdanmark'!J344</f>
        <v>0.22512772014302154</v>
      </c>
    </row>
    <row r="345" spans="1:10" x14ac:dyDescent="0.3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2.6757424367819038E-2</v>
      </c>
      <c r="J345" s="280">
        <f>'Resultater - Vestdanmark'!J345+'Resultater - Østdanmark'!J345</f>
        <v>3.4685550106432088E-2</v>
      </c>
    </row>
    <row r="346" spans="1:10" x14ac:dyDescent="0.3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-0.97181928696679309</v>
      </c>
      <c r="J346" s="280">
        <f>'Resultater - Vestdanmark'!J346+'Resultater - Østdanmark'!J346</f>
        <v>-1.2597657423643613</v>
      </c>
    </row>
    <row r="347" spans="1:10" x14ac:dyDescent="0.3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0.58183693596917774</v>
      </c>
      <c r="J347" s="280">
        <f>'Resultater - Vestdanmark'!J347+'Resultater - Østdanmark'!J347</f>
        <v>0.75423306514523047</v>
      </c>
    </row>
    <row r="348" spans="1:10" x14ac:dyDescent="0.3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987384.43504000001</v>
      </c>
      <c r="J348" s="280">
        <f>'Resultater - Vestdanmark'!J348+'Resultater - Østdanmark'!J348</f>
        <v>834226.21919999993</v>
      </c>
    </row>
    <row r="349" spans="1:10" x14ac:dyDescent="0.3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-2026348.6540000001</v>
      </c>
      <c r="J349" s="280">
        <f>'Resultater - Vestdanmark'!J349+'Resultater - Østdanmark'!J349</f>
        <v>-1712031.42</v>
      </c>
    </row>
    <row r="350" spans="1:10" x14ac:dyDescent="0.3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36210.746688450403</v>
      </c>
      <c r="J350" s="280">
        <f>'Resultater - Vestdanmark'!J350+'Resultater - Østdanmark'!J350</f>
        <v>30593.913811383041</v>
      </c>
    </row>
    <row r="351" spans="1:10" x14ac:dyDescent="0.3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22644.539498947848</v>
      </c>
      <c r="J351" s="280">
        <f>'Resultater - Vestdanmark'!J351+'Resultater - Østdanmark'!J351</f>
        <v>0.54863062449001043</v>
      </c>
    </row>
    <row r="352" spans="1:10" x14ac:dyDescent="0.3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-35206.062653836831</v>
      </c>
      <c r="J352" s="280">
        <f>'Resultater - Vestdanmark'!J352+'Resultater - Østdanmark'!J352</f>
        <v>-0.85297049827426985</v>
      </c>
    </row>
    <row r="353" spans="1:10" x14ac:dyDescent="0.3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3753.5627989775235</v>
      </c>
      <c r="J353" s="280">
        <f>'Resultater - Vestdanmark'!J353+'Resultater - Østdanmark'!J353</f>
        <v>9.0941107570820495E-2</v>
      </c>
    </row>
    <row r="354" spans="1:10" x14ac:dyDescent="0.3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0.4957593907243395</v>
      </c>
      <c r="J354" s="280">
        <f>'Resultater - Vestdanmark'!J354+'Resultater - Østdanmark'!J354</f>
        <v>0.47283410097986134</v>
      </c>
    </row>
    <row r="355" spans="1:10" x14ac:dyDescent="0.3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-0.59459415198814702</v>
      </c>
      <c r="J355" s="280">
        <f>'Resultater - Vestdanmark'!J355+'Resultater - Østdanmark'!J355</f>
        <v>-0.56709846865921532</v>
      </c>
    </row>
    <row r="356" spans="1:10" x14ac:dyDescent="0.3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0.18829934214067076</v>
      </c>
      <c r="J356" s="280">
        <f>'Resultater - Vestdanmark'!J356+'Resultater - Østdanmark'!J356</f>
        <v>0.17959185811104433</v>
      </c>
    </row>
    <row r="357" spans="1:10" x14ac:dyDescent="0.3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87837.262747200002</v>
      </c>
      <c r="J357" s="280">
        <f>'Resultater - Vestdanmark'!J357+'Resultater - Østdanmark'!J357</f>
        <v>100865.53377599998</v>
      </c>
    </row>
    <row r="358" spans="1:10" x14ac:dyDescent="0.3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-180263.03921999998</v>
      </c>
      <c r="J358" s="280">
        <f>'Resultater - Vestdanmark'!J358+'Resultater - Østdanmark'!J358</f>
        <v>-207000.16259999998</v>
      </c>
    </row>
    <row r="359" spans="1:10" x14ac:dyDescent="0.3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5651.3882114922599</v>
      </c>
      <c r="J359" s="280">
        <f>'Resultater - Vestdanmark'!J359+'Resultater - Østdanmark'!J359</f>
        <v>6489.6180812024631</v>
      </c>
    </row>
    <row r="360" spans="1:10" x14ac:dyDescent="0.3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2014.4477623630485</v>
      </c>
      <c r="J360" s="280">
        <f>'Resultater - Vestdanmark'!J360+'Resultater - Østdanmark'!J360</f>
        <v>6.6334430051973967E-2</v>
      </c>
    </row>
    <row r="361" spans="1:10" x14ac:dyDescent="0.3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-3131.9150534251376</v>
      </c>
      <c r="J361" s="280">
        <f>'Resultater - Vestdanmark'!J361+'Resultater - Østdanmark'!J361</f>
        <v>-0.10313188751861622</v>
      </c>
    </row>
    <row r="362" spans="1:10" x14ac:dyDescent="0.3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585.81615937799506</v>
      </c>
      <c r="J362" s="280">
        <f>'Resultater - Vestdanmark'!J362+'Resultater - Østdanmark'!J362</f>
        <v>1.9290537969567985E-2</v>
      </c>
    </row>
    <row r="363" spans="1:10" x14ac:dyDescent="0.3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4.4102526145939791E-2</v>
      </c>
      <c r="J363" s="280">
        <f>'Resultater - Vestdanmark'!J363+'Resultater - Østdanmark'!J363</f>
        <v>5.7169941300292335E-2</v>
      </c>
    </row>
    <row r="364" spans="1:10" x14ac:dyDescent="0.3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-5.2894820804032266E-2</v>
      </c>
      <c r="J364" s="280">
        <f>'Resultater - Vestdanmark'!J364+'Resultater - Østdanmark'!J364</f>
        <v>-6.85673603015233E-2</v>
      </c>
    </row>
    <row r="365" spans="1:10" x14ac:dyDescent="0.3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2.9387758599989076E-2</v>
      </c>
      <c r="J365" s="280">
        <f>'Resultater - Vestdanmark'!J365+'Resultater - Østdanmark'!J365</f>
        <v>3.8095242629615472E-2</v>
      </c>
    </row>
    <row r="366" spans="1:10" x14ac:dyDescent="0.3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240825.47196097561</v>
      </c>
      <c r="J366" s="280">
        <f>'Resultater - Vestdanmark'!J366+'Resultater - Østdanmark'!J366</f>
        <v>203469.80956097561</v>
      </c>
    </row>
    <row r="367" spans="1:10" x14ac:dyDescent="0.3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-1105281.084</v>
      </c>
      <c r="J367" s="280">
        <f>'Resultater - Vestdanmark'!J367+'Resultater - Østdanmark'!J367</f>
        <v>-933835.32</v>
      </c>
    </row>
    <row r="368" spans="1:10" x14ac:dyDescent="0.3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18105.373344225201</v>
      </c>
      <c r="J368" s="280">
        <f>'Resultater - Vestdanmark'!J368+'Resultater - Østdanmark'!J368</f>
        <v>15296.956905691521</v>
      </c>
    </row>
    <row r="369" spans="1:10" x14ac:dyDescent="0.3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18540.644050201445</v>
      </c>
      <c r="J369" s="280">
        <f>'Resultater - Vestdanmark'!J369+'Resultater - Østdanmark'!J369</f>
        <v>0.44920167726012794</v>
      </c>
    </row>
    <row r="370" spans="1:10" x14ac:dyDescent="0.3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-70911.045341255522</v>
      </c>
      <c r="J370" s="280">
        <f>'Resultater - Vestdanmark'!J370+'Resultater - Østdanmark'!J370</f>
        <v>-1.7180288029538475</v>
      </c>
    </row>
    <row r="371" spans="1:10" x14ac:dyDescent="0.3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6300.265772561419</v>
      </c>
      <c r="J371" s="280">
        <f>'Resultater - Vestdanmark'!J371+'Resultater - Østdanmark'!J371</f>
        <v>0.15264248343025688</v>
      </c>
    </row>
    <row r="372" spans="1:10" x14ac:dyDescent="0.3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0.58444774419750334</v>
      </c>
      <c r="J372" s="280">
        <f>'Resultater - Vestdanmark'!J372+'Resultater - Østdanmark'!J372</f>
        <v>0.55742125891669392</v>
      </c>
    </row>
    <row r="373" spans="1:10" x14ac:dyDescent="0.3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-1.9159667520333934</v>
      </c>
      <c r="J373" s="280">
        <f>'Resultater - Vestdanmark'!J373+'Resultater - Østdanmark'!J373</f>
        <v>-1.8273671334422537</v>
      </c>
    </row>
    <row r="374" spans="1:10" x14ac:dyDescent="0.3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0.45506915653932994</v>
      </c>
      <c r="J374" s="280">
        <f>'Resultater - Vestdanmark'!J374+'Resultater - Østdanmark'!J374</f>
        <v>0.43402549612132624</v>
      </c>
    </row>
    <row r="375" spans="1:10" x14ac:dyDescent="0.3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21423.722621268291</v>
      </c>
      <c r="J375" s="280">
        <f>'Resultater - Vestdanmark'!J375+'Resultater - Østdanmark'!J375</f>
        <v>24601.349701463412</v>
      </c>
    </row>
    <row r="376" spans="1:10" x14ac:dyDescent="0.3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-98325.294120000006</v>
      </c>
      <c r="J376" s="280">
        <f>'Resultater - Vestdanmark'!J376+'Resultater - Østdanmark'!J376</f>
        <v>-112909.17959999997</v>
      </c>
    </row>
    <row r="377" spans="1:10" x14ac:dyDescent="0.3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2825.6941057461299</v>
      </c>
      <c r="J377" s="280">
        <f>'Resultater - Vestdanmark'!J377+'Resultater - Østdanmark'!J377</f>
        <v>3244.8090406012316</v>
      </c>
    </row>
    <row r="378" spans="1:10" x14ac:dyDescent="0.3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1649.3671209976892</v>
      </c>
      <c r="J378" s="280">
        <f>'Resultater - Vestdanmark'!J378+'Resultater - Østdanmark'!J378</f>
        <v>5.4312566432360924E-2</v>
      </c>
    </row>
    <row r="379" spans="1:10" x14ac:dyDescent="0.3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-6308.2138023232519</v>
      </c>
      <c r="J379" s="280">
        <f>'Resultater - Vestdanmark'!J379+'Resultater - Østdanmark'!J379</f>
        <v>-0.20772530072078338</v>
      </c>
    </row>
    <row r="380" spans="1:10" x14ac:dyDescent="0.3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983.27847317432554</v>
      </c>
      <c r="J380" s="280">
        <f>'Resultater - Vestdanmark'!J380+'Resultater - Østdanmark'!J380</f>
        <v>3.237870860641813E-2</v>
      </c>
    </row>
    <row r="381" spans="1:10" x14ac:dyDescent="0.3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5.1992201058957084E-2</v>
      </c>
      <c r="J381" s="280">
        <f>'Resultater - Vestdanmark'!J381+'Resultater - Østdanmark'!J381</f>
        <v>6.7397297669018433E-2</v>
      </c>
    </row>
    <row r="382" spans="1:10" x14ac:dyDescent="0.3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-0.17044351626470475</v>
      </c>
      <c r="J382" s="280">
        <f>'Resultater - Vestdanmark'!J382+'Resultater - Østdanmark'!J382</f>
        <v>-0.22094529886165429</v>
      </c>
    </row>
    <row r="383" spans="1:10" x14ac:dyDescent="0.3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7.1022353910762476E-2</v>
      </c>
      <c r="J383" s="280">
        <f>'Resultater - Vestdanmark'!J383+'Resultater - Østdanmark'!J383</f>
        <v>9.2066014328766155E-2</v>
      </c>
    </row>
    <row r="384" spans="1:10" x14ac:dyDescent="0.3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4629450.6621285444</v>
      </c>
      <c r="J384" s="280">
        <f>'Resultater - Vestdanmark'!J384+'Resultater - Østdanmark'!J384</f>
        <v>3911353.0513411206</v>
      </c>
    </row>
    <row r="385" spans="1:10" x14ac:dyDescent="0.3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-15658148.690000001</v>
      </c>
      <c r="J385" s="280">
        <f>'Resultater - Vestdanmark'!J385+'Resultater - Østdanmark'!J385</f>
        <v>-13229333.700000001</v>
      </c>
    </row>
    <row r="386" spans="1:10" x14ac:dyDescent="0.3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615582.6937036569</v>
      </c>
      <c r="J386" s="280">
        <f>'Resultater - Vestdanmark'!J386+'Resultater - Østdanmark'!J386</f>
        <v>520096.53479351173</v>
      </c>
    </row>
    <row r="387" spans="1:10" x14ac:dyDescent="0.3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297008.3510339901</v>
      </c>
      <c r="J387" s="280">
        <f>'Resultater - Vestdanmark'!J387+'Resultater - Østdanmark'!J387</f>
        <v>7.1959015600262219</v>
      </c>
    </row>
    <row r="388" spans="1:10" x14ac:dyDescent="0.3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-837140.52740396897</v>
      </c>
      <c r="J388" s="280">
        <f>'Resultater - Vestdanmark'!J388+'Resultater - Østdanmark'!J388</f>
        <v>-20.282193433739515</v>
      </c>
    </row>
    <row r="389" spans="1:10" x14ac:dyDescent="0.3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178506.7289163341</v>
      </c>
      <c r="J389" s="280">
        <f>'Resultater - Vestdanmark'!J389+'Resultater - Østdanmark'!J389</f>
        <v>4.3248509498550236</v>
      </c>
    </row>
    <row r="390" spans="1:10" x14ac:dyDescent="0.3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12.146381411257909</v>
      </c>
      <c r="J390" s="280">
        <f>'Resultater - Vestdanmark'!J390+'Resultater - Østdanmark'!J390</f>
        <v>11.584699033858699</v>
      </c>
    </row>
    <row r="391" spans="1:10" x14ac:dyDescent="0.3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-29.344710646122667</v>
      </c>
      <c r="J391" s="280">
        <f>'Resultater - Vestdanmark'!J391+'Resultater - Østdanmark'!J391</f>
        <v>-27.98772980699561</v>
      </c>
    </row>
    <row r="392" spans="1:10" x14ac:dyDescent="0.3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16.727479482761705</v>
      </c>
      <c r="J392" s="280">
        <f>'Resultater - Vestdanmark'!J392+'Resultater - Østdanmark'!J392</f>
        <v>15.953954419975037</v>
      </c>
    </row>
    <row r="393" spans="1:10" x14ac:dyDescent="0.3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722515.42125705606</v>
      </c>
      <c r="J393" s="280">
        <f>'Resultater - Vestdanmark'!J393+'Resultater - Østdanmark'!J393</f>
        <v>829680.95028448012</v>
      </c>
    </row>
    <row r="394" spans="1:10" x14ac:dyDescent="0.3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-2443757.31</v>
      </c>
      <c r="J394" s="280">
        <f>'Resultater - Vestdanmark'!J394+'Resultater - Østdanmark'!J394</f>
        <v>-2806222.3</v>
      </c>
    </row>
    <row r="395" spans="1:10" x14ac:dyDescent="0.3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96073.599595368403</v>
      </c>
      <c r="J395" s="280">
        <f>'Resultater - Vestdanmark'!J395+'Resultater - Østdanmark'!J395</f>
        <v>110323.50738044188</v>
      </c>
    </row>
    <row r="396" spans="1:10" x14ac:dyDescent="0.3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46353.904496634292</v>
      </c>
      <c r="J396" s="280">
        <f>'Resultater - Vestdanmark'!J396+'Resultater - Østdanmark'!J396</f>
        <v>1.5264033612176835</v>
      </c>
    </row>
    <row r="397" spans="1:10" x14ac:dyDescent="0.3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-130651.98982605297</v>
      </c>
      <c r="J397" s="280">
        <f>'Resultater - Vestdanmark'!J397+'Resultater - Østdanmark'!J397</f>
        <v>-4.3022834556417155</v>
      </c>
    </row>
    <row r="398" spans="1:10" x14ac:dyDescent="0.3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27859.431680583933</v>
      </c>
      <c r="J398" s="280">
        <f>'Resultater - Vestdanmark'!J398+'Resultater - Østdanmark'!J398</f>
        <v>0.91739262572682323</v>
      </c>
    </row>
    <row r="399" spans="1:10" x14ac:dyDescent="0.3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1.895678023722333</v>
      </c>
      <c r="J399" s="280">
        <f>'Resultater - Vestdanmark'!J399+'Resultater - Østdanmark'!J399</f>
        <v>2.4573604011215426</v>
      </c>
    </row>
    <row r="400" spans="1:10" x14ac:dyDescent="0.3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-4.5798103320538273</v>
      </c>
      <c r="J400" s="280">
        <f>'Resultater - Vestdanmark'!J400+'Resultater - Østdanmark'!J400</f>
        <v>-5.9367911711808867</v>
      </c>
    </row>
    <row r="401" spans="1:10" x14ac:dyDescent="0.3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2.610647086905006</v>
      </c>
      <c r="J401" s="280">
        <f>'Resultater - Vestdanmark'!J401+'Resultater - Østdanmark'!J401</f>
        <v>3.3841721496916741</v>
      </c>
    </row>
    <row r="402" spans="1:10" x14ac:dyDescent="0.3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792674.90695329418</v>
      </c>
      <c r="J402" s="280">
        <f>'Resultater - Vestdanmark'!J402+'Resultater - Østdanmark'!J402</f>
        <v>874853.83547955821</v>
      </c>
    </row>
    <row r="403" spans="1:10" x14ac:dyDescent="0.3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858731.14919940196</v>
      </c>
      <c r="J403" s="280">
        <f>'Resultater - Vestdanmark'!J403+'Resultater - Østdanmark'!J403</f>
        <v>947758.32176952157</v>
      </c>
    </row>
    <row r="404" spans="1:10" x14ac:dyDescent="0.3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2679978.7351939101</v>
      </c>
      <c r="J404" s="280">
        <f>'Resultater - Vestdanmark'!J404+'Resultater - Østdanmark'!J404</f>
        <v>1643873.382664033</v>
      </c>
    </row>
    <row r="405" spans="1:10" x14ac:dyDescent="0.3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104331.85268210551</v>
      </c>
      <c r="J405" s="280">
        <f>'Resultater - Vestdanmark'!J405+'Resultater - Østdanmark'!J405</f>
        <v>63996.162856019393</v>
      </c>
    </row>
    <row r="406" spans="1:10" s="171" customFormat="1" x14ac:dyDescent="0.3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13709.205442428665</v>
      </c>
      <c r="J406" s="280">
        <f>'Resultater - Vestdanmark'!J406+'Resultater - Østdanmark'!J406</f>
        <v>8409.095799280949</v>
      </c>
    </row>
    <row r="407" spans="1:10" x14ac:dyDescent="0.3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1388963.5194082048</v>
      </c>
      <c r="J407" s="280">
        <f>'Resultater - Vestdanmark'!J407+'Resultater - Østdanmark'!J407</f>
        <v>851976.96872072341</v>
      </c>
    </row>
    <row r="408" spans="1:10" x14ac:dyDescent="0.3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1183262.353357573</v>
      </c>
      <c r="J408" s="280">
        <f>'Resultater - Vestdanmark'!J408+'Resultater - Østdanmark'!J408</f>
        <v>767167.43523730396</v>
      </c>
    </row>
    <row r="409" spans="1:10" x14ac:dyDescent="0.3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22669.448757915208</v>
      </c>
      <c r="J409" s="280">
        <f>'Resultater - Vestdanmark'!J409+'Resultater - Østdanmark'!J409</f>
        <v>14697.723469782179</v>
      </c>
    </row>
    <row r="410" spans="1:10" x14ac:dyDescent="0.3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105527.88793852628</v>
      </c>
      <c r="J410" s="280">
        <f>'Resultater - Vestdanmark'!J410+'Resultater - Østdanmark'!J410</f>
        <v>68418.942685100425</v>
      </c>
    </row>
    <row r="411" spans="1:10" x14ac:dyDescent="0.3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104124.41381141476</v>
      </c>
      <c r="J411" s="280">
        <f>'Resultater - Vestdanmark'!J411+'Resultater - Østdanmark'!J411</f>
        <v>67509.001078775444</v>
      </c>
    </row>
    <row r="412" spans="1:10" x14ac:dyDescent="0.3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90971.147089593054</v>
      </c>
      <c r="J412" s="280">
        <f>'Resultater - Vestdanmark'!J412+'Resultater - Østdanmark'!J412</f>
        <v>55046.839642131599</v>
      </c>
    </row>
    <row r="413" spans="1:10" x14ac:dyDescent="0.3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44121.743543858545</v>
      </c>
      <c r="J413" s="280">
        <f>'Resultater - Vestdanmark'!J413+'Resultater - Østdanmark'!J413</f>
        <v>26698.163311033844</v>
      </c>
    </row>
    <row r="414" spans="1:10" x14ac:dyDescent="0.3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5823.9227067081456</v>
      </c>
      <c r="J414" s="280">
        <f>'Resultater - Vestdanmark'!J414+'Resultater - Østdanmark'!J414</f>
        <v>3524.0683401364645</v>
      </c>
    </row>
    <row r="415" spans="1:10" x14ac:dyDescent="0.3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59861.078960088766</v>
      </c>
      <c r="J415" s="280">
        <f>'Resultater - Vestdanmark'!J415+'Resultater - Østdanmark'!J415</f>
        <v>36222.069521402635</v>
      </c>
    </row>
    <row r="416" spans="1:10" x14ac:dyDescent="0.3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" thickBot="1" x14ac:dyDescent="0.4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3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4576346318.5440006</v>
      </c>
      <c r="J418" s="277">
        <f>'Resultater - Vestdanmark'!J418+'Resultater - Østdanmark'!J418</f>
        <v>3055656172.7999997</v>
      </c>
    </row>
    <row r="419" spans="1:10" x14ac:dyDescent="0.3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125849523.75996001</v>
      </c>
      <c r="J419" s="280">
        <f>'Resultater - Vestdanmark'!J419+'Resultater - Østdanmark'!J419</f>
        <v>84030544.751999989</v>
      </c>
    </row>
    <row r="420" spans="1:10" x14ac:dyDescent="0.3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3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57204328.981800005</v>
      </c>
      <c r="J421" s="280">
        <f>'Resultater - Vestdanmark'!J421+'Resultater - Østdanmark'!J421</f>
        <v>38195702.159999996</v>
      </c>
    </row>
    <row r="422" spans="1:10" x14ac:dyDescent="0.3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114408657.96360001</v>
      </c>
      <c r="J422" s="280">
        <f>'Resultater - Vestdanmark'!J422+'Resultater - Østdanmark'!J422</f>
        <v>76391404.319999993</v>
      </c>
    </row>
    <row r="423" spans="1:10" x14ac:dyDescent="0.3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1292817834.9886799</v>
      </c>
      <c r="J423" s="280">
        <f>'Resultater - Vestdanmark'!J423+'Resultater - Østdanmark'!J423</f>
        <v>863222868.81599998</v>
      </c>
    </row>
    <row r="424" spans="1:10" x14ac:dyDescent="0.3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183053852.74176002</v>
      </c>
      <c r="J424" s="280">
        <f>'Resultater - Vestdanmark'!J424+'Resultater - Østdanmark'!J424</f>
        <v>122226246.912</v>
      </c>
    </row>
    <row r="425" spans="1:10" x14ac:dyDescent="0.3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3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3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1761893332.6394398</v>
      </c>
      <c r="J427" s="280">
        <f>'Resultater - Vestdanmark'!J427+'Resultater - Østdanmark'!J427</f>
        <v>1176427626.5279999</v>
      </c>
    </row>
    <row r="428" spans="1:10" x14ac:dyDescent="0.3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125849523.75996</v>
      </c>
      <c r="J428" s="280">
        <f>'Resultater - Vestdanmark'!J428+'Resultater - Østdanmark'!J428</f>
        <v>84030544.751999989</v>
      </c>
    </row>
    <row r="429" spans="1:10" x14ac:dyDescent="0.3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389596162.03199995</v>
      </c>
    </row>
    <row r="430" spans="1:10" x14ac:dyDescent="0.3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1688250035.4719999</v>
      </c>
    </row>
    <row r="431" spans="1:10" x14ac:dyDescent="0.3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91526926.370880008</v>
      </c>
      <c r="J431" s="280">
        <f>'Resultater - Vestdanmark'!J431+'Resultater - Østdanmark'!J431</f>
        <v>61113123.456</v>
      </c>
    </row>
    <row r="432" spans="1:10" x14ac:dyDescent="0.3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0</v>
      </c>
      <c r="J432" s="280">
        <f>'Resultater - Vestdanmark'!J432+'Resultater - Østdanmark'!J432</f>
        <v>0</v>
      </c>
    </row>
    <row r="433" spans="1:10" x14ac:dyDescent="0.3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0</v>
      </c>
      <c r="J433" s="280">
        <f>'Resultater - Vestdanmark'!J433+'Resultater - Østdanmark'!J433</f>
        <v>0</v>
      </c>
    </row>
    <row r="434" spans="1:10" x14ac:dyDescent="0.3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</v>
      </c>
      <c r="J434" s="280">
        <f>'Resultater - Vestdanmark'!J434+'Resultater - Østdanmark'!J434</f>
        <v>361184.39999999997</v>
      </c>
    </row>
    <row r="435" spans="1:10" x14ac:dyDescent="0.3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0</v>
      </c>
      <c r="J435" s="280">
        <f>'Resultater - Vestdanmark'!J435+'Resultater - Østdanmark'!J435</f>
        <v>0</v>
      </c>
    </row>
    <row r="436" spans="1:10" x14ac:dyDescent="0.3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116499147.84398645</v>
      </c>
      <c r="J436" s="280">
        <f>'Resultater - Vestdanmark'!J436+'Resultater - Østdanmark'!J436</f>
        <v>89226841.729770884</v>
      </c>
    </row>
    <row r="437" spans="1:10" s="171" customFormat="1" x14ac:dyDescent="0.3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-123562.87994647253</v>
      </c>
      <c r="J437" s="286">
        <f>'Resultater - Vestdanmark'!J437+'Resultater - Østdanmark'!J437</f>
        <v>-94636.96290228008</v>
      </c>
    </row>
    <row r="438" spans="1:10" x14ac:dyDescent="0.3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117647178.57865685</v>
      </c>
      <c r="J438" s="280">
        <f>'Resultater - Vestdanmark'!J438+'Resultater - Østdanmark'!J438</f>
        <v>86549371.659396291</v>
      </c>
    </row>
    <row r="439" spans="1:10" s="171" customFormat="1" x14ac:dyDescent="0.3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-245526.78096373379</v>
      </c>
      <c r="J439" s="286">
        <f>'Resultater - Vestdanmark'!J439+'Resultater - Østdanmark'!J439</f>
        <v>-180626.41938971682</v>
      </c>
    </row>
    <row r="440" spans="1:10" x14ac:dyDescent="0.3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88846.768196361154</v>
      </c>
      <c r="J440" s="280">
        <f>'Resultater - Vestdanmark'!J440+'Resultater - Østdanmark'!J440</f>
        <v>110102.449113043</v>
      </c>
    </row>
    <row r="441" spans="1:10" x14ac:dyDescent="0.3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103935619.79753119</v>
      </c>
      <c r="J441" s="280">
        <f>'Resultater - Vestdanmark'!J441+'Resultater - Østdanmark'!J441</f>
        <v>89233378.427851111</v>
      </c>
    </row>
    <row r="442" spans="1:10" x14ac:dyDescent="0.3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33002599.999999989</v>
      </c>
      <c r="J442" s="280">
        <f>'Resultater - Vestdanmark'!J442+'Resultater - Østdanmark'!J442</f>
        <v>33002600</v>
      </c>
    </row>
    <row r="443" spans="1:10" x14ac:dyDescent="0.3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2165562</v>
      </c>
      <c r="J443" s="280">
        <f>'Resultater - Vestdanmark'!J443+'Resultater - Østdanmark'!J443</f>
        <v>2165561.9999999995</v>
      </c>
    </row>
    <row r="444" spans="1:10" x14ac:dyDescent="0.3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3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74480686.960000023</v>
      </c>
      <c r="J445" s="280">
        <f>'Resultater - Vestdanmark'!J445+'Resultater - Østdanmark'!J445</f>
        <v>74179468.040000021</v>
      </c>
    </row>
    <row r="446" spans="1:10" x14ac:dyDescent="0.3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3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3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x14ac:dyDescent="0.3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21261809.003826302</v>
      </c>
      <c r="J449" s="280">
        <f>'Resultater - Vestdanmark'!J449+'Resultater - Østdanmark'!J449</f>
        <v>21294972.038339995</v>
      </c>
    </row>
    <row r="450" spans="1:13" x14ac:dyDescent="0.3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3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50678580.769433931</v>
      </c>
      <c r="J451" s="280">
        <f>'Resultater - Vestdanmark'!J451+'Resultater - Østdanmark'!J451</f>
        <v>78793379.386532128</v>
      </c>
      <c r="L451" s="98"/>
    </row>
    <row r="452" spans="1:13" x14ac:dyDescent="0.3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24247486.138661761</v>
      </c>
      <c r="J452" s="286">
        <f ca="1">'Resultater - Vestdanmark'!J452+'Resultater - Østdanmark'!J452</f>
        <v>21770858.979641322</v>
      </c>
    </row>
    <row r="453" spans="1:13" x14ac:dyDescent="0.3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17151263.432586893</v>
      </c>
      <c r="J453" s="286">
        <f>'Resultater - Vestdanmark'!J453+'Resultater - Østdanmark'!J453</f>
        <v>4378724.6404424589</v>
      </c>
    </row>
    <row r="454" spans="1:13" x14ac:dyDescent="0.3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22250057.414403193</v>
      </c>
      <c r="J454" s="286">
        <f>'Resultater - Vestdanmark'!J454+'Resultater - Østdanmark'!J454</f>
        <v>5456225.1637129243</v>
      </c>
    </row>
    <row r="455" spans="1:13" x14ac:dyDescent="0.3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15825.124106222091</v>
      </c>
      <c r="J455" s="286">
        <f>'Resultater - Vestdanmark'!J455+'Resultater - Østdanmark'!J455</f>
        <v>6537.0410838956805</v>
      </c>
    </row>
    <row r="456" spans="1:13" x14ac:dyDescent="0.3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3060326.5829273076</v>
      </c>
      <c r="J456" s="286">
        <f>'Resultater - Vestdanmark'!J456+'Resultater - Østdanmark'!J456</f>
        <v>875809.08456964942</v>
      </c>
    </row>
    <row r="457" spans="1:13" x14ac:dyDescent="0.3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141220941.88776132</v>
      </c>
      <c r="J457" s="286">
        <f ca="1">'Resultater - Vestdanmark'!J457+'Resultater - Østdanmark'!J457</f>
        <v>107521538.56533012</v>
      </c>
    </row>
    <row r="458" spans="1:13" x14ac:dyDescent="0.3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124564809.64619476</v>
      </c>
      <c r="J458" s="286">
        <f ca="1">'Resultater - Vestdanmark'!J458+'Resultater - Østdanmark'!J458</f>
        <v>143695328.24569932</v>
      </c>
    </row>
    <row r="459" spans="1:13" x14ac:dyDescent="0.3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5.2553568632233203</v>
      </c>
      <c r="J459" s="290">
        <f>'Resultater - Vestdanmark'!J459+'Resultater - Østdanmark'!J459</f>
        <v>7.2375109956234487E-2</v>
      </c>
      <c r="L459" s="170" t="s">
        <v>216</v>
      </c>
      <c r="M459" s="168">
        <v>17963.28</v>
      </c>
    </row>
    <row r="460" spans="1:13" x14ac:dyDescent="0.3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10.699796780048882</v>
      </c>
      <c r="J460" s="290">
        <f>'Resultater - Vestdanmark'!J460+'Resultater - Østdanmark'!J460</f>
        <v>9.1813879094416802</v>
      </c>
      <c r="L460" s="170" t="s">
        <v>220</v>
      </c>
      <c r="M460" s="168">
        <v>14758.1</v>
      </c>
    </row>
    <row r="461" spans="1:13" x14ac:dyDescent="0.3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5.1968930963583437</v>
      </c>
      <c r="J461" s="290">
        <f>'Resultater - Vestdanmark'!J461+'Resultater - Østdanmark'!J461</f>
        <v>5.3137617077451171</v>
      </c>
      <c r="L461" s="170" t="s">
        <v>217</v>
      </c>
      <c r="M461" s="168">
        <v>1988.19</v>
      </c>
    </row>
    <row r="462" spans="1:13" x14ac:dyDescent="0.3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41.693256616067309</v>
      </c>
      <c r="J462" s="290">
        <f>'Resultater - Vestdanmark'!J462+'Resultater - Østdanmark'!J462</f>
        <v>34.119638824419908</v>
      </c>
      <c r="L462" s="170" t="s">
        <v>218</v>
      </c>
      <c r="M462" s="168">
        <v>8944.93</v>
      </c>
    </row>
    <row r="463" spans="1:13" x14ac:dyDescent="0.3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x14ac:dyDescent="0.3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3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4.6575999999999986</v>
      </c>
      <c r="J465" s="290">
        <f>'Resultater - Vestdanmark'!J465+'Resultater - Østdanmark'!J465</f>
        <v>6.9863999999999997</v>
      </c>
      <c r="L465" s="169"/>
      <c r="M465" s="168"/>
    </row>
    <row r="466" spans="1:13" s="171" customFormat="1" x14ac:dyDescent="0.3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5.0183999999999989</v>
      </c>
      <c r="J466" s="290">
        <f>'Resultater - Vestdanmark'!J466+'Resultater - Østdanmark'!J466</f>
        <v>7.5275999999999996</v>
      </c>
      <c r="L466" s="169"/>
      <c r="M466" s="168"/>
    </row>
    <row r="467" spans="1:13" x14ac:dyDescent="0.3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22.068813981857886</v>
      </c>
      <c r="J467" s="293">
        <f ca="1">'Resultater - Vestdanmark'!J467+'Resultater - Østdanmark'!J467</f>
        <v>20.46904471881674</v>
      </c>
    </row>
    <row r="468" spans="1:13" x14ac:dyDescent="0.3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919429.57854383998</v>
      </c>
      <c r="J468" s="296">
        <f>'Resultater - Vestdanmark'!J468+'Resultater - Østdanmark'!J468</f>
        <v>613909.10380799999</v>
      </c>
    </row>
    <row r="469" spans="1:13" x14ac:dyDescent="0.3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1892943.2499432</v>
      </c>
      <c r="J469" s="296">
        <f>'Resultater - Vestdanmark'!J469+'Resultater - Østdanmark'!J469</f>
        <v>1263930.5078399999</v>
      </c>
    </row>
    <row r="470" spans="1:13" x14ac:dyDescent="0.3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2687548.9496904938</v>
      </c>
      <c r="J470" s="296">
        <f>'Resultater - Vestdanmark'!J470+'Resultater - Østdanmark'!J470</f>
        <v>1794493.8967024453</v>
      </c>
    </row>
    <row r="471" spans="1:13" x14ac:dyDescent="0.3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477669.49910932517</v>
      </c>
      <c r="J471" s="296">
        <f>'Resultater - Vestdanmark'!J471+'Resultater - Østdanmark'!J471</f>
        <v>409883.38881436078</v>
      </c>
    </row>
    <row r="472" spans="1:13" x14ac:dyDescent="0.3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305708.47942996811</v>
      </c>
      <c r="J472" s="296">
        <f>'Resultater - Vestdanmark'!J472+'Resultater - Østdanmark'!J472</f>
        <v>262325.36884119094</v>
      </c>
    </row>
    <row r="473" spans="1:13" x14ac:dyDescent="0.3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-652666.66666666651</v>
      </c>
      <c r="J473" s="296">
        <f>'Resultater - Vestdanmark'!J473+'Resultater - Østdanmark'!J473</f>
        <v>-979000</v>
      </c>
    </row>
    <row r="474" spans="1:13" x14ac:dyDescent="0.3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140000</v>
      </c>
      <c r="J474" s="296">
        <f>'Resultater - Vestdanmark'!J474+'Resultater - Østdanmark'!J474</f>
        <v>210000.00000000006</v>
      </c>
    </row>
    <row r="475" spans="1:13" ht="15" thickBot="1" x14ac:dyDescent="0.4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560000</v>
      </c>
      <c r="J475" s="299">
        <f>'Resultater - Vestdanmark'!J475+'Resultater - Østdanmark'!J475</f>
        <v>840000.00000000023</v>
      </c>
    </row>
    <row r="476" spans="1:13" x14ac:dyDescent="0.3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3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3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3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3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3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3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3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3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3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3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3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35">
      <c r="H488" s="97"/>
      <c r="I488" s="97"/>
      <c r="J488" s="97"/>
    </row>
    <row r="489" spans="1:10" x14ac:dyDescent="0.3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F64" activePane="bottomRight" state="frozen"/>
      <selection pane="topRight" activeCell="F1" sqref="F1"/>
      <selection pane="bottomLeft" activeCell="A3" sqref="A3"/>
      <selection pane="bottomRight" activeCell="F64" sqref="F64"/>
    </sheetView>
  </sheetViews>
  <sheetFormatPr defaultColWidth="18" defaultRowHeight="14.5" x14ac:dyDescent="0.35"/>
  <cols>
    <col min="1" max="2" width="18.1796875" style="190" bestFit="1" customWidth="1"/>
    <col min="3" max="3" width="8.1796875" style="190" bestFit="1" customWidth="1"/>
    <col min="4" max="4" width="7.81640625" style="190" customWidth="1"/>
    <col min="5" max="5" width="11.1796875" style="190" bestFit="1" customWidth="1"/>
    <col min="6" max="6" width="14.26953125" style="190" bestFit="1" customWidth="1"/>
    <col min="7" max="7" width="10.7265625" style="190" bestFit="1" customWidth="1"/>
    <col min="8" max="8" width="11.7265625" style="190" bestFit="1" customWidth="1"/>
    <col min="9" max="9" width="9" style="190" bestFit="1" customWidth="1"/>
    <col min="10" max="11" width="9.54296875" style="190" bestFit="1" customWidth="1"/>
    <col min="12" max="12" width="10.54296875" style="190" bestFit="1" customWidth="1"/>
    <col min="13" max="13" width="20" style="103" bestFit="1" customWidth="1"/>
    <col min="14" max="14" width="26.453125" style="103" bestFit="1" customWidth="1"/>
    <col min="15" max="15" width="21.453125" style="103" bestFit="1" customWidth="1"/>
    <col min="16" max="16" width="20.54296875" style="103" bestFit="1" customWidth="1"/>
    <col min="17" max="17" width="20.26953125" style="103" bestFit="1" customWidth="1"/>
    <col min="18" max="18" width="19.81640625" style="103" bestFit="1" customWidth="1"/>
    <col min="19" max="19" width="18.54296875" style="103" bestFit="1" customWidth="1"/>
    <col min="20" max="20" width="23.7265625" style="103" bestFit="1" customWidth="1"/>
    <col min="21" max="21" width="24" style="103" bestFit="1" customWidth="1"/>
    <col min="22" max="22" width="23.453125" style="103" bestFit="1" customWidth="1"/>
    <col min="23" max="23" width="22.26953125" style="103" bestFit="1" customWidth="1"/>
    <col min="24" max="24" width="27.453125" style="103" bestFit="1" customWidth="1"/>
    <col min="25" max="16384" width="18" style="103"/>
  </cols>
  <sheetData>
    <row r="1" spans="1:26" ht="15" thickTop="1" x14ac:dyDescent="0.3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3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3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3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3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3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3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3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3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3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3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3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3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3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3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3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3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3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3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3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3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3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3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3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3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3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3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3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3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3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3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3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3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3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3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3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3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3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3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3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3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3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3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3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3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3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3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3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3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3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3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3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570919.32655032468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47085.713440742315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480393.90037224919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3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3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495731167.19179565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495731167.19179565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495731167.19179565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3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20288522.839408737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16880479.241128754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3408043.5982799828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3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2396507.2594762691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1198253.6297381346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1198253.6297381346</v>
      </c>
      <c r="O56" s="193">
        <f t="shared" si="1"/>
        <v>1198253.6297381346</v>
      </c>
      <c r="P56" s="203">
        <f t="shared" si="10"/>
        <v>1198253.6297381346</v>
      </c>
      <c r="Q56" s="190">
        <f>IFERROR(VLOOKUP(A56,[1]Energiindhold!$A$2:$C$11,3,FALSE),IFERROR(VLOOKUP(A56,[1]Biogasudbytte!$A$2:$B$18,2,FALSE)*[1]Energiindhold!$C$10,0))*O56</f>
        <v>0.6806393084782959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1.3612786169565918</v>
      </c>
      <c r="S56" s="190">
        <f>IFERROR(VLOOKUP(A56,[1]Biogasudbytte!$A$2:$B$18,2,FALSE)*[1]Energiindhold!$C$10,0)*J56*IFERROR(VLOOKUP(A56,Biogasanlæg!$F$3:$G$8,2,FALSE),1)</f>
        <v>0.6806393084782959</v>
      </c>
      <c r="T56" s="191">
        <f t="shared" si="11"/>
        <v>0.6806393084782959</v>
      </c>
      <c r="U56" s="189">
        <f>O56*IFERROR(VLOOKUP(A56,[1]Tørstofindhold!A$2:B$24,2,FALSE),0)</f>
        <v>51241.384361838122</v>
      </c>
      <c r="V56" s="190">
        <f>IF(D56=År1,P56,SUM(O56,P56))*IFERROR(VLOOKUP(A56,[1]Tørstofindhold!A$2:B$24,2,FALSE),0)</f>
        <v>102482.76872367624</v>
      </c>
      <c r="W56" s="190">
        <f>J56*IFERROR(VLOOKUP(A56,[1]Tørstofindhold!A$2:B$24,2,FALSE),0)</f>
        <v>51241.384361838122</v>
      </c>
      <c r="X56" s="191">
        <f t="shared" si="12"/>
        <v>51241.384361838122</v>
      </c>
      <c r="Y56" s="171">
        <f t="shared" si="2"/>
        <v>0</v>
      </c>
      <c r="Z56" s="103">
        <f t="shared" si="3"/>
        <v>1</v>
      </c>
    </row>
    <row r="57" spans="1:26" hidden="1" x14ac:dyDescent="0.3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2037297.4995217314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1527973.1246412985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192815.65620473531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316508.71867569746</v>
      </c>
      <c r="O57" s="193">
        <f t="shared" si="1"/>
        <v>316508.71867569746</v>
      </c>
      <c r="P57" s="203">
        <f t="shared" si="10"/>
        <v>1527973.1246412985</v>
      </c>
      <c r="Q57" s="190">
        <f>IFERROR(VLOOKUP(A57,[1]Energiindhold!$A$2:$C$11,3,FALSE),IFERROR(VLOOKUP(A57,[1]Biogasudbytte!$A$2:$B$18,2,FALSE)*[1]Energiindhold!$C$10,0))*O57</f>
        <v>0.6817597800274523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3.9730138905048094</v>
      </c>
      <c r="S57" s="190">
        <f>IFERROR(VLOOKUP(A57,[1]Biogasudbytte!$A$2:$B$18,2,FALSE)*[1]Energiindhold!$C$10,0)*J57*IFERROR(VLOOKUP(A57,Biogasanlæg!$F$3:$G$8,2,FALSE),1)</f>
        <v>3.2912541104773569</v>
      </c>
      <c r="T57" s="191">
        <f t="shared" si="11"/>
        <v>0.68175978002745241</v>
      </c>
      <c r="U57" s="189">
        <f>O57*IFERROR(VLOOKUP(A57,[1]Tørstofindhold!A$2:B$24,2,FALSE),0)</f>
        <v>94952.615602709237</v>
      </c>
      <c r="V57" s="190">
        <f>IF(D57=År1,P57,SUM(O57,P57))*IFERROR(VLOOKUP(A57,[1]Tørstofindhold!A$2:B$24,2,FALSE),0)</f>
        <v>553344.55299509875</v>
      </c>
      <c r="W57" s="190">
        <f>J57*IFERROR(VLOOKUP(A57,[1]Tørstofindhold!A$2:B$24,2,FALSE),0)</f>
        <v>458391.93739238958</v>
      </c>
      <c r="X57" s="191">
        <f t="shared" si="12"/>
        <v>94952.615602709178</v>
      </c>
      <c r="Y57" s="171">
        <f t="shared" si="2"/>
        <v>0</v>
      </c>
      <c r="Z57" s="103">
        <f t="shared" si="3"/>
        <v>1</v>
      </c>
    </row>
    <row r="58" spans="1:26" hidden="1" x14ac:dyDescent="0.3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1687951.4848605499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1681632.6228836535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6318.8619768964127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1</v>
      </c>
    </row>
    <row r="59" spans="1:26" hidden="1" x14ac:dyDescent="0.3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6257.0446016591122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90">
        <f>IFERROR(VLOOKUP(A59,[1]Biogasudbytte!$A$2:$B$18,2,FALSE)*[1]Energiindhold!$C$10,0)*J59*IFERROR(VLOOKUP(A59,Biogasanlæg!$F$3:$G$8,2,FALSE),1)</f>
        <v>2.9426255057142638E-3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394.19380990452407</v>
      </c>
      <c r="W59" s="190">
        <f>J59*IFERROR(VLOOKUP(A59,[1]Tørstofindhold!A$2:B$24,2,FALSE),0)</f>
        <v>394.19380990452407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3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153393.07628424684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3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991447.52086616959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991447.52086616959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3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69515.73753753565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-188407.55684037996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3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3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10811669.206179742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9446613.3985518552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4904320.894126229</v>
      </c>
      <c r="N64" s="202">
        <f t="shared" si="9"/>
        <v>-3539265.0864983425</v>
      </c>
      <c r="O64" s="193">
        <f t="shared" si="1"/>
        <v>0</v>
      </c>
      <c r="P64" s="203">
        <f t="shared" si="10"/>
        <v>0</v>
      </c>
      <c r="Q64" s="190">
        <f>IFERROR(VLOOKUP(A64,[1]Energiindhold!$A$2:$C$11,3,FALSE),IFERROR(VLOOKUP(A64,[1]Biogasudbytte!$A$2:$B$18,2,FALSE)*[1]Energiindhold!$C$10,0))*O64</f>
        <v>0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90">
        <f>IFERROR(VLOOKUP(A64,[1]Biogasudbytte!$A$2:$B$18,2,FALSE)*[1]Energiindhold!$C$10,0)*J64*IFERROR(VLOOKUP(A64,Biogasanlæg!$F$3:$G$8,2,FALSE),1)</f>
        <v>0</v>
      </c>
      <c r="T64" s="191">
        <f t="shared" si="11"/>
        <v>0</v>
      </c>
      <c r="U64" s="189">
        <f>O64*IFERROR(VLOOKUP(A64,[1]Tørstofindhold!A$2:B$24,2,FALSE),0)</f>
        <v>0</v>
      </c>
      <c r="V64" s="190">
        <f>IF(D64=År1,P64,SUM(O64,P64))*IFERROR(VLOOKUP(A64,[1]Tørstofindhold!A$2:B$24,2,FALSE),0)</f>
        <v>0</v>
      </c>
      <c r="W64" s="190">
        <f>J64*IFERROR(VLOOKUP(A64,[1]Tørstofindhold!A$2:B$24,2,FALSE),0)</f>
        <v>0</v>
      </c>
      <c r="X64" s="191">
        <f t="shared" si="12"/>
        <v>0</v>
      </c>
      <c r="Y64" s="171">
        <f t="shared" si="2"/>
        <v>1</v>
      </c>
      <c r="Z64" s="103">
        <f t="shared" si="3"/>
        <v>0</v>
      </c>
    </row>
    <row r="65" spans="1:26" x14ac:dyDescent="0.3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819862.14978940994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819862.14978940994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3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378724.85097057559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108584.13738528499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3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2115369.6842220044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590528.53760249668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548687.13677357347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254415.29546314781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721738.71438278642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254415.29546314781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2.6295872236207458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2.6295872236207458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216253.00114367562</v>
      </c>
      <c r="W67" s="190">
        <f>J67*IFERROR(VLOOKUP(A67,[1]Tørstofindhold!A$2:B$24,2,FALSE),0)</f>
        <v>0</v>
      </c>
      <c r="X67" s="191">
        <f t="shared" si="12"/>
        <v>216253.00114367562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3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3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0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0</v>
      </c>
      <c r="Z69" s="103">
        <f t="shared" si="22"/>
        <v>0</v>
      </c>
    </row>
    <row r="70" spans="1:26" hidden="1" x14ac:dyDescent="0.3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448896.7894108406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506863.86710295174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-57967.077692111139</v>
      </c>
      <c r="O70" s="193">
        <f t="shared" si="20"/>
        <v>0</v>
      </c>
      <c r="P70" s="203">
        <f t="shared" si="10"/>
        <v>506863.86710295174</v>
      </c>
      <c r="Q70" s="190">
        <f>IFERROR(VLOOKUP(A70,[1]Energiindhold!$A$2:$C$11,3,FALSE),IFERROR(VLOOKUP(A70,[1]Biogasudbytte!$A$2:$B$18,2,FALSE)*[1]Energiindhold!$C$10,0))*O70</f>
        <v>0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1.8668609741908415</v>
      </c>
      <c r="S70" s="190">
        <f>IFERROR(VLOOKUP(A70,[1]Biogasudbytte!$A$2:$B$18,2,FALSE)*[1]Energiindhold!$C$10,0)*J70*IFERROR(VLOOKUP(A70,Biogasanlæg!$F$3:$G$8,2,FALSE),1)</f>
        <v>1.8668609741908415</v>
      </c>
      <c r="T70" s="191">
        <f t="shared" si="11"/>
        <v>0</v>
      </c>
      <c r="U70" s="189">
        <f>O70*IFERROR(VLOOKUP(A70,[1]Tørstofindhold!A$2:B$24,2,FALSE),0)</f>
        <v>0</v>
      </c>
      <c r="V70" s="190">
        <f>IF(D70=År1,P70,SUM(O70,P70))*IFERROR(VLOOKUP(A70,[1]Tørstofindhold!A$2:B$24,2,FALSE),0)</f>
        <v>212882.82418323972</v>
      </c>
      <c r="W70" s="190">
        <f>J70*IFERROR(VLOOKUP(A70,[1]Tørstofindhold!A$2:B$24,2,FALSE),0)</f>
        <v>212882.82418323972</v>
      </c>
      <c r="X70" s="191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3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832506.49987193861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832506.49987193861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3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1786381.255966713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1662849.5728699218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3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4785068.9598603025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4534717.2198337205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2866.1447836461339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-48447.447780146264</v>
      </c>
      <c r="O73" s="193">
        <f t="shared" si="20"/>
        <v>0</v>
      </c>
      <c r="P73" s="203">
        <f t="shared" si="10"/>
        <v>2866.1447836461339</v>
      </c>
      <c r="Q73" s="190">
        <f>IFERROR(VLOOKUP(A73,[1]Energiindhold!$A$2:$C$11,3,FALSE),IFERROR(VLOOKUP(A73,[1]Biogasudbytte!$A$2:$B$18,2,FALSE)*[1]Energiindhold!$C$10,0))*O73</f>
        <v>0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9.8161446237182998E-3</v>
      </c>
      <c r="S73" s="190">
        <f>IFERROR(VLOOKUP(A73,[1]Biogasudbytte!$A$2:$B$18,2,FALSE)*[1]Energiindhold!$C$10,0)*J73*IFERROR(VLOOKUP(A73,Biogasanlæg!$F$3:$G$8,2,FALSE),1)</f>
        <v>9.8161446237182998E-3</v>
      </c>
      <c r="T73" s="191">
        <f t="shared" si="11"/>
        <v>0</v>
      </c>
      <c r="U73" s="189">
        <f>O73*IFERROR(VLOOKUP(A73,[1]Tørstofindhold!A$2:B$24,2,FALSE),0)</f>
        <v>0</v>
      </c>
      <c r="V73" s="190">
        <f>IF(D73=År1,P73,SUM(O73,P73))*IFERROR(VLOOKUP(A73,[1]Tørstofindhold!A$2:B$24,2,FALSE),0)</f>
        <v>888.50488293030151</v>
      </c>
      <c r="W73" s="190">
        <f>J73*IFERROR(VLOOKUP(A73,[1]Tørstofindhold!A$2:B$24,2,FALSE),0)</f>
        <v>888.50488293030151</v>
      </c>
      <c r="X73" s="191">
        <f t="shared" si="12"/>
        <v>0</v>
      </c>
      <c r="Y73" s="171">
        <f t="shared" si="21"/>
        <v>0</v>
      </c>
      <c r="Z73" s="103">
        <f t="shared" si="22"/>
        <v>1</v>
      </c>
    </row>
    <row r="74" spans="1:26" hidden="1" x14ac:dyDescent="0.3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479558.1969775256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-479558.1969775256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3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7790098.0268014707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2596699.342267157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7790098.0268014707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3.9432697201866369</v>
      </c>
      <c r="S75" s="190">
        <f>IFERROR(VLOOKUP(A75,[1]Biogasudbytte!$A$2:$B$18,2,FALSE)*[1]Energiindhold!$C$10,0)*J75*IFERROR(VLOOKUP(A75,Biogasanlæg!$F$3:$G$8,2,FALSE),1)</f>
        <v>3.9432697201866369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592047.45003691176</v>
      </c>
      <c r="W75" s="190">
        <f>J75*IFERROR(VLOOKUP(A75,[1]Tørstofindhold!A$2:B$24,2,FALSE),0)</f>
        <v>592047.45003691176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3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1164894.7731358123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131900.31915751821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3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3984719.6201805831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4351481.2300827308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252137.34695648224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-618898.95685862983</v>
      </c>
      <c r="O77" s="193">
        <f t="shared" si="20"/>
        <v>0</v>
      </c>
      <c r="P77" s="203">
        <f t="shared" si="10"/>
        <v>252137.34695648224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0.90517307557377136</v>
      </c>
      <c r="S77" s="190">
        <f>IFERROR(VLOOKUP(A77,[1]Biogasudbytte!$A$2:$B$18,2,FALSE)*[1]Energiindhold!$C$10,0)*J77*IFERROR(VLOOKUP(A77,Biogasanlæg!$F$3:$G$8,2,FALSE),1)</f>
        <v>0.90517307557377136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75641.204086944665</v>
      </c>
      <c r="W77" s="190">
        <f>J77*IFERROR(VLOOKUP(A77,[1]Tørstofindhold!A$2:B$24,2,FALSE),0)</f>
        <v>75641.204086944665</v>
      </c>
      <c r="X77" s="191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3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2029734.6292751078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3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3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36911.908402066096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3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1254211.7913728904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1254211.7913728904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3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215758.44874789647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215758.44874789647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215758.44874789647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3.9699554569612943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3.9699554569612943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89539.756230377039</v>
      </c>
      <c r="W82" s="190">
        <f>J82*IFERROR(VLOOKUP(A82,[1]Tørstofindhold!A$2:B$24,2,FALSE),0)</f>
        <v>0</v>
      </c>
      <c r="X82" s="191">
        <f t="shared" ref="X82:X149" si="26">V82-W82</f>
        <v>89539.756230377039</v>
      </c>
      <c r="Y82" s="171">
        <f t="shared" si="21"/>
        <v>0</v>
      </c>
      <c r="Z82" s="103">
        <f t="shared" si="22"/>
        <v>0</v>
      </c>
    </row>
    <row r="83" spans="1:26" hidden="1" x14ac:dyDescent="0.3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404173.68005436042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404173.68005436042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404173.68005436042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3.6219735642585746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3.6219735642585746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3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101043.4200135901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101043.4200135901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101043.4200135901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3.3615702361092654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3.3615702361092654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3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3896345.2282942934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3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720643.86826877412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720643.86826877412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3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360321.93413438706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161875.86352463221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198446.07060975485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3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230606.03784600773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230606.03784600773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230606.03784600773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8.0712113246102692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8.0712113246102692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3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661272.99652906856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669901.28667965194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21394.342667690107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-30022.632818273501</v>
      </c>
      <c r="O89" s="193">
        <f t="shared" si="20"/>
        <v>0</v>
      </c>
      <c r="P89" s="203">
        <f t="shared" si="24"/>
        <v>21394.342667690107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5.8065101773817657E-2</v>
      </c>
      <c r="S89" s="190">
        <f>IFERROR(VLOOKUP(A89,[1]Biogasudbytte!$A$2:$B$18,2,FALSE)*[1]Energiindhold!$C$10,0)*J89*IFERROR(VLOOKUP(A89,Biogasanlæg!$F$3:$G$8,2,FALSE),1)</f>
        <v>5.8065101773817657E-2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4278.8685335380214</v>
      </c>
      <c r="W89" s="190">
        <f>J89*IFERROR(VLOOKUP(A89,[1]Tørstofindhold!A$2:B$24,2,FALSE),0)</f>
        <v>4278.8685335380214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3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146835.36007534855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146835.36007534855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3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97609.837071587375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29678.267865680002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67931.569205907377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3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1974779.4199139304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1974779.4199139304</v>
      </c>
      <c r="O92" s="193">
        <f t="shared" si="20"/>
        <v>1974779.4199139304</v>
      </c>
      <c r="P92" s="203">
        <f t="shared" si="24"/>
        <v>1974779.4199139304</v>
      </c>
      <c r="Q92" s="190">
        <f>IFERROR(VLOOKUP(A92,[1]Energiindhold!$A$2:$C$11,3,FALSE),IFERROR(VLOOKUP(A92,[1]Biogasudbytte!$A$2:$B$18,2,FALSE)*[1]Energiindhold!$C$10,0))*O92</f>
        <v>0.98543467833125054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1.9708693566625011</v>
      </c>
      <c r="S92" s="190">
        <f>IFERROR(VLOOKUP(A92,[1]Biogasudbytte!$A$2:$B$18,2,FALSE)*[1]Energiindhold!$C$10,0)*J92*IFERROR(VLOOKUP(A92,Biogasanlæg!$F$3:$G$8,2,FALSE),1)</f>
        <v>0.98543467833125054</v>
      </c>
      <c r="T92" s="191">
        <f t="shared" si="25"/>
        <v>0.98543467833125054</v>
      </c>
      <c r="U92" s="189">
        <f>O92*IFERROR(VLOOKUP(A92,[1]Tørstofindhold!A$2:B$24,2,FALSE),0)</f>
        <v>118486.76519483581</v>
      </c>
      <c r="V92" s="190">
        <f>IF(D92=År1,P92,SUM(O92,P92))*IFERROR(VLOOKUP(A92,[1]Tørstofindhold!A$2:B$24,2,FALSE),0)</f>
        <v>236973.53038967162</v>
      </c>
      <c r="W92" s="190">
        <f>J92*IFERROR(VLOOKUP(A92,[1]Tørstofindhold!A$2:B$24,2,FALSE),0)</f>
        <v>118486.76519483581</v>
      </c>
      <c r="X92" s="191">
        <f t="shared" si="26"/>
        <v>118486.76519483581</v>
      </c>
      <c r="Y92" s="171">
        <f t="shared" si="21"/>
        <v>0</v>
      </c>
      <c r="Z92" s="103">
        <f t="shared" si="22"/>
        <v>1</v>
      </c>
    </row>
    <row r="93" spans="1:26" hidden="1" x14ac:dyDescent="0.3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11306124.881910803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8479593.6614331026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2826531.2204777007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8479593.6614331026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3.6530089493453812</v>
      </c>
      <c r="S93" s="190">
        <f>IFERROR(VLOOKUP(A93,[1]Biogasudbytte!$A$2:$B$18,2,FALSE)*[1]Energiindhold!$C$10,0)*J93*IFERROR(VLOOKUP(A93,Biogasanlæg!$F$3:$G$8,2,FALSE),1)</f>
        <v>3.6530089493453812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423979.68307165516</v>
      </c>
      <c r="W93" s="190">
        <f>J93*IFERROR(VLOOKUP(A93,[1]Tørstofindhold!A$2:B$24,2,FALSE),0)</f>
        <v>423979.68307165516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3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1033509.7693363478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936009.33409740357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3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3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3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2228556.3906758497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2228556.3906758497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2228556.3906758497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32.299735597523586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32.299735597523586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1102206.848221764</v>
      </c>
      <c r="W97" s="190">
        <f>J97*IFERROR(VLOOKUP(A97,[1]Tørstofindhold!A$2:B$24,2,FALSE),0)</f>
        <v>0</v>
      </c>
      <c r="X97" s="191">
        <f t="shared" si="26"/>
        <v>1102206.848221764</v>
      </c>
      <c r="Y97" s="171">
        <f t="shared" si="21"/>
        <v>0</v>
      </c>
      <c r="Z97" s="103">
        <f t="shared" si="22"/>
        <v>0</v>
      </c>
    </row>
    <row r="98" spans="1:26" hidden="1" x14ac:dyDescent="0.3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614281.02378706157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614281.02378706157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3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3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476733.07017285493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101549.90665933446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343748.68386002048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3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3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441087049.47009271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441087049.47009271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441087049.47009271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3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17326468.088146493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12224522.62240437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5101945.4657421224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3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1599911.1658842943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1199933.3744132207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399977.79147107364</v>
      </c>
      <c r="O104" s="193">
        <f t="shared" si="20"/>
        <v>399977.79147107364</v>
      </c>
      <c r="P104" s="203">
        <f t="shared" si="24"/>
        <v>1199933.3744132207</v>
      </c>
      <c r="Q104" s="190">
        <f>IFERROR(VLOOKUP(A104,[1]Energiindhold!$A$2:$C$11,3,FALSE),IFERROR(VLOOKUP(A104,[1]Biogasudbytte!$A$2:$B$18,2,FALSE)*[1]Energiindhold!$C$10,0))*O104</f>
        <v>0.2271978157521149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0.90879126300845936</v>
      </c>
      <c r="S104" s="190">
        <f>IFERROR(VLOOKUP(A104,[1]Biogasudbytte!$A$2:$B$18,2,FALSE)*[1]Energiindhold!$C$10,0)*J104*IFERROR(VLOOKUP(A104,Biogasanlæg!$F$3:$G$8,2,FALSE),1)</f>
        <v>0.68159344725634452</v>
      </c>
      <c r="T104" s="191">
        <f t="shared" si="25"/>
        <v>0.22719781575211484</v>
      </c>
      <c r="U104" s="189">
        <f>O104*IFERROR(VLOOKUP(A104,[1]Tørstofindhold!A$2:B$24,2,FALSE),0)</f>
        <v>17104.405311459373</v>
      </c>
      <c r="V104" s="190">
        <f>IF(D104=År1,P104,SUM(O104,P104))*IFERROR(VLOOKUP(A104,[1]Tørstofindhold!A$2:B$24,2,FALSE),0)</f>
        <v>68417.621245837479</v>
      </c>
      <c r="W104" s="190">
        <f>J104*IFERROR(VLOOKUP(A104,[1]Tørstofindhold!A$2:B$24,2,FALSE),0)</f>
        <v>51313.21593437811</v>
      </c>
      <c r="X104" s="191">
        <f t="shared" si="26"/>
        <v>17104.40531145937</v>
      </c>
      <c r="Y104" s="171">
        <f t="shared" si="21"/>
        <v>0</v>
      </c>
      <c r="Z104" s="103">
        <f t="shared" si="22"/>
        <v>1</v>
      </c>
    </row>
    <row r="105" spans="1:26" hidden="1" x14ac:dyDescent="0.3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1458137.3135203668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1312323.5821683302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55200.91258327102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90612.818768765545</v>
      </c>
      <c r="O105" s="193">
        <f t="shared" si="20"/>
        <v>90612.818768765545</v>
      </c>
      <c r="P105" s="203">
        <f t="shared" si="24"/>
        <v>1312323.5821683302</v>
      </c>
      <c r="Q105" s="190">
        <f>IFERROR(VLOOKUP(A105,[1]Energiindhold!$A$2:$C$11,3,FALSE),IFERROR(VLOOKUP(A105,[1]Biogasudbytte!$A$2:$B$18,2,FALSE)*[1]Energiindhold!$C$10,0))*O105</f>
        <v>0.19518001162792098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3.0219250076185045</v>
      </c>
      <c r="S105" s="190">
        <f>IFERROR(VLOOKUP(A105,[1]Biogasudbytte!$A$2:$B$18,2,FALSE)*[1]Energiindhold!$C$10,0)*J105*IFERROR(VLOOKUP(A105,Biogasanlæg!$F$3:$G$8,2,FALSE),1)</f>
        <v>2.8267449959905835</v>
      </c>
      <c r="T105" s="191">
        <f t="shared" si="25"/>
        <v>0.19518001162792098</v>
      </c>
      <c r="U105" s="189">
        <f>O105*IFERROR(VLOOKUP(A105,[1]Tørstofindhold!A$2:B$24,2,FALSE),0)</f>
        <v>27183.845630629661</v>
      </c>
      <c r="V105" s="190">
        <f>IF(D105=År1,P105,SUM(O105,P105))*IFERROR(VLOOKUP(A105,[1]Tørstofindhold!A$2:B$24,2,FALSE),0)</f>
        <v>420880.92028112873</v>
      </c>
      <c r="W105" s="190">
        <f>J105*IFERROR(VLOOKUP(A105,[1]Tørstofindhold!A$2:B$24,2,FALSE),0)</f>
        <v>393697.07465049904</v>
      </c>
      <c r="X105" s="191">
        <f t="shared" si="26"/>
        <v>27183.845630629687</v>
      </c>
      <c r="Y105" s="171">
        <f t="shared" si="21"/>
        <v>0</v>
      </c>
      <c r="Z105" s="103">
        <f t="shared" si="22"/>
        <v>1</v>
      </c>
    </row>
    <row r="106" spans="1:26" hidden="1" x14ac:dyDescent="0.3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1126878.4675784998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1122659.9876249996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4218.4799535002094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1</v>
      </c>
    </row>
    <row r="107" spans="1:26" hidden="1" x14ac:dyDescent="0.3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7753.9785502341792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90">
        <f>IFERROR(VLOOKUP(A107,[1]Biogasudbytte!$A$2:$B$18,2,FALSE)*[1]Energiindhold!$C$10,0)*J107*IFERROR(VLOOKUP(A107,Biogasanlæg!$F$3:$G$8,2,FALSE),1)</f>
        <v>3.6466185723896321E-3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488.50064866475327</v>
      </c>
      <c r="W107" s="190">
        <f>J107*IFERROR(VLOOKUP(A107,[1]Tørstofindhold!A$2:B$24,2,FALSE),0)</f>
        <v>488.50064866475327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3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20168.939794840036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153489.81145508884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3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792091.46065631567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792091.46065631567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3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58253.649751305209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-209725.27059971626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3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3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8080859.3284295592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6306570.6128669288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3274130.6034294944</v>
      </c>
      <c r="N112" s="202">
        <f t="shared" si="23"/>
        <v>-1499841.887866864</v>
      </c>
      <c r="O112" s="193">
        <f t="shared" si="20"/>
        <v>0</v>
      </c>
      <c r="P112" s="203">
        <f t="shared" si="24"/>
        <v>0</v>
      </c>
      <c r="Q112" s="190">
        <f>IFERROR(VLOOKUP(A112,[1]Energiindhold!$A$2:$C$11,3,FALSE),IFERROR(VLOOKUP(A112,[1]Biogasudbytte!$A$2:$B$18,2,FALSE)*[1]Energiindhold!$C$10,0))*O112</f>
        <v>0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90">
        <f>IFERROR(VLOOKUP(A112,[1]Biogasudbytte!$A$2:$B$18,2,FALSE)*[1]Energiindhold!$C$10,0)*J112*IFERROR(VLOOKUP(A112,Biogasanlæg!$F$3:$G$8,2,FALSE),1)</f>
        <v>0</v>
      </c>
      <c r="T112" s="191">
        <f t="shared" si="25"/>
        <v>0</v>
      </c>
      <c r="U112" s="189">
        <f>O112*IFERROR(VLOOKUP(A112,[1]Tørstofindhold!A$2:B$24,2,FALSE),0)</f>
        <v>0</v>
      </c>
      <c r="V112" s="190">
        <f>IF(D112=År1,P112,SUM(O112,P112))*IFERROR(VLOOKUP(A112,[1]Tørstofindhold!A$2:B$24,2,FALSE),0)</f>
        <v>0</v>
      </c>
      <c r="W112" s="190">
        <f>J112*IFERROR(VLOOKUP(A112,[1]Tørstofindhold!A$2:B$24,2,FALSE),0)</f>
        <v>0</v>
      </c>
      <c r="X112" s="191">
        <f t="shared" si="26"/>
        <v>0</v>
      </c>
      <c r="Y112" s="171">
        <f t="shared" si="21"/>
        <v>0</v>
      </c>
      <c r="Z112" s="103">
        <f t="shared" si="22"/>
        <v>1</v>
      </c>
    </row>
    <row r="113" spans="1:26" hidden="1" x14ac:dyDescent="0.3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547340.96996669995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547340.96996669995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3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323570.52487821685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42897.866194778588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3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1738074.2627217553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394237.57109337207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367504.60397489293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0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1054723.8266823078</v>
      </c>
      <c r="N115" s="202">
        <f t="shared" si="23"/>
        <v>-78391.739028817508</v>
      </c>
      <c r="O115" s="193">
        <f t="shared" si="20"/>
        <v>0</v>
      </c>
      <c r="P115" s="203">
        <f t="shared" si="24"/>
        <v>0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0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0</v>
      </c>
      <c r="W115" s="190">
        <f>J115*IFERROR(VLOOKUP(A115,[1]Tørstofindhold!A$2:B$24,2,FALSE),0)</f>
        <v>0</v>
      </c>
      <c r="X115" s="191">
        <f t="shared" si="26"/>
        <v>0</v>
      </c>
      <c r="Y115" s="171">
        <f t="shared" si="21"/>
        <v>1</v>
      </c>
      <c r="Z115" s="103">
        <f t="shared" si="22"/>
        <v>0</v>
      </c>
    </row>
    <row r="116" spans="1:26" hidden="1" x14ac:dyDescent="0.3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3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3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359965.86402345594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477740.13297637849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-117774.26895292255</v>
      </c>
      <c r="O118" s="193">
        <f t="shared" si="20"/>
        <v>0</v>
      </c>
      <c r="P118" s="203">
        <f t="shared" si="24"/>
        <v>477740.13297637849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1.7595935870433448</v>
      </c>
      <c r="S118" s="190">
        <f>IFERROR(VLOOKUP(A118,[1]Biogasudbytte!$A$2:$B$18,2,FALSE)*[1]Energiindhold!$C$10,0)*J118*IFERROR(VLOOKUP(A118,Biogasanlæg!$F$3:$G$8,2,FALSE),1)</f>
        <v>1.7595935870433448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200650.85585007895</v>
      </c>
      <c r="W118" s="190">
        <f>J118*IFERROR(VLOOKUP(A118,[1]Tørstofindhold!A$2:B$24,2,FALSE),0)</f>
        <v>200650.85585007895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3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686144.91909286368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686144.91909286368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3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1457061.1613346946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1328713.3626402579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3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3920720.3662957777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2778.0605350782976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583089.01482659718</v>
      </c>
      <c r="O121" s="193">
        <f t="shared" si="20"/>
        <v>583089.01482659718</v>
      </c>
      <c r="P121" s="203">
        <f t="shared" si="24"/>
        <v>2778.0605350782976</v>
      </c>
      <c r="Q121" s="190">
        <f>IFERROR(VLOOKUP(A121,[1]Energiindhold!$A$2:$C$11,3,FALSE),IFERROR(VLOOKUP(A121,[1]Biogasudbytte!$A$2:$B$18,2,FALSE)*[1]Energiindhold!$C$10,0))*O121</f>
        <v>1.9969982433190199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2.0065127117231882</v>
      </c>
      <c r="S121" s="190">
        <f>IFERROR(VLOOKUP(A121,[1]Biogasudbytte!$A$2:$B$18,2,FALSE)*[1]Energiindhold!$C$10,0)*J121*IFERROR(VLOOKUP(A121,Biogasanlæg!$F$3:$G$8,2,FALSE),1)</f>
        <v>9.5144684041682595E-3</v>
      </c>
      <c r="T121" s="191">
        <f t="shared" si="25"/>
        <v>1.9969982433190199</v>
      </c>
      <c r="U121" s="189">
        <f>O121*IFERROR(VLOOKUP(A121,[1]Tørstofindhold!A$2:B$24,2,FALSE),0)</f>
        <v>180757.59459624512</v>
      </c>
      <c r="V121" s="190">
        <f>IF(D121=År1,P121,SUM(O121,P121))*IFERROR(VLOOKUP(A121,[1]Tørstofindhold!A$2:B$24,2,FALSE),0)</f>
        <v>181618.79336211938</v>
      </c>
      <c r="W121" s="190">
        <f>J121*IFERROR(VLOOKUP(A121,[1]Tørstofindhold!A$2:B$24,2,FALSE),0)</f>
        <v>861.19876587427223</v>
      </c>
      <c r="X121" s="191">
        <f t="shared" si="26"/>
        <v>180757.59459624512</v>
      </c>
      <c r="Y121" s="171">
        <f t="shared" si="21"/>
        <v>0</v>
      </c>
      <c r="Z121" s="103">
        <f t="shared" si="22"/>
        <v>1</v>
      </c>
    </row>
    <row r="122" spans="1:26" hidden="1" x14ac:dyDescent="0.3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605816.97301957663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-605816.97301957663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3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6367703.2512749117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5730932.9261474209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636770.32512749103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5730932.9261474209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2.9009409378865634</v>
      </c>
      <c r="S123" s="190">
        <f>IFERROR(VLOOKUP(A123,[1]Biogasudbytte!$A$2:$B$18,2,FALSE)*[1]Energiindhold!$C$10,0)*J123*IFERROR(VLOOKUP(A123,Biogasanlæg!$F$3:$G$8,2,FALSE),1)</f>
        <v>2.9009409378865634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435550.902387204</v>
      </c>
      <c r="W123" s="190">
        <f>J123*IFERROR(VLOOKUP(A123,[1]Tørstofindhold!A$2:B$24,2,FALSE),0)</f>
        <v>435550.902387204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3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795441.73503903183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777685.16963622137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17756.565402810462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1</v>
      </c>
      <c r="Z124" s="103">
        <f t="shared" si="22"/>
        <v>0</v>
      </c>
    </row>
    <row r="125" spans="1:26" hidden="1" x14ac:dyDescent="0.3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3204301.4084430053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2905054.1702372115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242163.91618130018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57083.322024493478</v>
      </c>
      <c r="O125" s="193">
        <f t="shared" si="20"/>
        <v>57083.322024493478</v>
      </c>
      <c r="P125" s="203">
        <f t="shared" si="24"/>
        <v>242163.91618130018</v>
      </c>
      <c r="Q125" s="190">
        <f>IFERROR(VLOOKUP(A125,[1]Energiindhold!$A$2:$C$11,3,FALSE),IFERROR(VLOOKUP(A125,[1]Biogasudbytte!$A$2:$B$18,2,FALSE)*[1]Energiindhold!$C$10,0))*O125</f>
        <v>0.20492912606793159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1.0742975851587995</v>
      </c>
      <c r="S125" s="190">
        <f>IFERROR(VLOOKUP(A125,[1]Biogasudbytte!$A$2:$B$18,2,FALSE)*[1]Energiindhold!$C$10,0)*J125*IFERROR(VLOOKUP(A125,Biogasanlæg!$F$3:$G$8,2,FALSE),1)</f>
        <v>0.8693684590908678</v>
      </c>
      <c r="T125" s="191">
        <f t="shared" si="25"/>
        <v>0.20492912606793168</v>
      </c>
      <c r="U125" s="189">
        <f>O125*IFERROR(VLOOKUP(A125,[1]Tørstofindhold!A$2:B$24,2,FALSE),0)</f>
        <v>17124.996607348043</v>
      </c>
      <c r="V125" s="190">
        <f>IF(D125=År1,P125,SUM(O125,P125))*IFERROR(VLOOKUP(A125,[1]Tørstofindhold!A$2:B$24,2,FALSE),0)</f>
        <v>89774.171461738093</v>
      </c>
      <c r="W125" s="190">
        <f>J125*IFERROR(VLOOKUP(A125,[1]Tørstofindhold!A$2:B$24,2,FALSE),0)</f>
        <v>72649.174854390047</v>
      </c>
      <c r="X125" s="191">
        <f t="shared" si="26"/>
        <v>17124.996607348046</v>
      </c>
      <c r="Y125" s="171">
        <f t="shared" si="21"/>
        <v>0</v>
      </c>
      <c r="Z125" s="103">
        <f t="shared" si="22"/>
        <v>1</v>
      </c>
    </row>
    <row r="126" spans="1:26" hidden="1" x14ac:dyDescent="0.3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1534789.7228421343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1043965.1739886844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3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3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51394.057868840908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34302.712220301015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17091.345648539893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3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1022217.4078862639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1022217.4078862639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3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167353.17803041782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167353.17803041782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167353.17803041782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3.0792984757596873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3.0792984757596873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69451.568882623396</v>
      </c>
      <c r="W130" s="190">
        <f>J130*IFERROR(VLOOKUP(A130,[1]Tørstofindhold!A$2:B$24,2,FALSE),0)</f>
        <v>0</v>
      </c>
      <c r="X130" s="191">
        <f t="shared" si="26"/>
        <v>69451.568882623396</v>
      </c>
      <c r="Y130" s="171">
        <f t="shared" si="21"/>
        <v>1</v>
      </c>
      <c r="Z130" s="103">
        <f t="shared" si="22"/>
        <v>0</v>
      </c>
    </row>
    <row r="131" spans="1:26" hidden="1" x14ac:dyDescent="0.3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590645.34294209245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590645.34294209245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590645.34294209245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5.2930260518224923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5.2930260518224923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3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147661.33573552311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147661.33573552311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147661.33573552311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4.9124816951555159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4.9124816951555159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3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2389980.9824422216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2389980.9824422216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3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601521.71713762206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601521.71713762206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3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300760.85856881103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108068.52368843651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192692.33488037452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3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192486.94948403907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192486.94948403907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192486.94948403907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6.7370432319413665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6.7370432319413665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3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557517.61958207632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21018.882486311028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89271.822025515314</v>
      </c>
      <c r="O137" s="193">
        <f t="shared" si="39"/>
        <v>89271.822025515314</v>
      </c>
      <c r="P137" s="203">
        <f t="shared" si="24"/>
        <v>21018.882486311028</v>
      </c>
      <c r="Q137" s="190">
        <f>IFERROR(VLOOKUP(A137,[1]Energiindhold!$A$2:$C$11,3,FALSE),IFERROR(VLOOKUP(A137,[1]Biogasudbytte!$A$2:$B$18,2,FALSE)*[1]Energiindhold!$C$10,0))*O137</f>
        <v>0.24228729585012959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0.29933338367327716</v>
      </c>
      <c r="S137" s="190">
        <f>IFERROR(VLOOKUP(A137,[1]Biogasudbytte!$A$2:$B$18,2,FALSE)*[1]Energiindhold!$C$10,0)*J137*IFERROR(VLOOKUP(A137,Biogasanlæg!$F$3:$G$8,2,FALSE),1)</f>
        <v>5.704608782314758E-2</v>
      </c>
      <c r="T137" s="191">
        <f t="shared" si="25"/>
        <v>0.24228729585012959</v>
      </c>
      <c r="U137" s="189">
        <f>O137*IFERROR(VLOOKUP(A137,[1]Tørstofindhold!A$2:B$24,2,FALSE),0)</f>
        <v>17854.364405103064</v>
      </c>
      <c r="V137" s="190">
        <f>IF(D137=År1,P137,SUM(O137,P137))*IFERROR(VLOOKUP(A137,[1]Tørstofindhold!A$2:B$24,2,FALSE),0)</f>
        <v>22058.140902365267</v>
      </c>
      <c r="W137" s="190">
        <f>J137*IFERROR(VLOOKUP(A137,[1]Tørstofindhold!A$2:B$24,2,FALSE),0)</f>
        <v>4203.7764972622053</v>
      </c>
      <c r="X137" s="191">
        <f t="shared" si="26"/>
        <v>17854.364405103061</v>
      </c>
      <c r="Y137" s="171">
        <f t="shared" si="43"/>
        <v>0</v>
      </c>
      <c r="Z137" s="103">
        <f t="shared" si="44"/>
        <v>1</v>
      </c>
    </row>
    <row r="138" spans="1:26" hidden="1" x14ac:dyDescent="0.3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92783.580859109119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92783.580859109119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3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63050.124133731362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19813.247781599999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43236.876352131367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3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4062083.073222735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3046562.3049170515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1015520.7683056835</v>
      </c>
      <c r="O140" s="193">
        <f t="shared" si="39"/>
        <v>1015520.7683056835</v>
      </c>
      <c r="P140" s="203">
        <f t="shared" si="24"/>
        <v>3046562.3049170515</v>
      </c>
      <c r="Q140" s="190">
        <f>IFERROR(VLOOKUP(A140,[1]Energiindhold!$A$2:$C$11,3,FALSE),IFERROR(VLOOKUP(A140,[1]Biogasudbytte!$A$2:$B$18,2,FALSE)*[1]Energiindhold!$C$10,0))*O140</f>
        <v>0.50675501859221916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2.0270200743688775</v>
      </c>
      <c r="S140" s="190">
        <f>IFERROR(VLOOKUP(A140,[1]Biogasudbytte!$A$2:$B$18,2,FALSE)*[1]Energiindhold!$C$10,0)*J140*IFERROR(VLOOKUP(A140,Biogasanlæg!$F$3:$G$8,2,FALSE),1)</f>
        <v>1.5202650557766582</v>
      </c>
      <c r="T140" s="191">
        <f t="shared" si="25"/>
        <v>0.50675501859221939</v>
      </c>
      <c r="U140" s="189">
        <f>O140*IFERROR(VLOOKUP(A140,[1]Tørstofindhold!A$2:B$24,2,FALSE),0)</f>
        <v>60931.246098341006</v>
      </c>
      <c r="V140" s="190">
        <f>IF(D140=År1,P140,SUM(O140,P140))*IFERROR(VLOOKUP(A140,[1]Tørstofindhold!A$2:B$24,2,FALSE),0)</f>
        <v>243724.98439336408</v>
      </c>
      <c r="W140" s="190">
        <f>J140*IFERROR(VLOOKUP(A140,[1]Tørstofindhold!A$2:B$24,2,FALSE),0)</f>
        <v>182793.73829502307</v>
      </c>
      <c r="X140" s="191">
        <f t="shared" si="26"/>
        <v>60931.246098341013</v>
      </c>
      <c r="Y140" s="171">
        <f t="shared" si="43"/>
        <v>0</v>
      </c>
      <c r="Z140" s="103">
        <f t="shared" si="44"/>
        <v>1</v>
      </c>
    </row>
    <row r="141" spans="1:26" hidden="1" x14ac:dyDescent="0.3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7216145.8837897805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6494531.2954108026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721614.58837897785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6494531.2954108026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2.7978440820629742</v>
      </c>
      <c r="S141" s="190">
        <f>IFERROR(VLOOKUP(A141,[1]Biogasudbytte!$A$2:$B$18,2,FALSE)*[1]Energiindhold!$C$10,0)*J141*IFERROR(VLOOKUP(A141,Biogasanlæg!$F$3:$G$8,2,FALSE),1)</f>
        <v>2.7978440820629742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324726.56477054016</v>
      </c>
      <c r="W141" s="190">
        <f>J141*IFERROR(VLOOKUP(A141,[1]Tørstofindhold!A$2:B$24,2,FALSE),0)</f>
        <v>324726.56477054016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3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670075.43744177814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69644.90056848996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600430.53687328822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3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3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3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2354122.6497080862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2354122.6497080862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2354122.6497080862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34.119638824419908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34.119638824419908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1164309.8271681243</v>
      </c>
      <c r="W145" s="190">
        <f>J145*IFERROR(VLOOKUP(A145,[1]Tørstofindhold!A$2:B$24,2,FALSE),0)</f>
        <v>0</v>
      </c>
      <c r="X145" s="191">
        <f t="shared" si="26"/>
        <v>1164309.8271681243</v>
      </c>
      <c r="Y145" s="171">
        <f t="shared" si="43"/>
        <v>0</v>
      </c>
      <c r="Z145" s="103">
        <f t="shared" si="44"/>
        <v>1</v>
      </c>
    </row>
    <row r="146" spans="1:26" hidden="1" x14ac:dyDescent="0.3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695607.30474103929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695607.30474103929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3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3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3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3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3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3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3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3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3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3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3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3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3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3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3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3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3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3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3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3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3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3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3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3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3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3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3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3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3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3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3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3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3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3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3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3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3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3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3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3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3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3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3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3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3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3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3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3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3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3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184855.04646768686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5718.282542457694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141524.31042572443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3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3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119368116.94983545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119368116.94983545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119368116.94983545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3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3958963.2992530242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3293941.0285514342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665022.27070158999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3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291041.69021422468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145520.84510711234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145520.84510711234</v>
      </c>
      <c r="O200" s="193">
        <f t="shared" si="59"/>
        <v>145520.84510711234</v>
      </c>
      <c r="P200" s="203">
        <f t="shared" si="49"/>
        <v>145520.84510711234</v>
      </c>
      <c r="Q200" s="190">
        <f>IFERROR(VLOOKUP(A200,[1]Energiindhold!$A$2:$C$11,3,FALSE),IFERROR(VLOOKUP(A200,[1]Biogasudbytte!$A$2:$B$18,2,FALSE)*[1]Energiindhold!$C$10,0))*O200</f>
        <v>8.2659634759068373E-2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0.16531926951813675</v>
      </c>
      <c r="S200" s="190">
        <f>IFERROR(VLOOKUP(A200,[1]Biogasudbytte!$A$2:$B$18,2,FALSE)*[1]Energiindhold!$C$10,0)*J200*IFERROR(VLOOKUP(A200,Biogasanlæg!$F$3:$G$8,2,FALSE),1)</f>
        <v>8.2659634759068373E-2</v>
      </c>
      <c r="T200" s="191">
        <f t="shared" si="50"/>
        <v>8.2659634759068373E-2</v>
      </c>
      <c r="U200" s="189">
        <f>O200*IFERROR(VLOOKUP(A200,[1]Tørstofindhold!A$2:B$24,2,FALSE),0)</f>
        <v>6222.9642971518751</v>
      </c>
      <c r="V200" s="190">
        <f>IF(D200=År1,P200,SUM(O200,P200))*IFERROR(VLOOKUP(A200,[1]Tørstofindhold!A$2:B$24,2,FALSE),0)</f>
        <v>12445.92859430375</v>
      </c>
      <c r="W200" s="190">
        <f>J200*IFERROR(VLOOKUP(A200,[1]Tørstofindhold!A$2:B$24,2,FALSE),0)</f>
        <v>6222.9642971518751</v>
      </c>
      <c r="X200" s="191">
        <f t="shared" si="51"/>
        <v>6222.9642971518751</v>
      </c>
      <c r="Y200" s="171">
        <f t="shared" si="60"/>
        <v>0</v>
      </c>
      <c r="Z200" s="103">
        <f t="shared" si="61"/>
        <v>1</v>
      </c>
    </row>
    <row r="201" spans="1:26" hidden="1" x14ac:dyDescent="0.3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272382.94042340637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204287.20531755476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25779.099718643818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42316.635387207789</v>
      </c>
      <c r="O201" s="193">
        <f t="shared" si="59"/>
        <v>42316.635387207789</v>
      </c>
      <c r="P201" s="203">
        <f t="shared" si="49"/>
        <v>204287.20531755476</v>
      </c>
      <c r="Q201" s="190">
        <f>IFERROR(VLOOKUP(A201,[1]Energiindhold!$A$2:$C$11,3,FALSE),IFERROR(VLOOKUP(A201,[1]Biogasudbytte!$A$2:$B$18,2,FALSE)*[1]Energiindhold!$C$10,0))*O201</f>
        <v>9.1150032624045585E-2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0.53118467287805848</v>
      </c>
      <c r="S201" s="190">
        <f>IFERROR(VLOOKUP(A201,[1]Biogasudbytte!$A$2:$B$18,2,FALSE)*[1]Energiindhold!$C$10,0)*J201*IFERROR(VLOOKUP(A201,Biogasanlæg!$F$3:$G$8,2,FALSE),1)</f>
        <v>0.44003464025401295</v>
      </c>
      <c r="T201" s="191">
        <f t="shared" si="50"/>
        <v>9.1150032624045529E-2</v>
      </c>
      <c r="U201" s="189">
        <f>O201*IFERROR(VLOOKUP(A201,[1]Tørstofindhold!A$2:B$24,2,FALSE),0)</f>
        <v>12694.990616162337</v>
      </c>
      <c r="V201" s="190">
        <f>IF(D201=År1,P201,SUM(O201,P201))*IFERROR(VLOOKUP(A201,[1]Tørstofindhold!A$2:B$24,2,FALSE),0)</f>
        <v>73981.152211428765</v>
      </c>
      <c r="W201" s="190">
        <f>J201*IFERROR(VLOOKUP(A201,[1]Tørstofindhold!A$2:B$24,2,FALSE),0)</f>
        <v>61286.161595266429</v>
      </c>
      <c r="X201" s="191">
        <f t="shared" si="51"/>
        <v>12694.990616162337</v>
      </c>
      <c r="Y201" s="171">
        <f t="shared" si="60"/>
        <v>0</v>
      </c>
      <c r="Z201" s="103">
        <f t="shared" si="61"/>
        <v>1</v>
      </c>
    </row>
    <row r="202" spans="1:26" hidden="1" x14ac:dyDescent="0.3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204991.76508265003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204224.37651634615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767.38856630388182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1</v>
      </c>
    </row>
    <row r="203" spans="1:26" hidden="1" x14ac:dyDescent="0.3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525.15144386464101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90">
        <f>IFERROR(VLOOKUP(A203,[1]Biogasudbytte!$A$2:$B$18,2,FALSE)*[1]Energiindhold!$C$10,0)*J203*IFERROR(VLOOKUP(A203,Biogasanlæg!$F$3:$G$8,2,FALSE),1)</f>
        <v>2.4697347253510203E-4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33.084540963472385</v>
      </c>
      <c r="W203" s="190">
        <f>J203*IFERROR(VLOOKUP(A203,[1]Tørstofindhold!A$2:B$24,2,FALSE),0)</f>
        <v>33.084540963472385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3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-9204.0491150836206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3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324054.80391136941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324054.80391136941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3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22743.632326448162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-200580.31032686113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3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3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3177849.870254152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1147235.5526749862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595600.88405130478</v>
      </c>
      <c r="N208" s="202">
        <f t="shared" si="48"/>
        <v>1435013.433527861</v>
      </c>
      <c r="O208" s="193">
        <f t="shared" si="59"/>
        <v>0</v>
      </c>
      <c r="P208" s="203">
        <f t="shared" si="49"/>
        <v>0</v>
      </c>
      <c r="Q208" s="190">
        <f>IFERROR(VLOOKUP(A208,[1]Energiindhold!$A$2:$C$11,3,FALSE),IFERROR(VLOOKUP(A208,[1]Biogasudbytte!$A$2:$B$18,2,FALSE)*[1]Energiindhold!$C$10,0))*O208</f>
        <v>0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</v>
      </c>
      <c r="S208" s="190">
        <f>IFERROR(VLOOKUP(A208,[1]Biogasudbytte!$A$2:$B$18,2,FALSE)*[1]Energiindhold!$C$10,0)*J208*IFERROR(VLOOKUP(A208,Biogasanlæg!$F$3:$G$8,2,FALSE),1)</f>
        <v>0</v>
      </c>
      <c r="T208" s="191">
        <f t="shared" si="50"/>
        <v>0</v>
      </c>
      <c r="U208" s="189">
        <f>O208*IFERROR(VLOOKUP(A208,[1]Tørstofindhold!A$2:B$24,2,FALSE),0)</f>
        <v>0</v>
      </c>
      <c r="V208" s="190">
        <f>IF(D208=År1,P208,SUM(O208,P208))*IFERROR(VLOOKUP(A208,[1]Tørstofindhold!A$2:B$24,2,FALSE),0)</f>
        <v>0</v>
      </c>
      <c r="W208" s="190">
        <f>J208*IFERROR(VLOOKUP(A208,[1]Tørstofindhold!A$2:B$24,2,FALSE),0)</f>
        <v>0</v>
      </c>
      <c r="X208" s="191">
        <f t="shared" si="51"/>
        <v>0</v>
      </c>
      <c r="Y208" s="171">
        <f t="shared" si="60"/>
        <v>1</v>
      </c>
      <c r="Z208" s="103">
        <f t="shared" si="61"/>
        <v>0</v>
      </c>
    </row>
    <row r="209" spans="1:26" x14ac:dyDescent="0.3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99567.428754430017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99567.428754430017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3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123940.17641205002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-109962.26878799497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3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681943.98989157612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71716.212427048929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77920.551603575906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254045.94024373771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278261.28561721352</v>
      </c>
      <c r="N211" s="202">
        <f t="shared" si="48"/>
        <v>0</v>
      </c>
      <c r="O211" s="193">
        <f t="shared" si="59"/>
        <v>0</v>
      </c>
      <c r="P211" s="203">
        <f t="shared" si="49"/>
        <v>254045.94024373771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2.6257696396025745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2.6257696396025745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215939.04920717704</v>
      </c>
      <c r="W211" s="190">
        <f>J211*IFERROR(VLOOKUP(A211,[1]Tørstofindhold!A$2:B$24,2,FALSE),0)</f>
        <v>0</v>
      </c>
      <c r="X211" s="191">
        <f t="shared" si="51"/>
        <v>215939.04920717704</v>
      </c>
      <c r="Y211" s="171">
        <f t="shared" si="60"/>
        <v>0</v>
      </c>
      <c r="Z211" s="103">
        <f t="shared" si="61"/>
        <v>0</v>
      </c>
    </row>
    <row r="212" spans="1:26" hidden="1" x14ac:dyDescent="0.3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3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0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0</v>
      </c>
      <c r="Z213" s="103">
        <f t="shared" si="61"/>
        <v>0</v>
      </c>
    </row>
    <row r="214" spans="1:26" hidden="1" x14ac:dyDescent="0.3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194046.46530890666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219104.13289704846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-25057.667588141805</v>
      </c>
      <c r="O214" s="193">
        <f t="shared" si="59"/>
        <v>0</v>
      </c>
      <c r="P214" s="203">
        <f t="shared" si="49"/>
        <v>219104.13289704846</v>
      </c>
      <c r="Q214" s="190">
        <f>IFERROR(VLOOKUP(A214,[1]Energiindhold!$A$2:$C$11,3,FALSE),IFERROR(VLOOKUP(A214,[1]Biogasudbytte!$A$2:$B$18,2,FALSE)*[1]Energiindhold!$C$10,0))*O214</f>
        <v>0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0.80699568767315955</v>
      </c>
      <c r="S214" s="190">
        <f>IFERROR(VLOOKUP(A214,[1]Biogasudbytte!$A$2:$B$18,2,FALSE)*[1]Energiindhold!$C$10,0)*J214*IFERROR(VLOOKUP(A214,Biogasanlæg!$F$3:$G$8,2,FALSE),1)</f>
        <v>0.80699568767315955</v>
      </c>
      <c r="T214" s="191">
        <f t="shared" si="50"/>
        <v>0</v>
      </c>
      <c r="U214" s="189">
        <f>O214*IFERROR(VLOOKUP(A214,[1]Tørstofindhold!A$2:B$24,2,FALSE),0)</f>
        <v>0</v>
      </c>
      <c r="V214" s="190">
        <f>IF(D214=År1,P214,SUM(O214,P214))*IFERROR(VLOOKUP(A214,[1]Tørstofindhold!A$2:B$24,2,FALSE),0)</f>
        <v>92023.735816760352</v>
      </c>
      <c r="W214" s="190">
        <f>J214*IFERROR(VLOOKUP(A214,[1]Tørstofindhold!A$2:B$24,2,FALSE),0)</f>
        <v>92023.735816760352</v>
      </c>
      <c r="X214" s="191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3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267374.72503848921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267374.72503848921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3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565408.05688718066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458447.6422479641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3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1535711.1993976305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550714.69493164914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919.8552163538659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727841.8097842515</v>
      </c>
      <c r="O217" s="193">
        <f t="shared" si="59"/>
        <v>679394.36200410523</v>
      </c>
      <c r="P217" s="203">
        <f t="shared" si="63"/>
        <v>919.8552163538659</v>
      </c>
      <c r="Q217" s="190">
        <f>IFERROR(VLOOKUP(A217,[1]Energiindhold!$A$2:$C$11,3,FALSE),IFERROR(VLOOKUP(A217,[1]Biogasudbytte!$A$2:$B$18,2,FALSE)*[1]Energiindhold!$C$10,0))*O217</f>
        <v>2.3268305746533802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2.329980949989662</v>
      </c>
      <c r="S217" s="190">
        <f>IFERROR(VLOOKUP(A217,[1]Biogasudbytte!$A$2:$B$18,2,FALSE)*[1]Energiindhold!$C$10,0)*J217*IFERROR(VLOOKUP(A217,Biogasanlæg!$F$3:$G$8,2,FALSE),1)</f>
        <v>3.1503753362817017E-3</v>
      </c>
      <c r="T217" s="191">
        <f t="shared" si="64"/>
        <v>2.3268305746533802</v>
      </c>
      <c r="U217" s="189">
        <f>O217*IFERROR(VLOOKUP(A217,[1]Tørstofindhold!A$2:B$24,2,FALSE),0)</f>
        <v>210612.25222127262</v>
      </c>
      <c r="V217" s="190">
        <f>IF(D217=År1,P217,SUM(O217,P217))*IFERROR(VLOOKUP(A217,[1]Tørstofindhold!A$2:B$24,2,FALSE),0)</f>
        <v>210897.40733834234</v>
      </c>
      <c r="W217" s="190">
        <f>J217*IFERROR(VLOOKUP(A217,[1]Tørstofindhold!A$2:B$24,2,FALSE),0)</f>
        <v>285.15511706969841</v>
      </c>
      <c r="X217" s="191">
        <f t="shared" si="65"/>
        <v>210612.25222127265</v>
      </c>
      <c r="Y217" s="171">
        <f t="shared" si="60"/>
        <v>0</v>
      </c>
      <c r="Z217" s="103">
        <f t="shared" si="61"/>
        <v>1</v>
      </c>
    </row>
    <row r="218" spans="1:26" hidden="1" x14ac:dyDescent="0.3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298971.86331119167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-298971.86331119167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3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553673.50359972543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184557.83453324181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553673.50359972543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0.28026399078714503</v>
      </c>
      <c r="S219" s="190">
        <f>IFERROR(VLOOKUP(A219,[1]Biogasudbytte!$A$2:$B$18,2,FALSE)*[1]Energiindhold!$C$10,0)*J219*IFERROR(VLOOKUP(A219,Biogasanlæg!$F$3:$G$8,2,FALSE),1)</f>
        <v>0.28026399078714503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42079.186273579129</v>
      </c>
      <c r="W219" s="190">
        <f>J219*IFERROR(VLOOKUP(A219,[1]Tørstofindhold!A$2:B$24,2,FALSE),0)</f>
        <v>42079.186273579129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3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141469.60847064349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-49301.181355769178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3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1230934.043362923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528461.76331446774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77888.653043517654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624583.62700493762</v>
      </c>
      <c r="O221" s="193">
        <f t="shared" si="59"/>
        <v>5684.6701463077916</v>
      </c>
      <c r="P221" s="203">
        <f t="shared" si="63"/>
        <v>77888.653043517654</v>
      </c>
      <c r="Q221" s="190">
        <f>IFERROR(VLOOKUP(A221,[1]Energiindhold!$A$2:$C$11,3,FALSE),IFERROR(VLOOKUP(A221,[1]Biogasudbytte!$A$2:$B$18,2,FALSE)*[1]Energiindhold!$C$10,0))*O221</f>
        <v>2.0407965825244973E-2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0.30002823025147335</v>
      </c>
      <c r="S221" s="190">
        <f>IFERROR(VLOOKUP(A221,[1]Biogasudbytte!$A$2:$B$18,2,FALSE)*[1]Energiindhold!$C$10,0)*J221*IFERROR(VLOOKUP(A221,Biogasanlæg!$F$3:$G$8,2,FALSE),1)</f>
        <v>0.27962026442622839</v>
      </c>
      <c r="T221" s="191">
        <f t="shared" si="64"/>
        <v>2.0407965825244956E-2</v>
      </c>
      <c r="U221" s="189">
        <f>O221*IFERROR(VLOOKUP(A221,[1]Tørstofindhold!A$2:B$24,2,FALSE),0)</f>
        <v>1705.4010438923374</v>
      </c>
      <c r="V221" s="190">
        <f>IF(D221=År1,P221,SUM(O221,P221))*IFERROR(VLOOKUP(A221,[1]Tørstofindhold!A$2:B$24,2,FALSE),0)</f>
        <v>25071.996956947634</v>
      </c>
      <c r="W221" s="190">
        <f>J221*IFERROR(VLOOKUP(A221,[1]Tørstofindhold!A$2:B$24,2,FALSE),0)</f>
        <v>23366.595913055295</v>
      </c>
      <c r="X221" s="191">
        <f t="shared" si="65"/>
        <v>1705.4010438923397</v>
      </c>
      <c r="Y221" s="171">
        <f t="shared" si="60"/>
        <v>0</v>
      </c>
      <c r="Z221" s="103">
        <f t="shared" si="61"/>
        <v>1</v>
      </c>
    </row>
    <row r="222" spans="1:26" hidden="1" x14ac:dyDescent="0.3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-231198.20190680941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3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3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-35543.931087297315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3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400607.72383924882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400607.72383924882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3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66681.39344549182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66681.39344549182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66681.39344549182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1.2269376393970493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1.2269376393970493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27672.778279879109</v>
      </c>
      <c r="W226" s="190">
        <f>J226*IFERROR(VLOOKUP(A226,[1]Tørstofindhold!A$2:B$24,2,FALSE),0)</f>
        <v>0</v>
      </c>
      <c r="X226" s="191">
        <f t="shared" si="65"/>
        <v>27672.778279879109</v>
      </c>
      <c r="Y226" s="171">
        <f t="shared" si="60"/>
        <v>0</v>
      </c>
      <c r="Z226" s="103">
        <f t="shared" si="61"/>
        <v>0</v>
      </c>
    </row>
    <row r="227" spans="1:26" hidden="1" x14ac:dyDescent="0.3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155826.31994563958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155826.31994563958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155826.31994563958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1.396426435741424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1.396426435741424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3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38956.579986409895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38956.579986409895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38956.579986409895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1.2960297638907334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1.2960297638907334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3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276928.87898992695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3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234695.12994987622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234695.12994987622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3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117347.56497493811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19658.870107237683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97688.694867700426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3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75102.44158396039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75102.44158396039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75102.44158396039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2.6285854554386132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2.6285854554386132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3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224108.96073862392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81355.565263148092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7250.6573323098974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135502.73814316595</v>
      </c>
      <c r="O233" s="193">
        <f t="shared" si="59"/>
        <v>105480.10532489244</v>
      </c>
      <c r="P233" s="203">
        <f t="shared" si="63"/>
        <v>7250.6573323098974</v>
      </c>
      <c r="Q233" s="190">
        <f>IFERROR(VLOOKUP(A233,[1]Energiindhold!$A$2:$C$11,3,FALSE),IFERROR(VLOOKUP(A233,[1]Biogasudbytte!$A$2:$B$18,2,FALSE)*[1]Energiindhold!$C$10,0))*O233</f>
        <v>0.28627722505597109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0.30595579908215342</v>
      </c>
      <c r="S233" s="190">
        <f>IFERROR(VLOOKUP(A233,[1]Biogasudbytte!$A$2:$B$18,2,FALSE)*[1]Energiindhold!$C$10,0)*J233*IFERROR(VLOOKUP(A233,Biogasanlæg!$F$3:$G$8,2,FALSE),1)</f>
        <v>1.9678574026182356E-2</v>
      </c>
      <c r="T233" s="191">
        <f t="shared" si="64"/>
        <v>0.28627722505597109</v>
      </c>
      <c r="U233" s="189">
        <f>O233*IFERROR(VLOOKUP(A233,[1]Tørstofindhold!A$2:B$24,2,FALSE),0)</f>
        <v>21096.021064978489</v>
      </c>
      <c r="V233" s="190">
        <f>IF(D233=År1,P233,SUM(O233,P233))*IFERROR(VLOOKUP(A233,[1]Tørstofindhold!A$2:B$24,2,FALSE),0)</f>
        <v>22546.152531440472</v>
      </c>
      <c r="W233" s="190">
        <f>J233*IFERROR(VLOOKUP(A233,[1]Tørstofindhold!A$2:B$24,2,FALSE),0)</f>
        <v>1450.1314664619795</v>
      </c>
      <c r="X233" s="191">
        <f t="shared" si="65"/>
        <v>21096.021064978493</v>
      </c>
      <c r="Y233" s="171">
        <f t="shared" si="60"/>
        <v>0</v>
      </c>
      <c r="Z233" s="103">
        <f t="shared" si="61"/>
        <v>1</v>
      </c>
    </row>
    <row r="234" spans="1:26" hidden="1" x14ac:dyDescent="0.3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17150.132696154993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17150.132696154993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3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13741.973573647057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3604.250814640001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10137.722759007056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3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1671161.6426352733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1671161.6426352733</v>
      </c>
      <c r="O236" s="193">
        <f t="shared" si="59"/>
        <v>1671161.6426352733</v>
      </c>
      <c r="P236" s="203">
        <f t="shared" si="63"/>
        <v>1671161.6426352733</v>
      </c>
      <c r="Q236" s="190">
        <f>IFERROR(VLOOKUP(A236,[1]Energiindhold!$A$2:$C$11,3,FALSE),IFERROR(VLOOKUP(A236,[1]Biogasudbytte!$A$2:$B$18,2,FALSE)*[1]Energiindhold!$C$10,0))*O236</f>
        <v>0.83392637129142788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1.6678527425828558</v>
      </c>
      <c r="S236" s="190">
        <f>IFERROR(VLOOKUP(A236,[1]Biogasudbytte!$A$2:$B$18,2,FALSE)*[1]Energiindhold!$C$10,0)*J236*IFERROR(VLOOKUP(A236,Biogasanlæg!$F$3:$G$8,2,FALSE),1)</f>
        <v>0.83392637129142788</v>
      </c>
      <c r="T236" s="191">
        <f t="shared" si="64"/>
        <v>0.83392637129142788</v>
      </c>
      <c r="U236" s="189">
        <f>O236*IFERROR(VLOOKUP(A236,[1]Tørstofindhold!A$2:B$24,2,FALSE),0)</f>
        <v>100269.69855811639</v>
      </c>
      <c r="V236" s="190">
        <f>IF(D236=År1,P236,SUM(O236,P236))*IFERROR(VLOOKUP(A236,[1]Tørstofindhold!A$2:B$24,2,FALSE),0)</f>
        <v>200539.39711623278</v>
      </c>
      <c r="W236" s="190">
        <f>J236*IFERROR(VLOOKUP(A236,[1]Tørstofindhold!A$2:B$24,2,FALSE),0)</f>
        <v>100269.69855811639</v>
      </c>
      <c r="X236" s="191">
        <f t="shared" si="65"/>
        <v>100269.69855811639</v>
      </c>
      <c r="Y236" s="171">
        <f t="shared" si="60"/>
        <v>0</v>
      </c>
      <c r="Z236" s="103">
        <f t="shared" si="61"/>
        <v>1</v>
      </c>
    </row>
    <row r="237" spans="1:26" hidden="1" x14ac:dyDescent="0.3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1638224.8785321345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1228668.658899101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409556.21963303362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1228668.658899101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0.5293104582537328</v>
      </c>
      <c r="S237" s="190">
        <f>IFERROR(VLOOKUP(A237,[1]Biogasudbytte!$A$2:$B$18,2,FALSE)*[1]Energiindhold!$C$10,0)*J237*IFERROR(VLOOKUP(A237,Biogasanlæg!$F$3:$G$8,2,FALSE),1)</f>
        <v>0.5293104582537328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61433.43294495505</v>
      </c>
      <c r="W237" s="190">
        <f>J237*IFERROR(VLOOKUP(A237,[1]Tørstofindhold!A$2:B$24,2,FALSE),0)</f>
        <v>61433.43294495505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3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149752.58402122525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65331.432141586905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3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3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3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648116.49103494617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648116.49103494617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648116.49103494617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9.3935210185437228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9.3935210185437228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320547.61452436709</v>
      </c>
      <c r="W241" s="190">
        <f>J241*IFERROR(VLOOKUP(A241,[1]Tørstofindhold!A$2:B$24,2,FALSE),0)</f>
        <v>0</v>
      </c>
      <c r="X241" s="191">
        <f t="shared" si="65"/>
        <v>320547.61452436709</v>
      </c>
      <c r="Y241" s="171">
        <f t="shared" si="60"/>
        <v>0</v>
      </c>
      <c r="Z241" s="103">
        <f t="shared" si="61"/>
        <v>0</v>
      </c>
    </row>
    <row r="242" spans="1:26" hidden="1" x14ac:dyDescent="0.3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178393.88316623261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178393.88316623261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3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3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172969.00798479689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88596.006060305852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80549.910353375657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3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3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129356590.48091067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129356590.48091067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129356590.48091067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3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4444390.8914948301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3135697.1726427898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1308693.7188520404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3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194582.730818151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145937.04811361324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48645.682704537758</v>
      </c>
      <c r="O248" s="193">
        <f t="shared" si="59"/>
        <v>48645.682704537758</v>
      </c>
      <c r="P248" s="203">
        <f t="shared" si="63"/>
        <v>145937.04811361324</v>
      </c>
      <c r="Q248" s="190">
        <f>IFERROR(VLOOKUP(A248,[1]Energiindhold!$A$2:$C$11,3,FALSE),IFERROR(VLOOKUP(A248,[1]Biogasudbytte!$A$2:$B$18,2,FALSE)*[1]Energiindhold!$C$10,0))*O248</f>
        <v>2.7632016306687129E-2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0.1105280652267485</v>
      </c>
      <c r="S248" s="190">
        <f>IFERROR(VLOOKUP(A248,[1]Biogasudbytte!$A$2:$B$18,2,FALSE)*[1]Energiindhold!$C$10,0)*J248*IFERROR(VLOOKUP(A248,Biogasanlæg!$F$3:$G$8,2,FALSE),1)</f>
        <v>8.2896048920061374E-2</v>
      </c>
      <c r="T248" s="191">
        <f t="shared" si="64"/>
        <v>2.7632016306687129E-2</v>
      </c>
      <c r="U248" s="189">
        <f>O248*IFERROR(VLOOKUP(A248,[1]Tørstofindhold!A$2:B$24,2,FALSE),0)</f>
        <v>2080.2541825406252</v>
      </c>
      <c r="V248" s="190">
        <f>IF(D248=År1,P248,SUM(O248,P248))*IFERROR(VLOOKUP(A248,[1]Tørstofindhold!A$2:B$24,2,FALSE),0)</f>
        <v>8321.0167301625006</v>
      </c>
      <c r="W248" s="190">
        <f>J248*IFERROR(VLOOKUP(A248,[1]Tørstofindhold!A$2:B$24,2,FALSE),0)</f>
        <v>6240.7625476218745</v>
      </c>
      <c r="X248" s="191">
        <f t="shared" si="65"/>
        <v>2080.2541825406261</v>
      </c>
      <c r="Y248" s="171">
        <f t="shared" si="60"/>
        <v>0</v>
      </c>
      <c r="Z248" s="103">
        <f t="shared" si="61"/>
        <v>1</v>
      </c>
    </row>
    <row r="249" spans="1:26" hidden="1" x14ac:dyDescent="0.3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194332.65736576461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174899.39162918815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7356.8791717039439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12076.386564872519</v>
      </c>
      <c r="O249" s="193">
        <f t="shared" si="59"/>
        <v>12076.386564872519</v>
      </c>
      <c r="P249" s="203">
        <f t="shared" si="63"/>
        <v>174899.39162918815</v>
      </c>
      <c r="Q249" s="190">
        <f>IFERROR(VLOOKUP(A249,[1]Energiindhold!$A$2:$C$11,3,FALSE),IFERROR(VLOOKUP(A249,[1]Biogasudbytte!$A$2:$B$18,2,FALSE)*[1]Energiindhold!$C$10,0))*O249</f>
        <v>2.6012536660735407E-2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0.40274582623000665</v>
      </c>
      <c r="S249" s="190">
        <f>IFERROR(VLOOKUP(A249,[1]Biogasudbytte!$A$2:$B$18,2,FALSE)*[1]Energiindhold!$C$10,0)*J249*IFERROR(VLOOKUP(A249,Biogasanlæg!$F$3:$G$8,2,FALSE),1)</f>
        <v>0.37673328956927127</v>
      </c>
      <c r="T249" s="191">
        <f t="shared" si="64"/>
        <v>2.6012536660735386E-2</v>
      </c>
      <c r="U249" s="189">
        <f>O249*IFERROR(VLOOKUP(A249,[1]Tørstofindhold!A$2:B$24,2,FALSE),0)</f>
        <v>3622.9159694617556</v>
      </c>
      <c r="V249" s="190">
        <f>IF(D249=År1,P249,SUM(O249,P249))*IFERROR(VLOOKUP(A249,[1]Tørstofindhold!A$2:B$24,2,FALSE),0)</f>
        <v>56092.733458218201</v>
      </c>
      <c r="W249" s="190">
        <f>J249*IFERROR(VLOOKUP(A249,[1]Tørstofindhold!A$2:B$24,2,FALSE),0)</f>
        <v>52469.817488756446</v>
      </c>
      <c r="X249" s="191">
        <f t="shared" si="65"/>
        <v>3622.9159694617556</v>
      </c>
      <c r="Y249" s="171">
        <f t="shared" si="60"/>
        <v>0</v>
      </c>
      <c r="Z249" s="103">
        <f t="shared" si="61"/>
        <v>1</v>
      </c>
    </row>
    <row r="250" spans="1:26" hidden="1" x14ac:dyDescent="0.3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137052.04026150002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136538.9846826923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513.05557880771812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1</v>
      </c>
    </row>
    <row r="251" spans="1:26" hidden="1" x14ac:dyDescent="0.3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650.78855763169781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90">
        <f>IFERROR(VLOOKUP(A251,[1]Biogasudbytte!$A$2:$B$18,2,FALSE)*[1]Energiindhold!$C$10,0)*J251*IFERROR(VLOOKUP(A251,Biogasanlæg!$F$3:$G$8,2,FALSE),1)</f>
        <v>3.0605935076861117E-4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40.999679130796963</v>
      </c>
      <c r="W251" s="190">
        <f>J251*IFERROR(VLOOKUP(A251,[1]Tørstofindhold!A$2:B$24,2,FALSE),0)</f>
        <v>40.999679130796963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3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17596.15120364408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-3021.0363108320744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3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287387.86171913851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287387.86171913851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3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21135.685502875454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-212659.33048959836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3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3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2931884.6041549444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767011.16794249229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398202.90492095106</v>
      </c>
      <c r="N256" s="202">
        <f t="shared" si="62"/>
        <v>1766670.5312915011</v>
      </c>
      <c r="O256" s="193">
        <f t="shared" si="59"/>
        <v>266828.64342463715</v>
      </c>
      <c r="P256" s="203">
        <f t="shared" si="63"/>
        <v>0</v>
      </c>
      <c r="Q256" s="190">
        <f>IFERROR(VLOOKUP(A256,[1]Energiindhold!$A$2:$C$11,3,FALSE),IFERROR(VLOOKUP(A256,[1]Biogasudbytte!$A$2:$B$18,2,FALSE)*[1]Energiindhold!$C$10,0))*O256</f>
        <v>0.49093135032090429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0.49093135032090429</v>
      </c>
      <c r="S256" s="190">
        <f>IFERROR(VLOOKUP(A256,[1]Biogasudbytte!$A$2:$B$18,2,FALSE)*[1]Energiindhold!$C$10,0)*J256*IFERROR(VLOOKUP(A256,Biogasanlæg!$F$3:$G$8,2,FALSE),1)</f>
        <v>0</v>
      </c>
      <c r="T256" s="191">
        <f t="shared" si="64"/>
        <v>0.49093135032090429</v>
      </c>
      <c r="U256" s="189">
        <f>O256*IFERROR(VLOOKUP(A256,[1]Tørstofindhold!A$2:B$24,2,FALSE),0)</f>
        <v>74712.020158898405</v>
      </c>
      <c r="V256" s="190">
        <f>IF(D256=År1,P256,SUM(O256,P256))*IFERROR(VLOOKUP(A256,[1]Tørstofindhold!A$2:B$24,2,FALSE),0)</f>
        <v>74712.020158898405</v>
      </c>
      <c r="W256" s="190">
        <f>J256*IFERROR(VLOOKUP(A256,[1]Tørstofindhold!A$2:B$24,2,FALSE),0)</f>
        <v>0</v>
      </c>
      <c r="X256" s="191">
        <f t="shared" si="65"/>
        <v>74712.020158898405</v>
      </c>
      <c r="Y256" s="171">
        <f t="shared" si="60"/>
        <v>0</v>
      </c>
      <c r="Z256" s="103">
        <f t="shared" si="61"/>
        <v>1</v>
      </c>
    </row>
    <row r="257" spans="1:26" hidden="1" x14ac:dyDescent="0.3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66568.133841300005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66568.133841300005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3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117398.39981790849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-127471.11693210354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3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630610.47583601228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47947.551595505945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51992.644823495335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7002.3670705014374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445276.17331769242</v>
      </c>
      <c r="N259" s="202">
        <f t="shared" si="62"/>
        <v>78391.739028817159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7002.3670705014374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7.2375109956234487E-2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7.2375109956234487E-2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5952.0120099262213</v>
      </c>
      <c r="W259" s="190">
        <f>J259*IFERROR(VLOOKUP(A259,[1]Tørstofindhold!A$2:B$24,2,FALSE),0)</f>
        <v>0</v>
      </c>
      <c r="X259" s="191">
        <f t="shared" si="65"/>
        <v>5952.0120099262213</v>
      </c>
      <c r="Y259" s="171">
        <f t="shared" ref="Y259:Y274" si="76">IF(SUMIFS($N$3:$N$290,$A$3:$A$290,A259,$D$3:$D$290,D259)&lt;0,1,0)</f>
        <v>1</v>
      </c>
      <c r="Z259" s="103">
        <f t="shared" ref="Z259:Z274" si="77">IF(SUMIFS($N$3:$N$290,$A$3:$A$290,A259,$D$3:$D$290,D259)&gt;0,1,0)</f>
        <v>0</v>
      </c>
    </row>
    <row r="260" spans="1:26" hidden="1" x14ac:dyDescent="0.3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3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3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184821.60646832324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245291.86702362169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-60470.260555298446</v>
      </c>
      <c r="O262" s="193">
        <f t="shared" si="75"/>
        <v>0</v>
      </c>
      <c r="P262" s="203">
        <f t="shared" si="63"/>
        <v>245291.86702362169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0.90344931559265607</v>
      </c>
      <c r="S262" s="190">
        <f>IFERROR(VLOOKUP(A262,[1]Biogasudbytte!$A$2:$B$18,2,FALSE)*[1]Energiindhold!$C$10,0)*J262*IFERROR(VLOOKUP(A262,Biogasanlæg!$F$3:$G$8,2,FALSE),1)</f>
        <v>0.90344931559265607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103022.58414992111</v>
      </c>
      <c r="W262" s="190">
        <f>J262*IFERROR(VLOOKUP(A262,[1]Tørstofindhold!A$2:B$24,2,FALSE),0)</f>
        <v>103022.58414992111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3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248947.97885223315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248947.97885223315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3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528652.13279396389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416676.62513441063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3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1422520.7615932694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1007.9394649217019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785070.61069183971</v>
      </c>
      <c r="O265" s="193">
        <f t="shared" si="75"/>
        <v>785070.61069183971</v>
      </c>
      <c r="P265" s="203">
        <f t="shared" si="63"/>
        <v>1007.9394649217019</v>
      </c>
      <c r="Q265" s="190">
        <f>IFERROR(VLOOKUP(A265,[1]Energiindhold!$A$2:$C$11,3,FALSE),IFERROR(VLOOKUP(A265,[1]Biogasudbytte!$A$2:$B$18,2,FALSE)*[1]Energiindhold!$C$10,0))*O265</f>
        <v>2.6887569317340545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2.6922089832898863</v>
      </c>
      <c r="S265" s="190">
        <f>IFERROR(VLOOKUP(A265,[1]Biogasudbytte!$A$2:$B$18,2,FALSE)*[1]Energiindhold!$C$10,0)*J265*IFERROR(VLOOKUP(A265,Biogasanlæg!$F$3:$G$8,2,FALSE),1)</f>
        <v>3.4520515558317407E-3</v>
      </c>
      <c r="T265" s="191">
        <f t="shared" si="64"/>
        <v>2.6887569317340545</v>
      </c>
      <c r="U265" s="189">
        <f>O265*IFERROR(VLOOKUP(A265,[1]Tørstofindhold!A$2:B$24,2,FALSE),0)</f>
        <v>243371.88931447032</v>
      </c>
      <c r="V265" s="190">
        <f>IF(D265=År1,P265,SUM(O265,P265))*IFERROR(VLOOKUP(A265,[1]Tørstofindhold!A$2:B$24,2,FALSE),0)</f>
        <v>243684.35054859603</v>
      </c>
      <c r="W265" s="190">
        <f>J265*IFERROR(VLOOKUP(A265,[1]Tørstofindhold!A$2:B$24,2,FALSE),0)</f>
        <v>312.46123412572757</v>
      </c>
      <c r="X265" s="191">
        <f t="shared" si="65"/>
        <v>243371.88931447032</v>
      </c>
      <c r="Y265" s="171">
        <f t="shared" si="76"/>
        <v>0</v>
      </c>
      <c r="Z265" s="103">
        <f t="shared" si="77"/>
        <v>1</v>
      </c>
    </row>
    <row r="266" spans="1:26" hidden="1" x14ac:dyDescent="0.3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292278.82851604407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-292278.82851604407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3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452578.20336624543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407320.38302962092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45257.820336624536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407320.38302962092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0.20618150468576385</v>
      </c>
      <c r="S267" s="190">
        <f>IFERROR(VLOOKUP(A267,[1]Biogasudbytte!$A$2:$B$18,2,FALSE)*[1]Energiindhold!$C$10,0)*J267*IFERROR(VLOOKUP(A267,Biogasanlæg!$F$3:$G$8,2,FALSE),1)</f>
        <v>0.20618150468576385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30956.349110251191</v>
      </c>
      <c r="W267" s="190">
        <f>J267*IFERROR(VLOOKUP(A267,[1]Tørstofindhold!A$2:B$24,2,FALSE),0)</f>
        <v>30956.349110251191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3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56535.233681691527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94582.816378404299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-38047.582696712772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1</v>
      </c>
      <c r="Z268" s="103">
        <f t="shared" si="77"/>
        <v>0</v>
      </c>
    </row>
    <row r="269" spans="1:26" hidden="1" x14ac:dyDescent="0.3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1162586.9095964739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353315.47505450371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87862.083818699844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721409.35072327033</v>
      </c>
      <c r="O269" s="193">
        <f t="shared" si="75"/>
        <v>721409.35072327033</v>
      </c>
      <c r="P269" s="203">
        <f t="shared" si="63"/>
        <v>87862.083818699844</v>
      </c>
      <c r="Q269" s="190">
        <f>IFERROR(VLOOKUP(A269,[1]Energiindhold!$A$2:$C$11,3,FALSE),IFERROR(VLOOKUP(A269,[1]Biogasudbytte!$A$2:$B$18,2,FALSE)*[1]Energiindhold!$C$10,0))*O269</f>
        <v>2.5898595690965407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2.9052844500056731</v>
      </c>
      <c r="S269" s="190">
        <f>IFERROR(VLOOKUP(A269,[1]Biogasudbytte!$A$2:$B$18,2,FALSE)*[1]Energiindhold!$C$10,0)*J269*IFERROR(VLOOKUP(A269,Biogasanlæg!$F$3:$G$8,2,FALSE),1)</f>
        <v>0.31542488090913245</v>
      </c>
      <c r="T269" s="191">
        <f t="shared" si="64"/>
        <v>2.5898595690965407</v>
      </c>
      <c r="U269" s="189">
        <f>O269*IFERROR(VLOOKUP(A269,[1]Tørstofindhold!A$2:B$24,2,FALSE),0)</f>
        <v>216422.8052169811</v>
      </c>
      <c r="V269" s="190">
        <f>IF(D269=År1,P269,SUM(O269,P269))*IFERROR(VLOOKUP(A269,[1]Tørstofindhold!A$2:B$24,2,FALSE),0)</f>
        <v>242781.43036259103</v>
      </c>
      <c r="W269" s="190">
        <f>J269*IFERROR(VLOOKUP(A269,[1]Tørstofindhold!A$2:B$24,2,FALSE),0)</f>
        <v>26358.625145609953</v>
      </c>
      <c r="X269" s="191">
        <f t="shared" si="65"/>
        <v>216422.80521698107</v>
      </c>
      <c r="Y269" s="171">
        <f t="shared" si="76"/>
        <v>0</v>
      </c>
      <c r="Z269" s="103">
        <f t="shared" si="77"/>
        <v>1</v>
      </c>
    </row>
    <row r="270" spans="1:26" hidden="1" x14ac:dyDescent="0.3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109083.65982189869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-319130.36946957966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3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3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3652.7817732906901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29926.992547120819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-26274.210773830127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3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370882.10534501984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370882.10534501984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3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60719.109564821476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121438.21912964295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-60719.109564821476</v>
      </c>
      <c r="O274" s="193">
        <f t="shared" si="75"/>
        <v>0</v>
      </c>
      <c r="P274" s="203">
        <f t="shared" si="63"/>
        <v>121438.21912964295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2.2344632319854298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2.2344632319854298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50396.86093880183</v>
      </c>
      <c r="W274" s="190">
        <f>J274*IFERROR(VLOOKUP(A274,[1]Tørstofindhold!A$2:B$24,2,FALSE),0)</f>
        <v>0</v>
      </c>
      <c r="X274" s="191">
        <f t="shared" si="65"/>
        <v>50396.86093880183</v>
      </c>
      <c r="Y274" s="171">
        <f t="shared" si="76"/>
        <v>1</v>
      </c>
      <c r="Z274" s="103">
        <f t="shared" si="77"/>
        <v>0</v>
      </c>
    </row>
    <row r="275" spans="1:26" hidden="1" x14ac:dyDescent="0.3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249354.65705790778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249354.65705790778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249354.65705790778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2.2345739481775073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2.2345739481775073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3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62338.664264476945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62338.664264476945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62338.664264476945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2.0739183048444838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2.0739183048444838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3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169865.53179855406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169865.53179855406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3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218245.06049109949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218245.06049109949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3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109122.53024554974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13143.397523048965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95979.132722500784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3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69838.419357151841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69838.419357151841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69838.419357151841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2.4443446775003141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2.4443446775003141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3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202279.77798791436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7626.1175136889688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140261.49403062923</v>
      </c>
      <c r="O281" s="193">
        <f t="shared" si="89"/>
        <v>140261.49403062923</v>
      </c>
      <c r="P281" s="203">
        <f t="shared" si="63"/>
        <v>7626.1175136889688</v>
      </c>
      <c r="Q281" s="190">
        <f>IFERROR(VLOOKUP(A281,[1]Energiindhold!$A$2:$C$11,3,FALSE),IFERROR(VLOOKUP(A281,[1]Biogasudbytte!$A$2:$B$18,2,FALSE)*[1]Energiindhold!$C$10,0))*O281</f>
        <v>0.38067530525888893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0.40137289323574132</v>
      </c>
      <c r="S281" s="190">
        <f>IFERROR(VLOOKUP(A281,[1]Biogasudbytte!$A$2:$B$18,2,FALSE)*[1]Energiindhold!$C$10,0)*J281*IFERROR(VLOOKUP(A281,Biogasanlæg!$F$3:$G$8,2,FALSE),1)</f>
        <v>2.0697587976852408E-2</v>
      </c>
      <c r="T281" s="191">
        <f t="shared" si="64"/>
        <v>0.38067530525888893</v>
      </c>
      <c r="U281" s="189">
        <f>O281*IFERROR(VLOOKUP(A281,[1]Tørstofindhold!A$2:B$24,2,FALSE),0)</f>
        <v>28052.298806125847</v>
      </c>
      <c r="V281" s="190">
        <f>IF(D281=År1,P281,SUM(O281,P281))*IFERROR(VLOOKUP(A281,[1]Tørstofindhold!A$2:B$24,2,FALSE),0)</f>
        <v>29577.522308863641</v>
      </c>
      <c r="W281" s="190">
        <f>J281*IFERROR(VLOOKUP(A281,[1]Tørstofindhold!A$2:B$24,2,FALSE),0)</f>
        <v>1525.2235027377938</v>
      </c>
      <c r="X281" s="191">
        <f t="shared" si="65"/>
        <v>28052.298806125847</v>
      </c>
      <c r="Y281" s="171">
        <f t="shared" si="90"/>
        <v>0</v>
      </c>
      <c r="Z281" s="103">
        <f t="shared" si="91"/>
        <v>1</v>
      </c>
    </row>
    <row r="282" spans="1:26" hidden="1" x14ac:dyDescent="0.3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10947.489741068959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10947.489741068959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3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8892.8868915055173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2409.7062024000002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6483.1806891055166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3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3496034.8535429356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2622026.1401572018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874008.71338573378</v>
      </c>
      <c r="O284" s="193">
        <f t="shared" si="89"/>
        <v>874008.71338573378</v>
      </c>
      <c r="P284" s="203">
        <f t="shared" si="94"/>
        <v>2622026.1401572018</v>
      </c>
      <c r="Q284" s="190">
        <f>IFERROR(VLOOKUP(A284,[1]Energiindhold!$A$2:$C$11,3,FALSE),IFERROR(VLOOKUP(A284,[1]Biogasudbytte!$A$2:$B$18,2,FALSE)*[1]Energiindhold!$C$10,0))*O284</f>
        <v>0.43613908806661505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1.7445563522664607</v>
      </c>
      <c r="S284" s="190">
        <f>IFERROR(VLOOKUP(A284,[1]Biogasudbytte!$A$2:$B$18,2,FALSE)*[1]Energiindhold!$C$10,0)*J284*IFERROR(VLOOKUP(A284,Biogasanlæg!$F$3:$G$8,2,FALSE),1)</f>
        <v>1.3084172641998455</v>
      </c>
      <c r="T284" s="191">
        <f t="shared" si="95"/>
        <v>0.43613908806661517</v>
      </c>
      <c r="U284" s="189">
        <f>O284*IFERROR(VLOOKUP(A284,[1]Tørstofindhold!A$2:B$24,2,FALSE),0)</f>
        <v>52440.522803144027</v>
      </c>
      <c r="V284" s="190">
        <f>IF(D284=År1,P284,SUM(O284,P284))*IFERROR(VLOOKUP(A284,[1]Tørstofindhold!A$2:B$24,2,FALSE),0)</f>
        <v>209762.09121257614</v>
      </c>
      <c r="W284" s="190">
        <f>J284*IFERROR(VLOOKUP(A284,[1]Tørstofindhold!A$2:B$24,2,FALSE),0)</f>
        <v>157321.5684094321</v>
      </c>
      <c r="X284" s="191">
        <f t="shared" si="96"/>
        <v>52440.522803144035</v>
      </c>
      <c r="Y284" s="171">
        <f t="shared" si="90"/>
        <v>0</v>
      </c>
      <c r="Z284" s="103">
        <f t="shared" si="91"/>
        <v>1</v>
      </c>
    </row>
    <row r="285" spans="1:26" hidden="1" x14ac:dyDescent="0.3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1045598.7208186348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941038.84873677138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104559.87208186346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941038.84873677138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0.4053995360358012</v>
      </c>
      <c r="S285" s="190">
        <f>IFERROR(VLOOKUP(A285,[1]Biogasudbytte!$A$2:$B$18,2,FALSE)*[1]Energiindhold!$C$10,0)*J285*IFERROR(VLOOKUP(A285,Biogasanlæg!$F$3:$G$8,2,FALSE),1)</f>
        <v>0.4053995360358012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47051.942436838573</v>
      </c>
      <c r="W285" s="190">
        <f>J285*IFERROR(VLOOKUP(A285,[1]Tørstofindhold!A$2:B$24,2,FALSE),0)</f>
        <v>47051.942436838573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3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97091.997795525866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60760.863656275607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36331.134139250258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3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3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3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629773.75936305185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0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629773.75936305185</v>
      </c>
      <c r="O289" s="193">
        <f t="shared" si="89"/>
        <v>629773.75936305185</v>
      </c>
      <c r="P289" s="203">
        <f t="shared" si="94"/>
        <v>0</v>
      </c>
      <c r="Q289" s="190">
        <f>IFERROR(VLOOKUP(A289,[1]Energiindhold!$A$2:$C$11,3,FALSE),IFERROR(VLOOKUP(A289,[1]Biogasudbytte!$A$2:$B$18,2,FALSE)*[1]Energiindhold!$C$10,0))*O289</f>
        <v>9.127669373228688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9.127669373228688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9.127669373228688</v>
      </c>
      <c r="U289" s="189">
        <f>O289*IFERROR(VLOOKUP(A289,[1]Tørstofindhold!A$2:B$24,2,FALSE),0)</f>
        <v>311475.6051516427</v>
      </c>
      <c r="V289" s="190">
        <f>IF(D289=År1,P289,SUM(O289,P289))*IFERROR(VLOOKUP(A289,[1]Tørstofindhold!A$2:B$24,2,FALSE),0)</f>
        <v>311475.6051516427</v>
      </c>
      <c r="W289" s="190">
        <f>J289*IFERROR(VLOOKUP(A289,[1]Tørstofindhold!A$2:B$24,2,FALSE),0)</f>
        <v>0</v>
      </c>
      <c r="X289" s="191">
        <f t="shared" si="96"/>
        <v>311475.6051516427</v>
      </c>
      <c r="Y289" s="171">
        <f t="shared" si="90"/>
        <v>0</v>
      </c>
      <c r="Z289" s="103">
        <f t="shared" si="91"/>
        <v>1</v>
      </c>
    </row>
    <row r="290" spans="1:26" ht="15" hidden="1" thickBot="1" x14ac:dyDescent="0.4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179246.53073851895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179246.53073851895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Græs"/>
        <filter val="Græsprotein"/>
      </filters>
    </filterColumn>
    <filterColumn colId="3">
      <filters>
        <filter val="2030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1640625" defaultRowHeight="14.5" x14ac:dyDescent="0.35"/>
  <cols>
    <col min="1" max="16384" width="8.81640625" style="1"/>
  </cols>
  <sheetData>
    <row r="1" spans="1:26" ht="15" thickBot="1" x14ac:dyDescent="0.4"/>
    <row r="2" spans="1:26" ht="21.5" thickBot="1" x14ac:dyDescent="0.55000000000000004">
      <c r="A2" s="367" t="s">
        <v>23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9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35">
      <c r="A3" s="61"/>
      <c r="B3" s="62"/>
      <c r="C3" s="373" t="s">
        <v>7</v>
      </c>
      <c r="D3" s="374"/>
      <c r="E3" s="374"/>
      <c r="F3" s="374"/>
      <c r="G3" s="374"/>
      <c r="H3" s="374"/>
      <c r="I3" s="374"/>
      <c r="J3" s="374"/>
      <c r="K3" s="375"/>
      <c r="L3" s="373" t="s">
        <v>8</v>
      </c>
      <c r="M3" s="374"/>
      <c r="N3" s="374"/>
      <c r="O3" s="374"/>
      <c r="P3" s="374"/>
      <c r="Q3" s="374"/>
      <c r="R3" s="374"/>
      <c r="S3" s="374"/>
      <c r="T3" s="375"/>
      <c r="U3" s="71"/>
      <c r="W3" s="31" t="s">
        <v>281</v>
      </c>
      <c r="X3" s="35">
        <f>C24+C51</f>
        <v>11808068</v>
      </c>
      <c r="Y3" s="11">
        <f>D24+D51</f>
        <v>9093668.5090058167</v>
      </c>
      <c r="Z3" s="23">
        <f>E24+E51</f>
        <v>6343027.2216558158</v>
      </c>
    </row>
    <row r="4" spans="1:26" ht="15" thickBot="1" x14ac:dyDescent="0.4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" thickBot="1" x14ac:dyDescent="0.4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3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554892.22499100864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17988.68709801232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0.29674680641973877</v>
      </c>
      <c r="I6" s="11">
        <f>IF(Landbrug!$E$47&gt;0,SUMIF(Landbrug!$B$32:$B$45,$B6,IF(I4=År2,Landbrug!$D$32:$D$45,Landbrug!$E$32:$E$45)),'[1]Afgrødefordeling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0.43582889538516162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86601.676732700769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2807.4829574932523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4.6313085394988143E-2</v>
      </c>
      <c r="R6" s="11">
        <f>IF(Landbrug!$E$47&gt;0,SUMIF(Landbrug!$B$32:$B$45,$B6,IF(I4=År2,Landbrug!$D$32:$D$45,Landbrug!$E$32:$E$45)),'[1]Afgrødefordeling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9.2448553566549435E-2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6.0035481067577209E-2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519712.74099418288</v>
      </c>
      <c r="Z6" s="23">
        <f t="shared" si="1"/>
        <v>584743.27834418393</v>
      </c>
    </row>
    <row r="7" spans="1:26" x14ac:dyDescent="0.3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124850.75062297694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1542.0658644465243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1.7086450333499009E-2</v>
      </c>
      <c r="I7" s="11">
        <f>IF(Landbrug!$E$47&gt;0,SUMIF(Landbrug!$B$32:$B$45,$B7,IF(I5=År2,Landbrug!$D$32:$D$45,Landbrug!$E$32:$E$45)),'[1]Afgrødefordeling - jordtype'!$G5)*(1-Landbrug!$E$5)*Arealanvendelse!P$26</f>
        <v>102783.28929098426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3.7361084700125495E-2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19485.377264857674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240.66923895986218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2.6666714393322154E-3</v>
      </c>
      <c r="R7" s="11">
        <f>IF(Landbrug!$E$47&gt;0,SUMIF(Landbrug!$B$32:$B$45,$B7,IF(I5=År2,Landbrug!$D$32:$D$45,Landbrug!$E$32:$E$45)),'[1]Afgrødefordeling - jordtype'!$G5)*(Landbrug!$E$5)*Arealanvendelse!P$26</f>
        <v>21802.515910208782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7.9250785727538933E-3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3.4567963102454641E-3</v>
      </c>
      <c r="U7" s="94"/>
      <c r="W7" s="31" t="s">
        <v>285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" thickBot="1" x14ac:dyDescent="0.4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138723.05624775216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1651.2179103063932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2.2126179468366147E-2</v>
      </c>
      <c r="I8" s="11">
        <f>IF(Landbrug!$E$47&gt;0,SUMIF(Landbrug!$B$32:$B$45,$B8,IF(I6=År2,Landbrug!$D$32:$D$45,Landbrug!$E$32:$E$45)),'[1]Afgrødefordeling - jordtype'!$G6)*(1-Landbrug!$E$5)*Arealanvendelse!P$26</f>
        <v>114203.65476776029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4.0005614304589723E-2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21650.419183175192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257.704529354177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3.4532187609588785E-3</v>
      </c>
      <c r="R8" s="11">
        <f>IF(Landbrug!$E$47&gt;0,SUMIF(Landbrug!$B$32:$B$45,$B8,IF(I6=År2,Landbrug!$D$32:$D$45,Landbrug!$E$32:$E$45)),'[1]Afgrødefordeling - jordtype'!$G6)*(Landbrug!$E$5)*Arealanvendelse!P$26</f>
        <v>24225.017678009757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8.4860393979432746E-3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4.4763946901318786E-3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3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90169.986561038895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15238.021720870902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0.51029954485989426</v>
      </c>
      <c r="I9" s="11">
        <f>IF(Landbrug!$E$47&gt;0,SUMIF(Landbrug!$B$32:$B$45,$B9,IF(I7=År2,Landbrug!$D$32:$D$45,Landbrug!$E$32:$E$45)),'[1]Afgrødefordeling - jordtype'!$G7)*(1-Landbrug!$E$5)*Arealanvendelse!P$26</f>
        <v>74232.375599044186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0.36918592992793164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14072.772469063875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2378.1883610607765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7.9642125498364996E-2</v>
      </c>
      <c r="R9" s="11">
        <f>IF(Landbrug!$E$47&gt;0,SUMIF(Landbrug!$B$32:$B$45,$B9,IF(I7=År2,Landbrug!$D$32:$D$45,Landbrug!$E$32:$E$45)),'[1]Afgrødefordeling - jordtype'!$G7)*(Landbrug!$E$5)*Arealanvendelse!P$26</f>
        <v>15746.261490706343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7.8312166954409748E-2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0.10323979231269535</v>
      </c>
      <c r="U9" s="94"/>
    </row>
    <row r="10" spans="1:26" x14ac:dyDescent="0.3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13872.305624775214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71.268800751408534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5.9312754358377721E-4</v>
      </c>
      <c r="I10" s="11">
        <f>IF(Landbrug!$E$47&gt;0,SUMIF(Landbrug!$B$32:$B$45,$B10,IF(I8=År2,Landbrug!$D$32:$D$45,Landbrug!$E$32:$E$45)),'[1]Afgrødefordeling - jordtype'!$G8)*(1-Landbrug!$E$5)*Arealanvendelse!P$26</f>
        <v>11420.365476776029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1.7266964808312041E-3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2165.041918317519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11.122876417849888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9.2569038593999904E-5</v>
      </c>
      <c r="R10" s="11">
        <f>IF(Landbrug!$E$47&gt;0,SUMIF(Landbrug!$B$32:$B$45,$B10,IF(I8=År2,Landbrug!$D$32:$D$45,Landbrug!$E$32:$E$45)),'[1]Afgrødefordeling - jordtype'!$G8)*(Landbrug!$E$5)*Arealanvendelse!P$26</f>
        <v>2422.5017678009758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3.6626895047934632E-4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1.1999690188111097E-4</v>
      </c>
      <c r="U10" s="94"/>
    </row>
    <row r="11" spans="1:26" x14ac:dyDescent="0.3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34680.76406193804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1125.1496418632635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3.1394414813143305E-2</v>
      </c>
      <c r="I11" s="11">
        <f>IF(Landbrug!$E$47&gt;0,SUMIF(Landbrug!$B$32:$B$45,$B11,IF(I9=År2,Landbrug!$D$32:$D$45,Landbrug!$E$32:$E$45)),'[1]Afgrødefordeling - jordtype'!$G9)*(1-Landbrug!$E$5)*Arealanvendelse!P$26</f>
        <v>28550.913691940073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2.7260061998102159E-2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5412.6047957937981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175.60138919253245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4.8997063581206323E-3</v>
      </c>
      <c r="R11" s="11">
        <f>IF(Landbrug!$E$47&gt;0,SUMIF(Landbrug!$B$32:$B$45,$B11,IF(I9=År2,Landbrug!$D$32:$D$45,Landbrug!$E$32:$E$45)),'[1]Afgrødefordeling - jordtype'!$G9)*(Landbrug!$E$5)*Arealanvendelse!P$26</f>
        <v>6056.2544195024393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5.7824373935368217E-3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6.3514712049711885E-3</v>
      </c>
      <c r="U11" s="94"/>
    </row>
    <row r="12" spans="1:26" x14ac:dyDescent="0.3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6936.1528123876069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29.518660249897398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3.3950117003646611E-4</v>
      </c>
      <c r="I12" s="11">
        <f>IF(Landbrug!$E$47&gt;0,SUMIF(Landbrug!$B$32:$B$45,$B12,IF(I10=År2,Landbrug!$D$32:$D$45,Landbrug!$E$32:$E$45)),'[1]Afgrødefordeling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7.1517643393687155E-4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1082.5209591587595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4.6069585361111542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5.2985731739795291E-5</v>
      </c>
      <c r="R12" s="11">
        <f>IF(Landbrug!$E$47&gt;0,SUMIF(Landbrug!$B$32:$B$45,$B12,IF(I10=År2,Landbrug!$D$32:$D$45,Landbrug!$E$32:$E$45)),'[1]Afgrødefordeling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1.5170409204721518E-4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6.8685207810845745E-5</v>
      </c>
      <c r="U12" s="94"/>
    </row>
    <row r="13" spans="1:26" x14ac:dyDescent="0.3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69361.52812387608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3810.4154462517859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4.2220294070089238E-2</v>
      </c>
      <c r="I13" s="11">
        <f>IF(Landbrug!$E$47&gt;0,SUMIF(Landbrug!$B$32:$B$45,$B13,IF(I11=År2,Landbrug!$D$32:$D$45,Landbrug!$E$32:$E$45)),'[1]Afgrødefordeling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9.2318530299077425E-2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10825.209591587596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594.6891158890071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6.5892944502451414E-3</v>
      </c>
      <c r="R13" s="11">
        <f>IF(Landbrug!$E$47&gt;0,SUMIF(Landbrug!$B$32:$B$45,$B13,IF(I11=År2,Landbrug!$D$32:$D$45,Landbrug!$E$32:$E$45)),'[1]Afgrødefordeling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1.9582718548289149E-2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8.5416779910585158E-3</v>
      </c>
      <c r="U13" s="94"/>
    </row>
    <row r="14" spans="1:26" x14ac:dyDescent="0.3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6936.1528123876069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64.91370276951497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1.2099053290264164E-3</v>
      </c>
      <c r="I14" s="11">
        <f>IF(Landbrug!$E$47&gt;0,SUMIF(Landbrug!$B$32:$B$45,$B14,IF(I12=År2,Landbrug!$D$32:$D$45,Landbrug!$E$32:$E$45)),'[1]Afgrødefordeling - jordtype'!$G12)*(1-Landbrug!$E$5)*Arealanvendelse!P$26</f>
        <v>5710.1827383880145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1.5727255257291396E-3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1082.5209591587595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10.131040316629504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1.8882915539718639E-4</v>
      </c>
      <c r="R14" s="11">
        <f>IF(Landbrug!$E$47&gt;0,SUMIF(Landbrug!$B$32:$B$45,$B14,IF(I12=År2,Landbrug!$D$32:$D$45,Landbrug!$E$32:$E$45)),'[1]Afgrødefordeling - jordtype'!$G12)*(Landbrug!$E$5)*Arealanvendelse!P$26</f>
        <v>1211.2508839004879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3.3360844485163561E-4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2.4477853477413049E-4</v>
      </c>
      <c r="U14" s="94"/>
    </row>
    <row r="15" spans="1:26" x14ac:dyDescent="0.3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34680.76406193804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1148.0573462747577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2.1398266344745977E-2</v>
      </c>
      <c r="I15" s="11">
        <f>IF(Landbrug!$E$47&gt;0,SUMIF(Landbrug!$B$32:$B$45,$B15,IF(I13=År2,Landbrug!$D$32:$D$45,Landbrug!$E$32:$E$45)),'[1]Afgrødefordeling - jordtype'!$G13)*(1-Landbrug!$E$5)*Arealanvendelse!P$26</f>
        <v>28550.913691940073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2.7815068567234969E-2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5412.6047957937981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179.17658005444198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3.3396138225904128E-3</v>
      </c>
      <c r="R15" s="11">
        <f>IF(Landbrug!$E$47&gt;0,SUMIF(Landbrug!$B$32:$B$45,$B15,IF(I13=År2,Landbrug!$D$32:$D$45,Landbrug!$E$32:$E$45)),'[1]Afgrødefordeling - jordtype'!$G13)*(Landbrug!$E$5)*Arealanvendelse!P$26</f>
        <v>6056.2544195024393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5.9001660597165087E-3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4.329129029283868E-3</v>
      </c>
      <c r="U15" s="94"/>
    </row>
    <row r="16" spans="1:26" x14ac:dyDescent="0.3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56037.604882581254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2833.7440917610315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6.8082129291564208E-2</v>
      </c>
      <c r="I16" s="11">
        <f>IF(Landbrug!$E$47&gt;0,SUMIF(Landbrug!$B$32:$B$45,$B16,IF(I14=År2,Landbrug!$D$32:$D$45,Landbrug!$E$32:$E$45)),'[1]Afgrødefordeling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6.8655791864482674E-2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8745.7533631774204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442.26063859854253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1.0625534629319271E-2</v>
      </c>
      <c r="R16" s="11">
        <f>IF(Landbrug!$E$47&gt;0,SUMIF(Landbrug!$B$32:$B$45,$B16,IF(I14=År2,Landbrug!$D$32:$D$45,Landbrug!$E$32:$E$45)),'[1]Afgrødefordeling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1.4563349789435716E-2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1.3773841186154611E-2</v>
      </c>
      <c r="U16" s="94"/>
    </row>
    <row r="17" spans="1:21" x14ac:dyDescent="0.3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13872.305624775214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325.57753513414758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6.0683334637179846E-3</v>
      </c>
      <c r="I17" s="11">
        <f>IF(Landbrug!$E$47&gt;0,SUMIF(Landbrug!$B$32:$B$45,$B17,IF(I15=År2,Landbrug!$D$32:$D$45,Landbrug!$E$32:$E$45)),'[1]Afgrødefordeling - jordtype'!$G15)*(1-Landbrug!$E$5)*Arealanvendelse!P$26</f>
        <v>11420.365476776029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7.888074139408327E-3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2165.041918317519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50.812678893768705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9.4708094520454093E-4</v>
      </c>
      <c r="R17" s="11">
        <f>IF(Landbrug!$E$47&gt;0,SUMIF(Landbrug!$B$32:$B$45,$B17,IF(I15=År2,Landbrug!$D$32:$D$45,Landbrug!$E$32:$E$45)),'[1]Afgrødefordeling - jordtype'!$G15)*(Landbrug!$E$5)*Arealanvendelse!P$26</f>
        <v>2422.5017678009758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1.6732278477532812E-3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1.2276975215614421E-3</v>
      </c>
      <c r="U17" s="94"/>
    </row>
    <row r="18" spans="1:21" x14ac:dyDescent="0.3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6936.1528123876069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534.71836671684468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1.4324445842879414E-2</v>
      </c>
      <c r="I18" s="11">
        <f>IF(Landbrug!$E$47&gt;0,SUMIF(Landbrug!$B$32:$B$45,$B18,IF(I16=År2,Landbrug!$D$32:$D$45,Landbrug!$E$32:$E$45)),'[1]Afgrødefordeling - jordtype'!$G16)*(1-Landbrug!$E$5)*Arealanvendelse!P$26</f>
        <v>5710.1827383880145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1.2955126399086169E-2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1082.5209591587595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83.453155499160744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2.2356071546690416E-3</v>
      </c>
      <c r="R18" s="11">
        <f>IF(Landbrug!$E$47&gt;0,SUMIF(Landbrug!$B$32:$B$45,$B18,IF(I16=År2,Landbrug!$D$32:$D$45,Landbrug!$E$32:$E$45)),'[1]Afgrødefordeling - jordtype'!$G16)*(Landbrug!$E$5)*Arealanvendelse!P$26</f>
        <v>1211.2508839004879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2.7480571149576727E-3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2.8980092745709792E-3</v>
      </c>
      <c r="U18" s="94"/>
    </row>
    <row r="19" spans="1:21" x14ac:dyDescent="0.3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235829.19562117866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15113.849399235503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0.52979341323357754</v>
      </c>
      <c r="I19" s="11">
        <f>IF(Landbrug!$E$47&gt;0,SUMIF(Landbrug!$B$32:$B$45,$B19,IF(I17=År2,Landbrug!$D$32:$D$45,Landbrug!$E$32:$E$45)),'[1]Afgrødefordeling - jordtype'!$G17)*(1-Landbrug!$E$5)*Arealanvendelse!P$26</f>
        <v>194146.21310519252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0.36617748993000948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36805.712611397823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2358.8088657766393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8.2684521140500539E-2</v>
      </c>
      <c r="R19" s="11">
        <f>IF(Landbrug!$E$47&gt;0,SUMIF(Landbrug!$B$32:$B$45,$B19,IF(I17=År2,Landbrug!$D$32:$D$45,Landbrug!$E$32:$E$45)),'[1]Afgrødefordeling - jordtype'!$G17)*(Landbrug!$E$5)*Arealanvendelse!P$26</f>
        <v>41182.530052616588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7.7674013015456553E-2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0.10718363851546366</v>
      </c>
      <c r="U19" s="94"/>
    </row>
    <row r="20" spans="1:21" ht="15" thickBot="1" x14ac:dyDescent="0.4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1387778.9448610018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1142488.0030744032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216589.77752165924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242345.94004608566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" thickBot="1" x14ac:dyDescent="0.4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35">
      <c r="A22" s="61"/>
      <c r="B22" s="45"/>
      <c r="C22" s="373" t="s">
        <v>7</v>
      </c>
      <c r="D22" s="374"/>
      <c r="E22" s="375"/>
      <c r="F22" s="379" t="s">
        <v>8</v>
      </c>
      <c r="G22" s="374"/>
      <c r="H22" s="375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3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3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7560938.5185532495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495893.73144674982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3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" thickBot="1" x14ac:dyDescent="0.4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" thickBot="1" x14ac:dyDescent="0.4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" thickBot="1" x14ac:dyDescent="0.4">
      <c r="B28" s="6"/>
      <c r="F28" s="85"/>
      <c r="G28" s="85"/>
      <c r="H28" s="85"/>
      <c r="I28" s="12"/>
    </row>
    <row r="29" spans="1:21" ht="21.5" thickBot="1" x14ac:dyDescent="0.55000000000000004">
      <c r="A29" s="370" t="s">
        <v>24</v>
      </c>
      <c r="B29" s="371"/>
      <c r="C29" s="371"/>
      <c r="D29" s="371"/>
      <c r="E29" s="371"/>
      <c r="F29" s="371"/>
      <c r="G29" s="371"/>
      <c r="H29" s="371"/>
      <c r="I29" s="371"/>
      <c r="J29" s="371"/>
      <c r="K29" s="371"/>
      <c r="L29" s="371"/>
      <c r="M29" s="371"/>
      <c r="N29" s="371"/>
      <c r="O29" s="371"/>
      <c r="P29" s="371"/>
      <c r="Q29" s="371"/>
      <c r="R29" s="371"/>
      <c r="S29" s="371"/>
      <c r="T29" s="371"/>
      <c r="U29" s="372"/>
    </row>
    <row r="30" spans="1:21" x14ac:dyDescent="0.35">
      <c r="A30" s="56"/>
      <c r="B30" s="53"/>
      <c r="C30" s="376" t="s">
        <v>7</v>
      </c>
      <c r="D30" s="377"/>
      <c r="E30" s="377"/>
      <c r="F30" s="377"/>
      <c r="G30" s="377"/>
      <c r="H30" s="377"/>
      <c r="I30" s="377"/>
      <c r="J30" s="377"/>
      <c r="K30" s="378"/>
      <c r="L30" s="376" t="s">
        <v>8</v>
      </c>
      <c r="M30" s="377"/>
      <c r="N30" s="377"/>
      <c r="O30" s="377"/>
      <c r="P30" s="377"/>
      <c r="Q30" s="377"/>
      <c r="R30" s="377"/>
      <c r="S30" s="377"/>
      <c r="T30" s="378"/>
      <c r="U30" s="53"/>
    </row>
    <row r="31" spans="1:21" ht="15" thickBot="1" x14ac:dyDescent="0.4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3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3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181961.83100899146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2543.5266161074505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4.5754933628917617E-2</v>
      </c>
      <c r="I33" s="11">
        <f>IF(Landbrug!$E$47&gt;0,SUMIF(Landbrug!$B$32:$B$45,$B33,IF(I32=År2,Landbrug!$D$32:$D$45,Landbrug!$E$32:$E$45)),'[1]Afgrødefordeling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6.1624419250252083E-2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28398.667267299243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396.96658170463104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7.1409433987328075E-3</v>
      </c>
      <c r="R33" s="11">
        <f>IF(Landbrug!$E$47&gt;0,SUMIF(Landbrug!$B$32:$B$45,$B33,IF(R32=År2,Landbrug!$D$32:$D$45,Landbrug!$E$32:$E$45)),'[1]Afgrødefordeling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1.3071846507629228E-2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9.2567784798388234E-3</v>
      </c>
      <c r="U33" s="53"/>
    </row>
    <row r="34" spans="1:21" x14ac:dyDescent="0.3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40941.411977023075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68.781025480452769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8.3106047603679744E-4</v>
      </c>
      <c r="I34" s="11">
        <f>IF(Landbrug!$E$47&gt;0,SUMIF(Landbrug!$B$32:$B$45,$B34,IF(I33=År2,Landbrug!$D$32:$D$45,Landbrug!$E$32:$E$45)),'[1]Afgrødefordeling - jordtype'!$P5)*(1-Landbrug!$E$5)*Arealanvendelse!P$36</f>
        <v>37292.008709015725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1.6664228020370887E-3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6389.7001351423296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10.734610913134247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1.2970308007510711E-4</v>
      </c>
      <c r="R34" s="11">
        <f>IF(Landbrug!$E$47&gt;0,SUMIF(Landbrug!$B$32:$B$45,$B34,IF(R33=År2,Landbrug!$D$32:$D$45,Landbrug!$E$32:$E$45)),'[1]Afgrødefordeling - jordtype'!$P5)*(Landbrug!$E$5)*Arealanvendelse!P$36</f>
        <v>7910.4260897912154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3.5348362467453397E-4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1.6813362231958326E-4</v>
      </c>
      <c r="U34" s="53"/>
    </row>
    <row r="35" spans="1:21" x14ac:dyDescent="0.3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45490.457752247865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277.81730642917057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4.0595359645178462E-3</v>
      </c>
      <c r="I35" s="11">
        <f>IF(Landbrug!$E$47&gt;0,SUMIF(Landbrug!$B$32:$B$45,$B35,IF(I34=År2,Landbrug!$D$32:$D$45,Landbrug!$E$32:$E$45)),'[1]Afgrødefordeling - jordtype'!$P6)*(1-Landbrug!$E$5)*Arealanvendelse!P$36</f>
        <v>41435.5652322397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6.7309420148972078E-3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7099.6668168248107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43.358770367558421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6.3356919677446158E-4</v>
      </c>
      <c r="R35" s="11">
        <f>IF(Landbrug!$E$47&gt;0,SUMIF(Landbrug!$B$32:$B$45,$B35,IF(R34=År2,Landbrug!$D$32:$D$45,Landbrug!$E$32:$E$45)),'[1]Afgrødefordeling - jordtype'!$P6)*(Landbrug!$E$5)*Arealanvendelse!P$36</f>
        <v>8789.3623219902383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1.4277755789175895E-3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8.2129340322615392E-4</v>
      </c>
      <c r="U35" s="53"/>
    </row>
    <row r="36" spans="1:21" x14ac:dyDescent="0.3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29568.797538961109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816.89928733229783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2.9831848636857054E-2</v>
      </c>
      <c r="I36" s="11">
        <f>IF(Landbrug!$E$47&gt;0,SUMIF(Landbrug!$B$32:$B$45,$B36,IF(I35=År2,Landbrug!$D$32:$D$45,Landbrug!$E$32:$E$45)),'[1]Afgrødefordeling - jordtype'!$P7)*(1-Landbrug!$E$5)*Arealanvendelse!P$36</f>
        <v>26933.117400955805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1.9791789812224642E-2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4614.7834309361278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127.4929523582199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4.6558376485268237E-3</v>
      </c>
      <c r="R36" s="11">
        <f>IF(Landbrug!$E$47&gt;0,SUMIF(Landbrug!$B$32:$B$45,$B36,IF(R35=År2,Landbrug!$D$32:$D$45,Landbrug!$E$32:$E$45)),'[1]Afgrødefordeling - jordtype'!$P7)*(Landbrug!$E$5)*Arealanvendelse!P$36</f>
        <v>5713.0855092936554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4.1982584450173483E-3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6.0353450999421779E-3</v>
      </c>
      <c r="U36" s="53"/>
    </row>
    <row r="37" spans="1:21" x14ac:dyDescent="0.3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4549.0457752247858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15.471187824817051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1.4040654632499296E-4</v>
      </c>
      <c r="I37" s="11">
        <f>IF(Landbrug!$E$47&gt;0,SUMIF(Landbrug!$B$32:$B$45,$B37,IF(I36=År2,Landbrug!$D$32:$D$45,Landbrug!$E$32:$E$45)),'[1]Afgrødefordeling - jordtype'!$P8)*(1-Landbrug!$E$5)*Arealanvendelse!P$36</f>
        <v>4143.5565232239696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3.7483506513290803E-4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709.96668168248107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2.4145784466477478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2.1913160409102947E-5</v>
      </c>
      <c r="R37" s="11">
        <f>IF(Landbrug!$E$47&gt;0,SUMIF(Landbrug!$B$32:$B$45,$B37,IF(R36=År2,Landbrug!$D$32:$D$45,Landbrug!$E$32:$E$45)),'[1]Afgrødefordeling - jordtype'!$P8)*(Landbrug!$E$5)*Arealanvendelse!P$36</f>
        <v>878.93623219902383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7.9510468361525957E-5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2.8405948678466784E-5</v>
      </c>
      <c r="U37" s="53"/>
    </row>
    <row r="38" spans="1:21" x14ac:dyDescent="0.3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11372.614438061966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26.302435262527187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8.0030056464171814E-4</v>
      </c>
      <c r="I38" s="11">
        <f>IF(Landbrug!$E$47&gt;0,SUMIF(Landbrug!$B$32:$B$45,$B38,IF(I37=År2,Landbrug!$D$32:$D$45,Landbrug!$E$32:$E$45)),'[1]Afgrødefordeling - jordtype'!$P9)*(1-Landbrug!$E$5)*Arealanvendelse!P$36</f>
        <v>10358.891308059925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6.37253916533074E-4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1774.9167042062027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4.1050043473308326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1.2490240026200229E-4</v>
      </c>
      <c r="R38" s="11">
        <f>IF(Landbrug!$E$47&gt;0,SUMIF(Landbrug!$B$32:$B$45,$B38,IF(R37=År2,Landbrug!$D$32:$D$45,Landbrug!$E$32:$E$45)),'[1]Afgrødefordeling - jordtype'!$P9)*(Landbrug!$E$5)*Arealanvendelse!P$36</f>
        <v>2197.3405804975596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1.351750732039854E-4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1.6191051885815108E-4</v>
      </c>
      <c r="U38" s="53"/>
    </row>
    <row r="39" spans="1:21" x14ac:dyDescent="0.3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2274.5228876123929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73.48347036613049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9.2161460426674424E-4</v>
      </c>
      <c r="I39" s="11">
        <f>IF(Landbrug!$E$47&gt;0,SUMIF(Landbrug!$B$32:$B$45,$B39,IF(I38=År2,Landbrug!$D$32:$D$45,Landbrug!$E$32:$E$45)),'[1]Afgrødefordeling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1.7803533712322671E-3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354.98334084124053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11.468518496448112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1.4383580529018554E-4</v>
      </c>
      <c r="R39" s="11">
        <f>IF(Landbrug!$E$47&gt;0,SUMIF(Landbrug!$B$32:$B$45,$B39,IF(R38=År2,Landbrug!$D$32:$D$45,Landbrug!$E$32:$E$45)),'[1]Afgrødefordeling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3.7765071510987484E-4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1.8645382167246271E-4</v>
      </c>
      <c r="U39" s="53"/>
    </row>
    <row r="40" spans="1:21" x14ac:dyDescent="0.3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22745.228876123932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78.344719162303662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9.466157148310761E-4</v>
      </c>
      <c r="I40" s="11">
        <f>IF(Landbrug!$E$47&gt;0,SUMIF(Landbrug!$B$32:$B$45,$B40,IF(I39=År2,Landbrug!$D$32:$D$45,Landbrug!$E$32:$E$45)),'[1]Afgrødefordeling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1.8981314326050301E-3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3549.8334084124053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12.227210505099418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1.4773771271930092E-4</v>
      </c>
      <c r="R40" s="11">
        <f>IF(Landbrug!$E$47&gt;0,SUMIF(Landbrug!$B$32:$B$45,$B40,IF(R39=År2,Landbrug!$D$32:$D$45,Landbrug!$E$32:$E$45)),'[1]Afgrødefordeling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4.0263394024955173E-4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1.9151184982131597E-4</v>
      </c>
      <c r="U40" s="53"/>
    </row>
    <row r="41" spans="1:21" x14ac:dyDescent="0.3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2274.5228876123929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16.900566419398675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3.4350362462884858E-4</v>
      </c>
      <c r="I41" s="11">
        <f>IF(Landbrug!$E$47&gt;0,SUMIF(Landbrug!$B$32:$B$45,$B41,IF(I40=År2,Landbrug!$D$32:$D$45,Landbrug!$E$32:$E$45)),'[1]Afgrødefordeling - jordtype'!$P12)*(1-Landbrug!$E$5)*Arealanvendelse!P$36</f>
        <v>2071.7782616119848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4.094659690212412E-4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354.98334084124053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2.6376606550506607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5.36103922831151E-5</v>
      </c>
      <c r="R41" s="11">
        <f>IF(Landbrug!$E$47&gt;0,SUMIF(Landbrug!$B$32:$B$45,$B41,IF(R40=År2,Landbrug!$D$32:$D$45,Landbrug!$E$32:$E$45)),'[1]Afgrødefordeling - jordtype'!$P12)*(Landbrug!$E$5)*Arealanvendelse!P$36</f>
        <v>439.46811609951192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8.6856417671172357E-5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6.9494952959593638E-5</v>
      </c>
      <c r="U41" s="53"/>
    </row>
    <row r="42" spans="1:21" x14ac:dyDescent="0.3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11372.614438061966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120.67824120695344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2.452782483126852E-3</v>
      </c>
      <c r="I42" s="11">
        <f>IF(Landbrug!$E$47&gt;0,SUMIF(Landbrug!$B$32:$B$45,$B42,IF(I41=År2,Landbrug!$D$32:$D$45,Landbrug!$E$32:$E$45)),'[1]Afgrødefordeling - jordtype'!$P13)*(1-Landbrug!$E$5)*Arealanvendelse!P$36</f>
        <v>10358.891308059925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2.9237856145973122E-3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1774.9167042062027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18.834176373339556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3.8280420256893069E-4</v>
      </c>
      <c r="R42" s="11">
        <f>IF(Landbrug!$E$47&gt;0,SUMIF(Landbrug!$B$32:$B$45,$B42,IF(R41=År2,Landbrug!$D$32:$D$45,Landbrug!$E$32:$E$45)),'[1]Afgrødefordeling - jordtype'!$P13)*(Landbrug!$E$5)*Arealanvendelse!P$36</f>
        <v>2197.3405804975596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6.2019694855094509E-4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4.9622766999676197E-4</v>
      </c>
      <c r="U42" s="53"/>
    </row>
    <row r="43" spans="1:21" x14ac:dyDescent="0.3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18376.010206230789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876.11830838913772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2.2953573895167008E-2</v>
      </c>
      <c r="I43" s="11">
        <f>IF(Landbrug!$E$47&gt;0,SUMIF(Landbrug!$B$32:$B$45,$B43,IF(I42=År2,Landbrug!$D$32:$D$45,Landbrug!$E$32:$E$45)),'[1]Afgrødefordeling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2.1226544910947009E-2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2867.9322287180994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136.73522732084808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3.5823496830607472E-3</v>
      </c>
      <c r="R43" s="11">
        <f>IF(Landbrug!$E$47&gt;0,SUMIF(Landbrug!$B$32:$B$45,$B43,IF(R42=År2,Landbrug!$D$32:$D$45,Landbrug!$E$32:$E$45)),'[1]Afgrødefordeling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4.5026004356554256E-3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4.6437866261898574E-3</v>
      </c>
      <c r="U43" s="53"/>
    </row>
    <row r="44" spans="1:21" x14ac:dyDescent="0.3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4549.0457752247858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26.483091404220694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5.3826822503920445E-4</v>
      </c>
      <c r="I44" s="11">
        <f>IF(Landbrug!$E$47&gt;0,SUMIF(Landbrug!$B$32:$B$45,$B44,IF(I43=År2,Landbrug!$D$32:$D$45,Landbrug!$E$32:$E$45)),'[1]Afgrødefordeling - jordtype'!$P15)*(1-Landbrug!$E$5)*Arealanvendelse!P$36</f>
        <v>4143.5565232239696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6.4163084333437122E-4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709.96668168248107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4.1331992364968713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8.4007179630396072E-5</v>
      </c>
      <c r="R44" s="11">
        <f>IF(Landbrug!$E$47&gt;0,SUMIF(Landbrug!$B$32:$B$45,$B44,IF(R43=År2,Landbrug!$D$32:$D$45,Landbrug!$E$32:$E$45)),'[1]Afgrødefordeling - jordtype'!$P15)*(Landbrug!$E$5)*Arealanvendelse!P$36</f>
        <v>878.93623219902383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1.3610351222244238E-4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1.0889819581718008E-4</v>
      </c>
      <c r="U44" s="53"/>
    </row>
    <row r="45" spans="1:21" x14ac:dyDescent="0.3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2274.5228876123929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56.207011126951372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1.6419437573988649E-3</v>
      </c>
      <c r="I45" s="11">
        <f>IF(Landbrug!$E$47&gt;0,SUMIF(Landbrug!$B$32:$B$45,$B45,IF(I44=År2,Landbrug!$D$32:$D$45,Landbrug!$E$32:$E$45)),'[1]Afgrødefordeling - jordtype'!$P16)*(1-Landbrug!$E$5)*Arealanvendelse!P$36</f>
        <v>2071.7782616119848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1.3617802921958929E-3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354.98334084124053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8.7721924880213127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2.5625711820675929E-4</v>
      </c>
      <c r="R45" s="11">
        <f>IF(Landbrug!$E$47&gt;0,SUMIF(Landbrug!$B$32:$B$45,$B45,IF(R44=År2,Landbrug!$D$32:$D$45,Landbrug!$E$32:$E$45)),'[1]Afgrødefordeling - jordtype'!$P16)*(Landbrug!$E$5)*Arealanvendelse!P$36</f>
        <v>439.46811609951192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2.8886248622337122E-4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3.3218515323098425E-4</v>
      </c>
      <c r="U45" s="53"/>
    </row>
    <row r="46" spans="1:21" x14ac:dyDescent="0.3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77333.778178821362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1628.961148843877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5.7100799688875818E-2</v>
      </c>
      <c r="I46" s="11">
        <f>IF(Landbrug!$E$47&gt;0,SUMIF(Landbrug!$B$32:$B$45,$B46,IF(I45=År2,Landbrug!$D$32:$D$45,Landbrug!$E$32:$E$45)),'[1]Afgrødefordeling - jordtype'!$P17)*(1-Landbrug!$E$5)*Arealanvendelse!P$36</f>
        <v>70440.460894807489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3.9466378744780817E-2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12069.433588602178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254.23093074442014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8.9116855005759964E-3</v>
      </c>
      <c r="R46" s="11">
        <f>IF(Landbrug!$E$47&gt;0,SUMIF(Landbrug!$B$32:$B$45,$B46,IF(R45=År2,Landbrug!$D$32:$D$45,Landbrug!$E$32:$E$45)),'[1]Afgrødefordeling - jordtype'!$P17)*(Landbrug!$E$5)*Arealanvendelse!P$36</f>
        <v>14941.915947383406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8.3716560973777481E-3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1.1552184908154068E-2</v>
      </c>
      <c r="U46" s="53"/>
    </row>
    <row r="47" spans="1:21" ht="15" thickBot="1" x14ac:dyDescent="0.4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455084.40462781029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414519.45014114125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71024.733670236281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87928.368211757217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" thickBot="1" x14ac:dyDescent="0.4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35">
      <c r="A49" s="56"/>
      <c r="B49" s="49"/>
      <c r="C49" s="373" t="s">
        <v>7</v>
      </c>
      <c r="D49" s="374"/>
      <c r="E49" s="375"/>
      <c r="F49" s="379" t="s">
        <v>8</v>
      </c>
      <c r="G49" s="374"/>
      <c r="H49" s="375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3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3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3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" thickBot="1" x14ac:dyDescent="0.4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" thickBot="1" x14ac:dyDescent="0.4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796875" defaultRowHeight="14.5" x14ac:dyDescent="0.35"/>
  <cols>
    <col min="1" max="16384" width="9.1796875" style="1"/>
  </cols>
  <sheetData>
    <row r="2" spans="1:1" x14ac:dyDescent="0.3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H174" sqref="H174"/>
    </sheetView>
  </sheetViews>
  <sheetFormatPr defaultRowHeight="14.5" x14ac:dyDescent="0.35"/>
  <cols>
    <col min="1" max="1" width="20.1796875" bestFit="1" customWidth="1"/>
    <col min="2" max="2" width="15.6328125" bestFit="1" customWidth="1"/>
    <col min="3" max="3" width="8.7265625" bestFit="1" customWidth="1"/>
    <col min="4" max="4" width="8.54296875" bestFit="1" customWidth="1"/>
    <col min="5" max="5" width="11" bestFit="1" customWidth="1"/>
    <col min="6" max="6" width="4.1796875" bestFit="1" customWidth="1"/>
    <col min="7" max="7" width="11.54296875" bestFit="1" customWidth="1"/>
    <col min="8" max="8" width="10.6328125" bestFit="1" customWidth="1"/>
    <col min="9" max="9" width="5.26953125" bestFit="1" customWidth="1"/>
    <col min="10" max="10" width="8" bestFit="1" customWidth="1"/>
    <col min="11" max="11" width="5.453125" bestFit="1" customWidth="1"/>
    <col min="12" max="12" width="10.36328125" bestFit="1" customWidth="1"/>
    <col min="13" max="13" width="5.26953125" bestFit="1" customWidth="1"/>
    <col min="14" max="14" width="14.7265625" bestFit="1" customWidth="1"/>
    <col min="15" max="15" width="13.90625" bestFit="1" customWidth="1"/>
    <col min="16" max="16" width="12.54296875" bestFit="1" customWidth="1"/>
    <col min="17" max="17" width="8.453125" bestFit="1" customWidth="1"/>
    <col min="18" max="18" width="4.90625" bestFit="1" customWidth="1"/>
    <col min="19" max="19" width="9.6328125" bestFit="1" customWidth="1"/>
    <col min="20" max="20" width="13.1796875" bestFit="1" customWidth="1"/>
    <col min="21" max="21" width="5" bestFit="1" customWidth="1"/>
    <col min="22" max="22" width="15.26953125" bestFit="1" customWidth="1"/>
    <col min="23" max="23" width="8.26953125" bestFit="1" customWidth="1"/>
    <col min="24" max="25" width="4.90625" bestFit="1" customWidth="1"/>
    <col min="26" max="26" width="19.7265625" bestFit="1" customWidth="1"/>
    <col min="27" max="27" width="15.26953125" bestFit="1" customWidth="1"/>
    <col min="28" max="28" width="9.6328125" bestFit="1" customWidth="1"/>
    <col min="29" max="29" width="8.7265625" bestFit="1" customWidth="1"/>
    <col min="30" max="30" width="11.453125" bestFit="1" customWidth="1"/>
    <col min="31" max="31" width="12.26953125" bestFit="1" customWidth="1"/>
    <col min="32" max="32" width="12" bestFit="1" customWidth="1"/>
    <col min="33" max="33" width="11.7265625" bestFit="1" customWidth="1"/>
    <col min="34" max="34" width="8.453125" bestFit="1" customWidth="1"/>
    <col min="35" max="35" width="8.81640625" bestFit="1" customWidth="1"/>
    <col min="36" max="36" width="8.1796875" bestFit="1" customWidth="1"/>
    <col min="37" max="37" width="10.453125" bestFit="1" customWidth="1"/>
    <col min="38" max="38" width="12.6328125" bestFit="1" customWidth="1"/>
    <col min="39" max="39" width="10.90625" bestFit="1" customWidth="1"/>
    <col min="40" max="40" width="11.453125" bestFit="1" customWidth="1"/>
    <col min="41" max="41" width="13.1796875" bestFit="1" customWidth="1"/>
    <col min="42" max="42" width="10.7265625" bestFit="1" customWidth="1"/>
    <col min="43" max="43" width="13.453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35">
      <c r="A3" s="77" t="s">
        <v>175</v>
      </c>
      <c r="B3" s="77" t="s">
        <v>62</v>
      </c>
    </row>
    <row r="4" spans="1:42" x14ac:dyDescent="0.3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205</v>
      </c>
      <c r="AG4" s="171" t="s">
        <v>204</v>
      </c>
      <c r="AH4" s="171" t="s">
        <v>209</v>
      </c>
      <c r="AI4" s="171" t="s">
        <v>239</v>
      </c>
      <c r="AJ4" s="171" t="s">
        <v>232</v>
      </c>
      <c r="AK4" s="171" t="s">
        <v>111</v>
      </c>
      <c r="AL4" s="171" t="s">
        <v>116</v>
      </c>
      <c r="AM4" s="171" t="s">
        <v>316</v>
      </c>
      <c r="AN4" s="171" t="s">
        <v>317</v>
      </c>
      <c r="AO4" s="171" t="s">
        <v>119</v>
      </c>
      <c r="AP4" s="171" t="s">
        <v>61</v>
      </c>
    </row>
    <row r="5" spans="1:42" x14ac:dyDescent="0.35">
      <c r="A5" s="78" t="s">
        <v>110</v>
      </c>
      <c r="B5" s="240"/>
      <c r="C5" s="240"/>
      <c r="D5" s="240">
        <v>1462906</v>
      </c>
      <c r="E5" s="240">
        <v>3976570.3037563716</v>
      </c>
      <c r="F5" s="240"/>
      <c r="G5" s="240">
        <v>19628.463153389632</v>
      </c>
      <c r="H5" s="240"/>
      <c r="I5" s="240"/>
      <c r="J5" s="240">
        <v>428226</v>
      </c>
      <c r="K5" s="240">
        <v>85676.999999999985</v>
      </c>
      <c r="L5" s="240"/>
      <c r="M5" s="240">
        <v>75934</v>
      </c>
      <c r="N5" s="240">
        <v>234</v>
      </c>
      <c r="O5" s="240"/>
      <c r="P5" s="240">
        <v>2444654.0000000005</v>
      </c>
      <c r="Q5" s="240"/>
      <c r="R5" s="240">
        <v>11357.999999999998</v>
      </c>
      <c r="S5" s="240">
        <v>18835534.506244905</v>
      </c>
      <c r="T5" s="240"/>
      <c r="U5" s="240">
        <v>990077.99999999988</v>
      </c>
      <c r="V5" s="240"/>
      <c r="W5" s="240"/>
      <c r="X5" s="240"/>
      <c r="Y5" s="240">
        <v>85935</v>
      </c>
      <c r="Z5" s="240"/>
      <c r="AA5" s="240">
        <v>11983363.507623456</v>
      </c>
      <c r="AB5" s="240">
        <v>20058701.79781311</v>
      </c>
      <c r="AC5" s="240"/>
      <c r="AD5" s="240"/>
      <c r="AE5" s="240"/>
      <c r="AF5" s="240"/>
      <c r="AG5" s="240"/>
      <c r="AH5" s="240">
        <v>2689644.8973720809</v>
      </c>
      <c r="AI5" s="240"/>
      <c r="AJ5" s="240"/>
      <c r="AK5" s="240"/>
      <c r="AL5" s="240"/>
      <c r="AM5" s="240"/>
      <c r="AN5" s="240"/>
      <c r="AO5" s="240"/>
      <c r="AP5" s="240">
        <v>63148445.475963317</v>
      </c>
    </row>
    <row r="6" spans="1:42" x14ac:dyDescent="0.3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>
        <v>0</v>
      </c>
      <c r="AI6" s="240"/>
      <c r="AJ6" s="240"/>
      <c r="AK6" s="240"/>
      <c r="AL6" s="240"/>
      <c r="AM6" s="240"/>
      <c r="AN6" s="240"/>
      <c r="AO6" s="240"/>
      <c r="AP6" s="240">
        <v>13090417.500000002</v>
      </c>
    </row>
    <row r="7" spans="1:42" x14ac:dyDescent="0.35">
      <c r="A7" s="79">
        <v>2030</v>
      </c>
      <c r="B7" s="240"/>
      <c r="C7" s="240"/>
      <c r="D7" s="240">
        <v>363995</v>
      </c>
      <c r="E7" s="240">
        <v>1732260.3299588533</v>
      </c>
      <c r="F7" s="240"/>
      <c r="G7" s="240">
        <v>6782.1960455237531</v>
      </c>
      <c r="H7" s="240"/>
      <c r="I7" s="240"/>
      <c r="J7" s="240">
        <v>142742</v>
      </c>
      <c r="K7" s="240">
        <v>0</v>
      </c>
      <c r="L7" s="240"/>
      <c r="M7" s="240">
        <v>0</v>
      </c>
      <c r="N7" s="240">
        <v>78</v>
      </c>
      <c r="O7" s="240"/>
      <c r="P7" s="240">
        <v>725968.00000000023</v>
      </c>
      <c r="Q7" s="240"/>
      <c r="R7" s="240">
        <v>3786</v>
      </c>
      <c r="S7" s="240">
        <v>8343771.5304011963</v>
      </c>
      <c r="T7" s="240"/>
      <c r="U7" s="240">
        <v>330025.99999999988</v>
      </c>
      <c r="V7" s="240"/>
      <c r="W7" s="240"/>
      <c r="X7" s="240"/>
      <c r="Y7" s="240">
        <v>28645.000000000004</v>
      </c>
      <c r="Z7" s="240"/>
      <c r="AA7" s="240">
        <v>3645941.0625492036</v>
      </c>
      <c r="AB7" s="240">
        <v>9708262.3203322031</v>
      </c>
      <c r="AC7" s="240"/>
      <c r="AD7" s="240"/>
      <c r="AE7" s="240"/>
      <c r="AF7" s="240"/>
      <c r="AG7" s="240"/>
      <c r="AH7" s="240">
        <v>1343774.4748452469</v>
      </c>
      <c r="AI7" s="240"/>
      <c r="AJ7" s="240"/>
      <c r="AK7" s="240"/>
      <c r="AL7" s="240"/>
      <c r="AM7" s="240"/>
      <c r="AN7" s="240"/>
      <c r="AO7" s="240"/>
      <c r="AP7" s="240">
        <v>26376031.914132226</v>
      </c>
    </row>
    <row r="8" spans="1:42" x14ac:dyDescent="0.35">
      <c r="A8" s="79">
        <v>2050</v>
      </c>
      <c r="B8" s="240"/>
      <c r="C8" s="240"/>
      <c r="D8" s="240">
        <v>369777</v>
      </c>
      <c r="E8" s="240">
        <v>1487222.9737975183</v>
      </c>
      <c r="F8" s="240"/>
      <c r="G8" s="240">
        <v>8404.7671078658768</v>
      </c>
      <c r="H8" s="240"/>
      <c r="I8" s="240"/>
      <c r="J8" s="240">
        <v>142742</v>
      </c>
      <c r="K8" s="240">
        <v>0</v>
      </c>
      <c r="L8" s="240"/>
      <c r="M8" s="240">
        <v>0</v>
      </c>
      <c r="N8" s="240">
        <v>78</v>
      </c>
      <c r="O8" s="240"/>
      <c r="P8" s="240">
        <v>723032.00000000023</v>
      </c>
      <c r="Q8" s="240"/>
      <c r="R8" s="240">
        <v>3785.9999999999995</v>
      </c>
      <c r="S8" s="240">
        <v>6138253.309177042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5668588.4450742528</v>
      </c>
      <c r="AB8" s="240">
        <v>7435570.144147574</v>
      </c>
      <c r="AC8" s="240"/>
      <c r="AD8" s="240"/>
      <c r="AE8" s="240"/>
      <c r="AF8" s="240"/>
      <c r="AG8" s="240"/>
      <c r="AH8" s="240">
        <v>1345870.4225268338</v>
      </c>
      <c r="AI8" s="240"/>
      <c r="AJ8" s="240"/>
      <c r="AK8" s="240"/>
      <c r="AL8" s="240"/>
      <c r="AM8" s="240"/>
      <c r="AN8" s="240"/>
      <c r="AO8" s="240"/>
      <c r="AP8" s="240">
        <v>23681996.061831087</v>
      </c>
    </row>
    <row r="9" spans="1:42" x14ac:dyDescent="0.35">
      <c r="A9" s="78" t="s">
        <v>113</v>
      </c>
      <c r="B9" s="240"/>
      <c r="C9" s="240">
        <v>160476.65943674749</v>
      </c>
      <c r="D9" s="240"/>
      <c r="E9" s="240"/>
      <c r="F9" s="240"/>
      <c r="G9" s="240"/>
      <c r="H9" s="240"/>
      <c r="I9" s="240"/>
      <c r="J9" s="240"/>
      <c r="K9" s="240">
        <v>31407188.717306275</v>
      </c>
      <c r="L9" s="240"/>
      <c r="M9" s="240">
        <v>1972405.2142957624</v>
      </c>
      <c r="N9" s="240"/>
      <c r="O9" s="240">
        <v>5421074.2654714445</v>
      </c>
      <c r="P9" s="240"/>
      <c r="Q9" s="240">
        <v>0</v>
      </c>
      <c r="R9" s="240">
        <v>15081844.657769307</v>
      </c>
      <c r="S9" s="240"/>
      <c r="T9" s="240">
        <v>3880387.035000985</v>
      </c>
      <c r="U9" s="240">
        <v>14489719.686268166</v>
      </c>
      <c r="V9" s="240"/>
      <c r="W9" s="240"/>
      <c r="X9" s="240"/>
      <c r="Y9" s="240">
        <v>2197289.4279423021</v>
      </c>
      <c r="Z9" s="240">
        <v>99759.140137556271</v>
      </c>
      <c r="AA9" s="240"/>
      <c r="AB9" s="240"/>
      <c r="AC9" s="240"/>
      <c r="AD9" s="240"/>
      <c r="AE9" s="240"/>
      <c r="AF9" s="240">
        <v>3145055.9717076914</v>
      </c>
      <c r="AG9" s="240">
        <v>1533338.68235184</v>
      </c>
      <c r="AH9" s="240"/>
      <c r="AI9" s="240">
        <v>543124.53043661604</v>
      </c>
      <c r="AJ9" s="240"/>
      <c r="AK9" s="240"/>
      <c r="AL9" s="240"/>
      <c r="AM9" s="240"/>
      <c r="AN9" s="240"/>
      <c r="AO9" s="240"/>
      <c r="AP9" s="240">
        <v>79931663.988124683</v>
      </c>
    </row>
    <row r="10" spans="1:42" x14ac:dyDescent="0.3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0</v>
      </c>
      <c r="AG10" s="240">
        <v>0</v>
      </c>
      <c r="AH10" s="240"/>
      <c r="AI10" s="240">
        <v>240377.87559326066</v>
      </c>
      <c r="AJ10" s="240"/>
      <c r="AK10" s="240"/>
      <c r="AL10" s="240"/>
      <c r="AM10" s="240"/>
      <c r="AN10" s="240"/>
      <c r="AO10" s="240"/>
      <c r="AP10" s="240">
        <v>35984266.24676016</v>
      </c>
    </row>
    <row r="11" spans="1:42" x14ac:dyDescent="0.35">
      <c r="A11" s="79">
        <v>2030</v>
      </c>
      <c r="B11" s="240"/>
      <c r="C11" s="240">
        <v>52803.99598320001</v>
      </c>
      <c r="D11" s="240"/>
      <c r="E11" s="240"/>
      <c r="F11" s="240"/>
      <c r="G11" s="240"/>
      <c r="H11" s="240"/>
      <c r="I11" s="240"/>
      <c r="J11" s="240"/>
      <c r="K11" s="240">
        <v>10593848.951226842</v>
      </c>
      <c r="L11" s="240"/>
      <c r="M11" s="240">
        <v>662244.75002954563</v>
      </c>
      <c r="N11" s="240"/>
      <c r="O11" s="240">
        <v>0</v>
      </c>
      <c r="P11" s="240"/>
      <c r="Q11" s="240">
        <v>0</v>
      </c>
      <c r="R11" s="240">
        <v>5085431.9147653691</v>
      </c>
      <c r="S11" s="240"/>
      <c r="T11" s="240">
        <v>1306364.3816064557</v>
      </c>
      <c r="U11" s="240">
        <v>4879942.9933971986</v>
      </c>
      <c r="V11" s="240"/>
      <c r="W11" s="240"/>
      <c r="X11" s="240"/>
      <c r="Y11" s="240">
        <v>751256.85194279999</v>
      </c>
      <c r="Z11" s="240">
        <v>33282.518680320005</v>
      </c>
      <c r="AA11" s="240"/>
      <c r="AB11" s="240"/>
      <c r="AC11" s="240"/>
      <c r="AD11" s="240"/>
      <c r="AE11" s="240"/>
      <c r="AF11" s="240">
        <v>1885856.9993999996</v>
      </c>
      <c r="AG11" s="240">
        <v>919429.57854383998</v>
      </c>
      <c r="AH11" s="240"/>
      <c r="AI11" s="240">
        <v>181534.73363186989</v>
      </c>
      <c r="AJ11" s="240"/>
      <c r="AK11" s="240"/>
      <c r="AL11" s="240"/>
      <c r="AM11" s="240"/>
      <c r="AN11" s="240"/>
      <c r="AO11" s="240"/>
      <c r="AP11" s="240">
        <v>26351997.669207439</v>
      </c>
    </row>
    <row r="12" spans="1:42" x14ac:dyDescent="0.35">
      <c r="A12" s="79">
        <v>2050</v>
      </c>
      <c r="B12" s="240"/>
      <c r="C12" s="240">
        <v>35257.571224615385</v>
      </c>
      <c r="D12" s="240"/>
      <c r="E12" s="240"/>
      <c r="F12" s="240"/>
      <c r="G12" s="240"/>
      <c r="H12" s="240"/>
      <c r="I12" s="240"/>
      <c r="J12" s="240"/>
      <c r="K12" s="240">
        <v>7073581.7808094211</v>
      </c>
      <c r="L12" s="240"/>
      <c r="M12" s="240">
        <v>442185.12268887804</v>
      </c>
      <c r="N12" s="240"/>
      <c r="O12" s="240">
        <v>0</v>
      </c>
      <c r="P12" s="240"/>
      <c r="Q12" s="240">
        <v>0</v>
      </c>
      <c r="R12" s="240">
        <v>3395575.9333028104</v>
      </c>
      <c r="S12" s="240"/>
      <c r="T12" s="240">
        <v>872267.98601462564</v>
      </c>
      <c r="U12" s="240">
        <v>3258369.6452917154</v>
      </c>
      <c r="V12" s="240"/>
      <c r="W12" s="240"/>
      <c r="X12" s="240"/>
      <c r="Y12" s="240">
        <v>501619.08151384618</v>
      </c>
      <c r="Z12" s="240">
        <v>22222.953984</v>
      </c>
      <c r="AA12" s="240"/>
      <c r="AB12" s="240"/>
      <c r="AC12" s="240"/>
      <c r="AD12" s="240"/>
      <c r="AE12" s="240"/>
      <c r="AF12" s="240">
        <v>1259198.9723076918</v>
      </c>
      <c r="AG12" s="240">
        <v>613909.10380799999</v>
      </c>
      <c r="AH12" s="240"/>
      <c r="AI12" s="240">
        <v>121211.92121148547</v>
      </c>
      <c r="AJ12" s="240"/>
      <c r="AK12" s="240"/>
      <c r="AL12" s="240"/>
      <c r="AM12" s="240"/>
      <c r="AN12" s="240"/>
      <c r="AO12" s="240"/>
      <c r="AP12" s="240">
        <v>17595400.072157089</v>
      </c>
    </row>
    <row r="13" spans="1:42" x14ac:dyDescent="0.35">
      <c r="A13" s="78" t="s">
        <v>128</v>
      </c>
      <c r="B13" s="240">
        <v>182574.19618217932</v>
      </c>
      <c r="C13" s="240">
        <v>271198.07895647816</v>
      </c>
      <c r="D13" s="240"/>
      <c r="E13" s="240"/>
      <c r="F13" s="240">
        <v>281468.55244752642</v>
      </c>
      <c r="G13" s="240"/>
      <c r="H13" s="240">
        <v>153719.02470026657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261440.58739406872</v>
      </c>
      <c r="X13" s="240"/>
      <c r="Y13" s="240"/>
      <c r="Z13" s="240"/>
      <c r="AA13" s="240"/>
      <c r="AB13" s="240"/>
      <c r="AC13" s="240">
        <v>530803.61683038203</v>
      </c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>
        <v>9638396.1067842171</v>
      </c>
    </row>
    <row r="14" spans="1:42" x14ac:dyDescent="0.3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>
        <v>3083197.0190696353</v>
      </c>
    </row>
    <row r="15" spans="1:42" x14ac:dyDescent="0.35">
      <c r="A15" s="79">
        <v>2030</v>
      </c>
      <c r="B15" s="240">
        <v>60789.12467762841</v>
      </c>
      <c r="C15" s="240">
        <v>81052.166236837889</v>
      </c>
      <c r="D15" s="240"/>
      <c r="E15" s="240"/>
      <c r="F15" s="240">
        <v>93716.56721134379</v>
      </c>
      <c r="G15" s="240"/>
      <c r="H15" s="240">
        <v>52683.90805394463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89603.169774824273</v>
      </c>
      <c r="X15" s="240"/>
      <c r="Y15" s="240"/>
      <c r="Z15" s="240"/>
      <c r="AA15" s="240"/>
      <c r="AB15" s="240"/>
      <c r="AC15" s="240">
        <v>181921.58711858263</v>
      </c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>
        <v>3209159.2069398002</v>
      </c>
    </row>
    <row r="16" spans="1:42" x14ac:dyDescent="0.35">
      <c r="A16" s="79">
        <v>2050</v>
      </c>
      <c r="B16" s="240">
        <v>63381.970906546776</v>
      </c>
      <c r="C16" s="240">
        <v>190145.9127196403</v>
      </c>
      <c r="D16" s="240"/>
      <c r="E16" s="240"/>
      <c r="F16" s="240">
        <v>97713.871814259604</v>
      </c>
      <c r="G16" s="240"/>
      <c r="H16" s="240">
        <v>37765.090998484113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64229.704767421834</v>
      </c>
      <c r="X16" s="240"/>
      <c r="Y16" s="240"/>
      <c r="Z16" s="240"/>
      <c r="AA16" s="240"/>
      <c r="AB16" s="240"/>
      <c r="AC16" s="240">
        <v>130405.76422476556</v>
      </c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>
        <v>3346039.8807747816</v>
      </c>
    </row>
    <row r="17" spans="1:42" x14ac:dyDescent="0.3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2409228.8153129481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781013.62674844905</v>
      </c>
      <c r="AE17" s="240">
        <v>8241034.023743568</v>
      </c>
      <c r="AF17" s="240"/>
      <c r="AG17" s="240"/>
      <c r="AH17" s="240"/>
      <c r="AI17" s="240"/>
      <c r="AJ17" s="240">
        <v>680920.9090662899</v>
      </c>
      <c r="AK17" s="240"/>
      <c r="AL17" s="240"/>
      <c r="AM17" s="240">
        <v>1400000.0000000002</v>
      </c>
      <c r="AN17" s="240">
        <v>350000.00000000006</v>
      </c>
      <c r="AO17" s="240"/>
      <c r="AP17" s="240">
        <v>16810390.374871254</v>
      </c>
    </row>
    <row r="18" spans="1:42" x14ac:dyDescent="0.3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/>
      <c r="AH18" s="240"/>
      <c r="AI18" s="240"/>
      <c r="AJ18" s="240">
        <v>112887.06079513082</v>
      </c>
      <c r="AK18" s="240"/>
      <c r="AL18" s="240"/>
      <c r="AM18" s="240">
        <v>0</v>
      </c>
      <c r="AN18" s="240">
        <v>0</v>
      </c>
      <c r="AO18" s="240"/>
      <c r="AP18" s="240">
        <v>6209404.1530503789</v>
      </c>
    </row>
    <row r="19" spans="1:42" x14ac:dyDescent="0.3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508461.23570688552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282439.84219338826</v>
      </c>
      <c r="AE19" s="240">
        <v>2876672.8817107957</v>
      </c>
      <c r="AF19" s="240"/>
      <c r="AG19" s="240"/>
      <c r="AH19" s="240"/>
      <c r="AI19" s="240"/>
      <c r="AJ19" s="240">
        <v>305708.47942996811</v>
      </c>
      <c r="AK19" s="240"/>
      <c r="AL19" s="240"/>
      <c r="AM19" s="240">
        <v>560000</v>
      </c>
      <c r="AN19" s="240">
        <v>140000</v>
      </c>
      <c r="AO19" s="240"/>
      <c r="AP19" s="240">
        <v>5656013.4390410371</v>
      </c>
    </row>
    <row r="20" spans="1:42" x14ac:dyDescent="0.3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7002.3670705014374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288791.39716006076</v>
      </c>
      <c r="AE20" s="240">
        <v>2354122.6497080862</v>
      </c>
      <c r="AF20" s="240"/>
      <c r="AG20" s="240"/>
      <c r="AH20" s="240"/>
      <c r="AI20" s="240"/>
      <c r="AJ20" s="240">
        <v>262325.36884119094</v>
      </c>
      <c r="AK20" s="240"/>
      <c r="AL20" s="240"/>
      <c r="AM20" s="240">
        <v>840000.00000000023</v>
      </c>
      <c r="AN20" s="240">
        <v>210000.00000000006</v>
      </c>
      <c r="AO20" s="240"/>
      <c r="AP20" s="240">
        <v>4944972.7827798389</v>
      </c>
    </row>
    <row r="21" spans="1:42" x14ac:dyDescent="0.3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/>
      <c r="AH21" s="240"/>
      <c r="AI21" s="240"/>
      <c r="AJ21" s="240">
        <v>104203.4407339669</v>
      </c>
      <c r="AK21" s="240"/>
      <c r="AL21" s="240"/>
      <c r="AM21" s="240"/>
      <c r="AN21" s="240"/>
      <c r="AO21" s="240">
        <v>2495221.9473550571</v>
      </c>
      <c r="AP21" s="240">
        <v>2599425.3880890235</v>
      </c>
    </row>
    <row r="22" spans="1:42" x14ac:dyDescent="0.3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/>
      <c r="AH22" s="240"/>
      <c r="AI22" s="240"/>
      <c r="AJ22" s="240">
        <v>104203.4407339669</v>
      </c>
      <c r="AK22" s="240"/>
      <c r="AL22" s="240"/>
      <c r="AM22" s="240"/>
      <c r="AN22" s="240"/>
      <c r="AO22" s="240">
        <v>827693.20492220437</v>
      </c>
      <c r="AP22" s="240">
        <v>931896.64565617125</v>
      </c>
    </row>
    <row r="23" spans="1:42" x14ac:dyDescent="0.3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/>
      <c r="AH23" s="240"/>
      <c r="AI23" s="240"/>
      <c r="AJ23" s="240">
        <v>0</v>
      </c>
      <c r="AK23" s="240"/>
      <c r="AL23" s="240"/>
      <c r="AM23" s="240"/>
      <c r="AN23" s="240"/>
      <c r="AO23" s="240">
        <v>792674.90695329418</v>
      </c>
      <c r="AP23" s="240">
        <v>792674.90695329418</v>
      </c>
    </row>
    <row r="24" spans="1:42" x14ac:dyDescent="0.3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/>
      <c r="AH24" s="240"/>
      <c r="AI24" s="240"/>
      <c r="AJ24" s="240">
        <v>0</v>
      </c>
      <c r="AK24" s="240"/>
      <c r="AL24" s="240"/>
      <c r="AM24" s="240"/>
      <c r="AN24" s="240"/>
      <c r="AO24" s="240">
        <v>874853.83547955821</v>
      </c>
      <c r="AP24" s="240">
        <v>874853.83547955821</v>
      </c>
    </row>
    <row r="25" spans="1:42" x14ac:dyDescent="0.35">
      <c r="A25" s="78" t="s">
        <v>115</v>
      </c>
      <c r="B25" s="240"/>
      <c r="C25" s="240"/>
      <c r="D25" s="240"/>
      <c r="E25" s="240">
        <v>1104917.540535497</v>
      </c>
      <c r="F25" s="240"/>
      <c r="G25" s="240">
        <v>7636.0950271596812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13159775.655597847</v>
      </c>
      <c r="T25" s="240"/>
      <c r="U25" s="240"/>
      <c r="V25" s="240"/>
      <c r="W25" s="240"/>
      <c r="X25" s="240"/>
      <c r="Y25" s="240"/>
      <c r="Z25" s="240"/>
      <c r="AA25" s="240"/>
      <c r="AB25" s="240">
        <v>18804392.567238241</v>
      </c>
      <c r="AC25" s="240"/>
      <c r="AD25" s="240"/>
      <c r="AE25" s="240"/>
      <c r="AF25" s="240"/>
      <c r="AG25" s="240"/>
      <c r="AH25" s="240"/>
      <c r="AI25" s="240"/>
      <c r="AJ25" s="240"/>
      <c r="AK25" s="240">
        <v>44338131.800235838</v>
      </c>
      <c r="AL25" s="240">
        <v>2621440.9505044203</v>
      </c>
      <c r="AM25" s="240"/>
      <c r="AN25" s="240"/>
      <c r="AO25" s="240"/>
      <c r="AP25" s="240">
        <v>80036294.609138995</v>
      </c>
    </row>
    <row r="26" spans="1:42" x14ac:dyDescent="0.3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/>
      <c r="AI26" s="240"/>
      <c r="AJ26" s="240"/>
      <c r="AK26" s="240">
        <v>8803491.7355084848</v>
      </c>
      <c r="AL26" s="240">
        <v>944815.08868008247</v>
      </c>
      <c r="AM26" s="240"/>
      <c r="AN26" s="240"/>
      <c r="AO26" s="240"/>
      <c r="AP26" s="240">
        <v>35015134.317045711</v>
      </c>
    </row>
    <row r="27" spans="1:42" x14ac:dyDescent="0.35">
      <c r="A27" s="79">
        <v>2030</v>
      </c>
      <c r="B27" s="240"/>
      <c r="C27" s="240"/>
      <c r="D27" s="240"/>
      <c r="E27" s="240">
        <v>218594.75592337913</v>
      </c>
      <c r="F27" s="240"/>
      <c r="G27" s="240">
        <v>2260.7320151745844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2781257.1768003991</v>
      </c>
      <c r="T27" s="240"/>
      <c r="U27" s="240"/>
      <c r="V27" s="240"/>
      <c r="W27" s="240"/>
      <c r="X27" s="240"/>
      <c r="Y27" s="240"/>
      <c r="Z27" s="240"/>
      <c r="AA27" s="240"/>
      <c r="AB27" s="240">
        <v>3236087.4401107342</v>
      </c>
      <c r="AC27" s="240"/>
      <c r="AD27" s="240"/>
      <c r="AE27" s="240"/>
      <c r="AF27" s="240"/>
      <c r="AG27" s="240"/>
      <c r="AH27" s="240"/>
      <c r="AI27" s="240"/>
      <c r="AJ27" s="240"/>
      <c r="AK27" s="240">
        <v>20174420.269680187</v>
      </c>
      <c r="AL27" s="240">
        <v>778530.06028871727</v>
      </c>
      <c r="AM27" s="240"/>
      <c r="AN27" s="240"/>
      <c r="AO27" s="240"/>
      <c r="AP27" s="240">
        <v>27191150.434818592</v>
      </c>
    </row>
    <row r="28" spans="1:42" x14ac:dyDescent="0.35">
      <c r="A28" s="79">
        <v>2050</v>
      </c>
      <c r="B28" s="240"/>
      <c r="C28" s="240"/>
      <c r="D28" s="240"/>
      <c r="E28" s="240">
        <v>62557.791754974962</v>
      </c>
      <c r="F28" s="240"/>
      <c r="G28" s="240">
        <v>933.86301198509727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682028.14546411554</v>
      </c>
      <c r="T28" s="240"/>
      <c r="U28" s="240"/>
      <c r="V28" s="240"/>
      <c r="W28" s="240"/>
      <c r="X28" s="240"/>
      <c r="Y28" s="240"/>
      <c r="Z28" s="240"/>
      <c r="AA28" s="240"/>
      <c r="AB28" s="240">
        <v>826174.46046084131</v>
      </c>
      <c r="AC28" s="240"/>
      <c r="AD28" s="240"/>
      <c r="AE28" s="240"/>
      <c r="AF28" s="240"/>
      <c r="AG28" s="240"/>
      <c r="AH28" s="240"/>
      <c r="AI28" s="240"/>
      <c r="AJ28" s="240"/>
      <c r="AK28" s="240">
        <v>15360219.79504716</v>
      </c>
      <c r="AL28" s="240">
        <v>898095.8015356207</v>
      </c>
      <c r="AM28" s="240"/>
      <c r="AN28" s="240"/>
      <c r="AO28" s="240"/>
      <c r="AP28" s="240">
        <v>17830009.8572747</v>
      </c>
    </row>
    <row r="29" spans="1:42" x14ac:dyDescent="0.3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9172255.2865279783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>
        <v>9172255.2865279783</v>
      </c>
    </row>
    <row r="30" spans="1:42" x14ac:dyDescent="0.3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>
        <v>0</v>
      </c>
    </row>
    <row r="31" spans="1:42" x14ac:dyDescent="0.3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5499921.7781775333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>
        <v>5499921.7781775333</v>
      </c>
    </row>
    <row r="32" spans="1:42" x14ac:dyDescent="0.3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3672333.5083504454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>
        <v>3672333.5083504454</v>
      </c>
    </row>
    <row r="33" spans="1:42" x14ac:dyDescent="0.3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>
        <v>2453513.5931258025</v>
      </c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>
        <v>2453513.5931258025</v>
      </c>
    </row>
    <row r="34" spans="1:42" x14ac:dyDescent="0.3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>
        <v>678407.81727843033</v>
      </c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>
        <v>678407.81727843033</v>
      </c>
    </row>
    <row r="35" spans="1:42" x14ac:dyDescent="0.3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>
        <v>955338.99821865035</v>
      </c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>
        <v>955338.99821865035</v>
      </c>
    </row>
    <row r="36" spans="1:42" x14ac:dyDescent="0.3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>
        <v>819766.77762872155</v>
      </c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>
        <v>819766.77762872155</v>
      </c>
    </row>
    <row r="37" spans="1:42" x14ac:dyDescent="0.35">
      <c r="A37" s="78" t="s">
        <v>320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2500000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>
        <v>2500000</v>
      </c>
    </row>
    <row r="38" spans="1:42" x14ac:dyDescent="0.3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>
        <v>0</v>
      </c>
    </row>
    <row r="39" spans="1:42" x14ac:dyDescent="0.3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1000000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>
        <v>1000000</v>
      </c>
    </row>
    <row r="40" spans="1:42" x14ac:dyDescent="0.3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1500000.0000000002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>
        <v>1500000.0000000002</v>
      </c>
    </row>
    <row r="41" spans="1:42" x14ac:dyDescent="0.35">
      <c r="A41" s="78" t="s">
        <v>61</v>
      </c>
      <c r="B41" s="240">
        <v>182574.19618217932</v>
      </c>
      <c r="C41" s="240">
        <v>431674.73839322571</v>
      </c>
      <c r="D41" s="240">
        <v>1462906</v>
      </c>
      <c r="E41" s="240">
        <v>5081487.8442918686</v>
      </c>
      <c r="F41" s="240">
        <v>281468.55244752642</v>
      </c>
      <c r="G41" s="240">
        <v>27264.558180549313</v>
      </c>
      <c r="H41" s="240">
        <v>153719.02470026657</v>
      </c>
      <c r="I41" s="240">
        <v>1445379.0531089196</v>
      </c>
      <c r="J41" s="240">
        <v>428226</v>
      </c>
      <c r="K41" s="240">
        <v>40665121.003834255</v>
      </c>
      <c r="L41" s="240">
        <v>1513844.376677237</v>
      </c>
      <c r="M41" s="240">
        <v>6957568.0296087107</v>
      </c>
      <c r="N41" s="240">
        <v>2948427</v>
      </c>
      <c r="O41" s="240">
        <v>5421074.2654714445</v>
      </c>
      <c r="P41" s="240">
        <v>2444654.0000000005</v>
      </c>
      <c r="Q41" s="240">
        <v>692260.49385742994</v>
      </c>
      <c r="R41" s="240">
        <v>16751584.939757437</v>
      </c>
      <c r="S41" s="240">
        <v>31995310.161842756</v>
      </c>
      <c r="T41" s="240">
        <v>3880387.035000985</v>
      </c>
      <c r="U41" s="240">
        <v>15479797.686268166</v>
      </c>
      <c r="V41" s="240">
        <v>2647325.8446415998</v>
      </c>
      <c r="W41" s="240">
        <v>261440.58739406872</v>
      </c>
      <c r="X41" s="240">
        <v>2453513.5931258025</v>
      </c>
      <c r="Y41" s="240">
        <v>2283224.4279423021</v>
      </c>
      <c r="Z41" s="240">
        <v>99759.140137556271</v>
      </c>
      <c r="AA41" s="240">
        <v>11983363.507623456</v>
      </c>
      <c r="AB41" s="240">
        <v>38863094.365051351</v>
      </c>
      <c r="AC41" s="240">
        <v>530803.61683038203</v>
      </c>
      <c r="AD41" s="240">
        <v>781013.62674844905</v>
      </c>
      <c r="AE41" s="240">
        <v>8241034.023743568</v>
      </c>
      <c r="AF41" s="240">
        <v>3145055.9717076914</v>
      </c>
      <c r="AG41" s="240">
        <v>1533338.68235184</v>
      </c>
      <c r="AH41" s="240">
        <v>2689644.8973720809</v>
      </c>
      <c r="AI41" s="240">
        <v>543124.53043661604</v>
      </c>
      <c r="AJ41" s="240">
        <v>785124.34980025678</v>
      </c>
      <c r="AK41" s="240">
        <v>44338131.800235838</v>
      </c>
      <c r="AL41" s="240">
        <v>2621440.9505044203</v>
      </c>
      <c r="AM41" s="240">
        <v>1400000.0000000002</v>
      </c>
      <c r="AN41" s="240">
        <v>350000.00000000006</v>
      </c>
      <c r="AO41" s="240">
        <v>2495221.9473550571</v>
      </c>
      <c r="AP41" s="240">
        <v>266290384.82262537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N32"/>
  <sheetViews>
    <sheetView zoomScale="90" zoomScaleNormal="90" workbookViewId="0">
      <selection activeCell="B6" sqref="B6:I8"/>
    </sheetView>
  </sheetViews>
  <sheetFormatPr defaultRowHeight="14.5" x14ac:dyDescent="0.35"/>
  <cols>
    <col min="1" max="1" width="21.08984375" bestFit="1" customWidth="1"/>
    <col min="2" max="2" width="15.54296875" bestFit="1" customWidth="1"/>
    <col min="3" max="3" width="8.453125" bestFit="1" customWidth="1"/>
    <col min="4" max="4" width="10.1796875" bestFit="1" customWidth="1"/>
    <col min="5" max="5" width="5.26953125" bestFit="1" customWidth="1"/>
    <col min="6" max="6" width="12.1796875" bestFit="1" customWidth="1"/>
    <col min="7" max="7" width="12.26953125" bestFit="1" customWidth="1"/>
    <col min="8" max="8" width="12.6328125" bestFit="1" customWidth="1"/>
    <col min="9" max="9" width="8.1796875" bestFit="1" customWidth="1"/>
    <col min="10" max="10" width="11" bestFit="1" customWidth="1"/>
    <col min="11" max="11" width="7.7265625" bestFit="1" customWidth="1"/>
    <col min="12" max="12" width="8.453125" bestFit="1" customWidth="1"/>
    <col min="13" max="13" width="13.90625" bestFit="1" customWidth="1"/>
    <col min="14" max="14" width="10.7265625" bestFit="1" customWidth="1"/>
    <col min="15" max="15" width="13.26953125" bestFit="1" customWidth="1"/>
    <col min="16" max="16" width="13.81640625" bestFit="1" customWidth="1"/>
    <col min="17" max="17" width="5.26953125" bestFit="1" customWidth="1"/>
    <col min="18" max="18" width="16" bestFit="1" customWidth="1"/>
    <col min="19" max="19" width="10" bestFit="1" customWidth="1"/>
    <col min="20" max="20" width="8.7265625" bestFit="1" customWidth="1"/>
    <col min="21" max="21" width="12" bestFit="1" customWidth="1"/>
    <col min="22" max="22" width="8.1796875" bestFit="1" customWidth="1"/>
    <col min="23" max="23" width="5.1796875" bestFit="1" customWidth="1"/>
    <col min="24" max="24" width="5.26953125" bestFit="1" customWidth="1"/>
    <col min="25" max="25" width="21" bestFit="1" customWidth="1"/>
    <col min="26" max="26" width="20.7265625" bestFit="1" customWidth="1"/>
    <col min="27" max="27" width="9.1796875" bestFit="1" customWidth="1"/>
    <col min="28" max="28" width="5.1796875" bestFit="1" customWidth="1"/>
    <col min="29" max="29" width="12.81640625" bestFit="1" customWidth="1"/>
    <col min="30" max="30" width="13.81640625" bestFit="1" customWidth="1"/>
    <col min="31" max="32" width="10.1796875" bestFit="1" customWidth="1"/>
    <col min="33" max="33" width="12.1796875" bestFit="1" customWidth="1"/>
    <col min="34" max="34" width="8.453125" bestFit="1" customWidth="1"/>
    <col min="35" max="35" width="15.453125" bestFit="1" customWidth="1"/>
    <col min="36" max="36" width="16" bestFit="1" customWidth="1"/>
    <col min="37" max="37" width="8.81640625" bestFit="1" customWidth="1"/>
    <col min="38" max="38" width="12.54296875" bestFit="1" customWidth="1"/>
    <col min="39" max="39" width="5.7265625" bestFit="1" customWidth="1"/>
    <col min="40" max="40" width="12.26953125" bestFit="1" customWidth="1"/>
    <col min="41" max="41" width="14.54296875" bestFit="1" customWidth="1"/>
    <col min="42" max="42" width="9.54296875" bestFit="1" customWidth="1"/>
    <col min="43" max="43" width="6.81640625" bestFit="1" customWidth="1"/>
    <col min="44" max="44" width="14" bestFit="1" customWidth="1"/>
    <col min="45" max="45" width="6.7265625" bestFit="1" customWidth="1"/>
    <col min="46" max="46" width="9.26953125" bestFit="1" customWidth="1"/>
    <col min="47" max="47" width="8.54296875" bestFit="1" customWidth="1"/>
    <col min="48" max="48" width="11.26953125" bestFit="1" customWidth="1"/>
    <col min="49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72656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72656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72656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72656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7265625" bestFit="1" customWidth="1"/>
    <col min="168" max="169" width="14.26953125" bestFit="1" customWidth="1"/>
    <col min="170" max="173" width="11.7265625" bestFit="1" customWidth="1"/>
    <col min="174" max="175" width="14.26953125" bestFit="1" customWidth="1"/>
    <col min="176" max="176" width="12.26953125" bestFit="1" customWidth="1"/>
  </cols>
  <sheetData>
    <row r="2" spans="1:14" x14ac:dyDescent="0.35">
      <c r="A2" s="77" t="s">
        <v>287</v>
      </c>
      <c r="B2" s="78">
        <v>1</v>
      </c>
    </row>
    <row r="4" spans="1:14" x14ac:dyDescent="0.35">
      <c r="A4" s="77" t="s">
        <v>315</v>
      </c>
      <c r="B4" s="77" t="s">
        <v>62</v>
      </c>
    </row>
    <row r="5" spans="1:14" x14ac:dyDescent="0.35">
      <c r="A5" s="77" t="s">
        <v>60</v>
      </c>
      <c r="B5" s="171" t="s">
        <v>103</v>
      </c>
      <c r="C5" s="171" t="s">
        <v>51</v>
      </c>
      <c r="D5" s="171" t="s">
        <v>6</v>
      </c>
      <c r="E5" s="171" t="s">
        <v>68</v>
      </c>
      <c r="F5" s="171" t="s">
        <v>104</v>
      </c>
      <c r="G5" s="171" t="s">
        <v>116</v>
      </c>
      <c r="H5" s="171" t="s">
        <v>109</v>
      </c>
      <c r="I5" s="171" t="s">
        <v>14</v>
      </c>
      <c r="J5" s="171" t="s">
        <v>96</v>
      </c>
      <c r="K5" s="171" t="s">
        <v>159</v>
      </c>
      <c r="L5" s="171" t="s">
        <v>54</v>
      </c>
      <c r="M5" s="171" t="s">
        <v>160</v>
      </c>
      <c r="N5" s="171" t="s">
        <v>61</v>
      </c>
    </row>
    <row r="6" spans="1:14" x14ac:dyDescent="0.35">
      <c r="A6" s="78">
        <v>2019</v>
      </c>
      <c r="B6" s="76">
        <v>370459.67448149773</v>
      </c>
      <c r="C6" s="76">
        <v>0</v>
      </c>
      <c r="D6" s="76">
        <v>203649.62100550608</v>
      </c>
      <c r="E6" s="76">
        <v>0</v>
      </c>
      <c r="F6" s="76">
        <v>282332.03034110228</v>
      </c>
      <c r="G6" s="76">
        <v>944815.08868008247</v>
      </c>
      <c r="H6" s="76">
        <v>0</v>
      </c>
      <c r="I6" s="76">
        <v>0</v>
      </c>
      <c r="J6" s="76">
        <v>0</v>
      </c>
      <c r="K6" s="76">
        <v>142742</v>
      </c>
      <c r="L6" s="76">
        <v>420629.98984142789</v>
      </c>
      <c r="M6" s="76">
        <v>5421074.2654714445</v>
      </c>
      <c r="N6" s="76">
        <v>7785702.6698210612</v>
      </c>
    </row>
    <row r="7" spans="1:14" x14ac:dyDescent="0.35">
      <c r="A7" s="78">
        <v>2030</v>
      </c>
      <c r="B7" s="76">
        <v>2.825725611182861E-2</v>
      </c>
      <c r="C7" s="76">
        <v>2104251.6529704817</v>
      </c>
      <c r="D7" s="76">
        <v>1378.1314027099725</v>
      </c>
      <c r="E7" s="76">
        <v>0</v>
      </c>
      <c r="F7" s="76">
        <v>83024.745280252944</v>
      </c>
      <c r="G7" s="76">
        <v>778530.06028871727</v>
      </c>
      <c r="H7" s="76">
        <v>0</v>
      </c>
      <c r="I7" s="76">
        <v>0</v>
      </c>
      <c r="J7" s="76">
        <v>0</v>
      </c>
      <c r="K7" s="76">
        <v>142742</v>
      </c>
      <c r="L7" s="76">
        <v>388987.86716724106</v>
      </c>
      <c r="M7" s="76">
        <v>0</v>
      </c>
      <c r="N7" s="76">
        <v>3498914.4853666583</v>
      </c>
    </row>
    <row r="8" spans="1:14" x14ac:dyDescent="0.35">
      <c r="A8" s="78">
        <v>2050</v>
      </c>
      <c r="B8" s="76">
        <v>0.18489040050189942</v>
      </c>
      <c r="C8" s="76">
        <v>0</v>
      </c>
      <c r="D8" s="76">
        <v>84573.250737324954</v>
      </c>
      <c r="E8" s="76">
        <v>3.4924596548080444E-10</v>
      </c>
      <c r="F8" s="76">
        <v>178244.52950822099</v>
      </c>
      <c r="G8" s="76">
        <v>898095.8015356207</v>
      </c>
      <c r="H8" s="76">
        <v>20291.01729390231</v>
      </c>
      <c r="I8" s="76">
        <v>9182.8651252902346</v>
      </c>
      <c r="J8" s="76">
        <v>60719.109564821476</v>
      </c>
      <c r="K8" s="76">
        <v>142742</v>
      </c>
      <c r="L8" s="76">
        <v>422384.60108931462</v>
      </c>
      <c r="M8" s="76">
        <v>0</v>
      </c>
      <c r="N8" s="76">
        <v>1816233.3597448962</v>
      </c>
    </row>
    <row r="9" spans="1:14" x14ac:dyDescent="0.35">
      <c r="A9" s="78" t="s">
        <v>61</v>
      </c>
      <c r="B9" s="76">
        <v>370459.88762915425</v>
      </c>
      <c r="C9" s="76">
        <v>2104251.6529704817</v>
      </c>
      <c r="D9" s="76">
        <v>289601.00314554101</v>
      </c>
      <c r="E9" s="76">
        <v>3.4924596548080444E-10</v>
      </c>
      <c r="F9" s="76">
        <v>543601.30512957624</v>
      </c>
      <c r="G9" s="76">
        <v>2621440.9505044203</v>
      </c>
      <c r="H9" s="76">
        <v>20291.01729390231</v>
      </c>
      <c r="I9" s="76">
        <v>9182.8651252902346</v>
      </c>
      <c r="J9" s="76">
        <v>60719.109564821476</v>
      </c>
      <c r="K9" s="76">
        <v>428226</v>
      </c>
      <c r="L9" s="76">
        <v>1232002.4580979836</v>
      </c>
      <c r="M9" s="76">
        <v>5421074.2654714445</v>
      </c>
      <c r="N9" s="76">
        <v>13100850.514932614</v>
      </c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796875" defaultRowHeight="14.5" x14ac:dyDescent="0.35"/>
  <cols>
    <col min="1" max="1" width="34" style="171" bestFit="1" customWidth="1"/>
    <col min="2" max="2" width="15.54296875" style="171" bestFit="1" customWidth="1"/>
    <col min="3" max="3" width="9.36328125" style="171" bestFit="1" customWidth="1"/>
    <col min="4" max="4" width="10.453125" style="171" bestFit="1" customWidth="1"/>
    <col min="5" max="5" width="10.90625" style="171" bestFit="1" customWidth="1"/>
    <col min="6" max="6" width="10.453125" style="171" bestFit="1" customWidth="1"/>
    <col min="7" max="10" width="9.36328125" style="171" bestFit="1" customWidth="1"/>
    <col min="11" max="11" width="12.6328125" style="171" bestFit="1" customWidth="1"/>
    <col min="12" max="12" width="9.36328125" style="171" bestFit="1" customWidth="1"/>
    <col min="13" max="13" width="15.08984375" style="171" bestFit="1" customWidth="1"/>
    <col min="14" max="14" width="9.26953125" style="171" bestFit="1" customWidth="1"/>
    <col min="15" max="15" width="8.1796875" style="171" bestFit="1" customWidth="1"/>
    <col min="16" max="16" width="10.453125" style="171" bestFit="1" customWidth="1"/>
    <col min="17" max="17" width="9.36328125" style="171" bestFit="1" customWidth="1"/>
    <col min="18" max="18" width="19.453125" style="171" bestFit="1" customWidth="1"/>
    <col min="19" max="19" width="19.1796875" style="171" bestFit="1" customWidth="1"/>
    <col min="20" max="20" width="9.36328125" style="171" bestFit="1" customWidth="1"/>
    <col min="21" max="21" width="6.81640625" style="171" bestFit="1" customWidth="1"/>
    <col min="22" max="22" width="12.08984375" style="171" bestFit="1" customWidth="1"/>
    <col min="23" max="23" width="14.7265625" style="171" bestFit="1" customWidth="1"/>
    <col min="24" max="24" width="9.36328125" style="171" bestFit="1" customWidth="1"/>
    <col min="25" max="25" width="11.81640625" style="171" bestFit="1" customWidth="1"/>
    <col min="26" max="27" width="9.36328125" style="171" bestFit="1" customWidth="1"/>
    <col min="28" max="28" width="8.7265625" style="171" bestFit="1" customWidth="1"/>
    <col min="29" max="29" width="10.7265625" style="171" bestFit="1" customWidth="1"/>
    <col min="30" max="30" width="12" style="171" bestFit="1" customWidth="1"/>
    <col min="31" max="32" width="10.1796875" style="171" bestFit="1" customWidth="1"/>
    <col min="33" max="33" width="12.1796875" style="171" bestFit="1" customWidth="1"/>
    <col min="34" max="34" width="8.81640625" style="171" bestFit="1" customWidth="1"/>
    <col min="35" max="35" width="15.453125" style="171" bestFit="1" customWidth="1"/>
    <col min="36" max="36" width="16" style="171" bestFit="1" customWidth="1"/>
    <col min="37" max="37" width="8.81640625" style="171" bestFit="1" customWidth="1"/>
    <col min="38" max="38" width="12.54296875" style="171" bestFit="1" customWidth="1"/>
    <col min="39" max="39" width="10.453125" style="171" bestFit="1" customWidth="1"/>
    <col min="40" max="40" width="12.26953125" style="171" bestFit="1" customWidth="1"/>
    <col min="41" max="41" width="14.54296875" style="171" bestFit="1" customWidth="1"/>
    <col min="42" max="43" width="9.81640625" style="171" bestFit="1" customWidth="1"/>
    <col min="44" max="44" width="14" style="171" bestFit="1" customWidth="1"/>
    <col min="45" max="45" width="6.7265625" style="171" bestFit="1" customWidth="1"/>
    <col min="46" max="46" width="9.26953125" style="171" bestFit="1" customWidth="1"/>
    <col min="47" max="47" width="8.54296875" style="171" bestFit="1" customWidth="1"/>
    <col min="48" max="48" width="12" style="171" bestFit="1" customWidth="1"/>
    <col min="49" max="49" width="12.26953125" style="171" bestFit="1" customWidth="1"/>
    <col min="50" max="50" width="13.26953125" style="171" bestFit="1" customWidth="1"/>
    <col min="51" max="51" width="13.453125" style="171" bestFit="1" customWidth="1"/>
    <col min="52" max="52" width="20.81640625" style="171" bestFit="1" customWidth="1"/>
    <col min="53" max="54" width="12.26953125" style="171" bestFit="1" customWidth="1"/>
    <col min="55" max="55" width="13.26953125" style="171" bestFit="1" customWidth="1"/>
    <col min="56" max="59" width="12.26953125" style="171" bestFit="1" customWidth="1"/>
    <col min="60" max="60" width="13.26953125" style="171" bestFit="1" customWidth="1"/>
    <col min="61" max="61" width="13.453125" style="171" bestFit="1" customWidth="1"/>
    <col min="62" max="62" width="20.81640625" style="171" bestFit="1" customWidth="1"/>
    <col min="63" max="64" width="12.26953125" style="171" bestFit="1" customWidth="1"/>
    <col min="65" max="65" width="13.26953125" style="171" bestFit="1" customWidth="1"/>
    <col min="66" max="66" width="13.453125" style="171" bestFit="1" customWidth="1"/>
    <col min="67" max="67" width="20.81640625" style="171" bestFit="1" customWidth="1"/>
    <col min="68" max="69" width="11.26953125" style="171" bestFit="1" customWidth="1"/>
    <col min="70" max="70" width="13.26953125" style="171" bestFit="1" customWidth="1"/>
    <col min="71" max="71" width="13.453125" style="171" bestFit="1" customWidth="1"/>
    <col min="72" max="72" width="12.26953125" style="171" bestFit="1" customWidth="1"/>
    <col min="73" max="73" width="16.81640625" style="171" bestFit="1" customWidth="1"/>
    <col min="74" max="74" width="12.26953125" style="171" bestFit="1" customWidth="1"/>
    <col min="75" max="75" width="13.26953125" style="171" bestFit="1" customWidth="1"/>
    <col min="76" max="76" width="13.453125" style="171" bestFit="1" customWidth="1"/>
    <col min="77" max="77" width="12.26953125" style="171" bestFit="1" customWidth="1"/>
    <col min="78" max="78" width="16.81640625" style="171" bestFit="1" customWidth="1"/>
    <col min="79" max="79" width="12.26953125" style="171" bestFit="1" customWidth="1"/>
    <col min="80" max="80" width="13.26953125" style="171" bestFit="1" customWidth="1"/>
    <col min="81" max="81" width="13.453125" style="171" bestFit="1" customWidth="1"/>
    <col min="82" max="82" width="12.26953125" style="171" bestFit="1" customWidth="1"/>
    <col min="83" max="83" width="15.81640625" style="171" bestFit="1" customWidth="1"/>
    <col min="84" max="84" width="12.26953125" style="171" bestFit="1" customWidth="1"/>
    <col min="85" max="85" width="13.26953125" style="171" bestFit="1" customWidth="1"/>
    <col min="86" max="89" width="11.7265625" style="171" bestFit="1" customWidth="1"/>
    <col min="90" max="90" width="14.26953125" style="171" bestFit="1" customWidth="1"/>
    <col min="91" max="91" width="13.453125" style="171" bestFit="1" customWidth="1"/>
    <col min="92" max="92" width="20.81640625" style="171" bestFit="1" customWidth="1"/>
    <col min="93" max="94" width="11.7265625" style="171" bestFit="1" customWidth="1"/>
    <col min="95" max="95" width="14.26953125" style="171" bestFit="1" customWidth="1"/>
    <col min="96" max="96" width="13.453125" style="171" bestFit="1" customWidth="1"/>
    <col min="97" max="97" width="20.81640625" style="171" bestFit="1" customWidth="1"/>
    <col min="98" max="99" width="12.26953125" style="171" bestFit="1" customWidth="1"/>
    <col min="100" max="100" width="14.26953125" style="171" bestFit="1" customWidth="1"/>
    <col min="101" max="101" width="12.26953125" style="171" bestFit="1" customWidth="1"/>
    <col min="102" max="103" width="13.26953125" style="171" bestFit="1" customWidth="1"/>
    <col min="104" max="104" width="13.453125" style="171" bestFit="1" customWidth="1"/>
    <col min="105" max="105" width="20.81640625" style="171" bestFit="1" customWidth="1"/>
    <col min="106" max="107" width="12.26953125" style="171" bestFit="1" customWidth="1"/>
    <col min="108" max="109" width="13.26953125" style="171" bestFit="1" customWidth="1"/>
    <col min="110" max="113" width="11.7265625" style="171" bestFit="1" customWidth="1"/>
    <col min="114" max="115" width="13.26953125" style="171" bestFit="1" customWidth="1"/>
    <col min="116" max="116" width="13.453125" style="171" bestFit="1" customWidth="1"/>
    <col min="117" max="117" width="20.81640625" style="171" bestFit="1" customWidth="1"/>
    <col min="118" max="120" width="11.7265625" style="171" bestFit="1" customWidth="1"/>
    <col min="121" max="121" width="13.26953125" style="171" bestFit="1" customWidth="1"/>
    <col min="122" max="122" width="13.453125" style="171" bestFit="1" customWidth="1"/>
    <col min="123" max="123" width="12.26953125" style="171" bestFit="1" customWidth="1"/>
    <col min="124" max="124" width="15.81640625" style="171" bestFit="1" customWidth="1"/>
    <col min="125" max="125" width="12.26953125" style="171" bestFit="1" customWidth="1"/>
    <col min="126" max="127" width="13.26953125" style="171" bestFit="1" customWidth="1"/>
    <col min="128" max="128" width="13.453125" style="171" bestFit="1" customWidth="1"/>
    <col min="129" max="129" width="20.81640625" style="171" bestFit="1" customWidth="1"/>
    <col min="130" max="131" width="11.26953125" style="171" bestFit="1" customWidth="1"/>
    <col min="132" max="133" width="13.26953125" style="171" bestFit="1" customWidth="1"/>
    <col min="134" max="134" width="13.453125" style="171" bestFit="1" customWidth="1"/>
    <col min="135" max="135" width="20.81640625" style="171" bestFit="1" customWidth="1"/>
    <col min="136" max="137" width="12.26953125" style="171" bestFit="1" customWidth="1"/>
    <col min="138" max="139" width="13.26953125" style="171" bestFit="1" customWidth="1"/>
    <col min="140" max="143" width="12.26953125" style="171" bestFit="1" customWidth="1"/>
    <col min="144" max="145" width="13.26953125" style="171" bestFit="1" customWidth="1"/>
    <col min="146" max="146" width="13.453125" style="171" bestFit="1" customWidth="1"/>
    <col min="147" max="147" width="12.26953125" style="171" bestFit="1" customWidth="1"/>
    <col min="148" max="148" width="16.81640625" style="171" bestFit="1" customWidth="1"/>
    <col min="149" max="149" width="12.26953125" style="171" bestFit="1" customWidth="1"/>
    <col min="150" max="151" width="13.26953125" style="171" bestFit="1" customWidth="1"/>
    <col min="152" max="152" width="13.453125" style="171" bestFit="1" customWidth="1"/>
    <col min="153" max="153" width="12.26953125" style="171" bestFit="1" customWidth="1"/>
    <col min="154" max="154" width="16.81640625" style="171" bestFit="1" customWidth="1"/>
    <col min="155" max="155" width="12.26953125" style="171" bestFit="1" customWidth="1"/>
    <col min="156" max="157" width="13.26953125" style="171" bestFit="1" customWidth="1"/>
    <col min="158" max="158" width="13.453125" style="171" bestFit="1" customWidth="1"/>
    <col min="159" max="159" width="20.81640625" style="171" bestFit="1" customWidth="1"/>
    <col min="160" max="161" width="12.26953125" style="171" bestFit="1" customWidth="1"/>
    <col min="162" max="163" width="14.26953125" style="171" bestFit="1" customWidth="1"/>
    <col min="164" max="164" width="13.453125" style="171" bestFit="1" customWidth="1"/>
    <col min="165" max="165" width="20.81640625" style="171" bestFit="1" customWidth="1"/>
    <col min="166" max="167" width="11.7265625" style="171" bestFit="1" customWidth="1"/>
    <col min="168" max="169" width="14.26953125" style="171" bestFit="1" customWidth="1"/>
    <col min="170" max="173" width="11.7265625" style="171" bestFit="1" customWidth="1"/>
    <col min="174" max="175" width="14.26953125" style="171" bestFit="1" customWidth="1"/>
    <col min="176" max="176" width="12.26953125" style="171" bestFit="1" customWidth="1"/>
    <col min="177" max="16384" width="9.1796875" style="171"/>
  </cols>
  <sheetData>
    <row r="2" spans="1:48" x14ac:dyDescent="0.35">
      <c r="A2" s="77" t="s">
        <v>309</v>
      </c>
      <c r="B2" s="78">
        <v>1</v>
      </c>
    </row>
    <row r="4" spans="1:48" x14ac:dyDescent="0.3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3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120</v>
      </c>
      <c r="W5" s="171" t="s">
        <v>141</v>
      </c>
      <c r="X5" s="171" t="s">
        <v>209</v>
      </c>
      <c r="Y5" s="171" t="s">
        <v>205</v>
      </c>
      <c r="Z5" s="171" t="s">
        <v>56</v>
      </c>
      <c r="AA5" s="171" t="s">
        <v>55</v>
      </c>
      <c r="AB5" s="171" t="s">
        <v>239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3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/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35">
      <c r="A7" s="78">
        <v>2030</v>
      </c>
      <c r="B7" s="98">
        <v>170946.30461315686</v>
      </c>
      <c r="C7" s="98">
        <v>621918.21079797368</v>
      </c>
      <c r="D7" s="98">
        <v>4073065.8689815728</v>
      </c>
      <c r="E7" s="98">
        <v>358825.35406290524</v>
      </c>
      <c r="F7" s="98">
        <v>144189.02716916322</v>
      </c>
      <c r="G7" s="98">
        <v>1315502.3247775389</v>
      </c>
      <c r="H7" s="98"/>
      <c r="I7" s="98">
        <v>2121297.2151178857</v>
      </c>
      <c r="J7" s="98">
        <v>679394.36200410523</v>
      </c>
      <c r="K7" s="98">
        <v>82599.137801749035</v>
      </c>
      <c r="L7" s="98">
        <v>5684.6701463077916</v>
      </c>
      <c r="M7" s="98">
        <v>1798536.4273682984</v>
      </c>
      <c r="N7" s="98">
        <v>148232.6739623498</v>
      </c>
      <c r="O7" s="98">
        <v>1367.9773147687811</v>
      </c>
      <c r="P7" s="98">
        <v>4173274.1072842204</v>
      </c>
      <c r="Q7" s="98">
        <v>105480.10532489244</v>
      </c>
      <c r="R7" s="98">
        <v>163985.49277150354</v>
      </c>
      <c r="S7" s="98">
        <v>78069.291964914431</v>
      </c>
      <c r="T7" s="98">
        <v>1001340.7662389905</v>
      </c>
      <c r="U7" s="98">
        <v>14400</v>
      </c>
      <c r="V7" s="98"/>
      <c r="W7" s="98">
        <v>3645941.0625492036</v>
      </c>
      <c r="X7" s="98">
        <v>1343774.4748452469</v>
      </c>
      <c r="Y7" s="98">
        <v>7086.2505432002945</v>
      </c>
      <c r="Z7" s="98">
        <v>1099881.2249104278</v>
      </c>
      <c r="AA7" s="98">
        <v>1654819.5152121391</v>
      </c>
      <c r="AB7" s="98">
        <v>296134.76547745528</v>
      </c>
      <c r="AC7" s="98">
        <v>25105746.611239962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35">
      <c r="A8" s="78">
        <v>2050</v>
      </c>
      <c r="B8" s="98">
        <v>162317.36767727343</v>
      </c>
      <c r="C8" s="98">
        <v>424298.59421339614</v>
      </c>
      <c r="D8" s="98">
        <v>6410639.1845941627</v>
      </c>
      <c r="E8" s="98">
        <v>102689.20533363806</v>
      </c>
      <c r="F8" s="98">
        <v>150468.77514425677</v>
      </c>
      <c r="G8" s="98">
        <v>1079479.3223754542</v>
      </c>
      <c r="H8" s="98">
        <v>266828.64342463715</v>
      </c>
      <c r="I8" s="98">
        <v>1745389.9877746685</v>
      </c>
      <c r="J8" s="98">
        <v>1368159.625518437</v>
      </c>
      <c r="K8" s="98"/>
      <c r="L8" s="98">
        <v>778492.67274776381</v>
      </c>
      <c r="M8" s="98">
        <v>724834.80451910477</v>
      </c>
      <c r="N8" s="98">
        <v>243411.82603765032</v>
      </c>
      <c r="O8" s="98"/>
      <c r="P8" s="98">
        <v>2559846.5142407757</v>
      </c>
      <c r="Q8" s="98">
        <v>229533.31605614454</v>
      </c>
      <c r="R8" s="98">
        <v>103731.07060017808</v>
      </c>
      <c r="S8" s="98">
        <v>49720.057041236883</v>
      </c>
      <c r="T8" s="98">
        <v>636761.67101253849</v>
      </c>
      <c r="U8" s="98">
        <v>18000</v>
      </c>
      <c r="V8" s="98">
        <v>629773.75936305185</v>
      </c>
      <c r="W8" s="98">
        <v>1889529.4816914173</v>
      </c>
      <c r="X8" s="98">
        <v>448623.47417561139</v>
      </c>
      <c r="Y8" s="98">
        <v>4731.5355323079275</v>
      </c>
      <c r="Z8" s="98">
        <v>935092.89794509683</v>
      </c>
      <c r="AA8" s="98">
        <v>1393099.5132312838</v>
      </c>
      <c r="AB8" s="98">
        <v>288671.46760287532</v>
      </c>
      <c r="AC8" s="98">
        <v>22644124.767852962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35">
      <c r="A9" s="78" t="s">
        <v>61</v>
      </c>
      <c r="B9" s="98">
        <v>509860.57169242611</v>
      </c>
      <c r="C9" s="98">
        <v>1258927.8147671167</v>
      </c>
      <c r="D9" s="98">
        <v>13714234.125817247</v>
      </c>
      <c r="E9" s="98">
        <v>1813732.5665394007</v>
      </c>
      <c r="F9" s="98">
        <v>432933.08234231913</v>
      </c>
      <c r="G9" s="98">
        <v>3897539.6827612082</v>
      </c>
      <c r="H9" s="98">
        <v>4384832.3537248038</v>
      </c>
      <c r="I9" s="98">
        <v>5907560.9537586886</v>
      </c>
      <c r="J9" s="98">
        <v>4022224.3168339613</v>
      </c>
      <c r="K9" s="98">
        <v>134491.27042184537</v>
      </c>
      <c r="L9" s="98">
        <v>2050439.5891615637</v>
      </c>
      <c r="M9" s="98">
        <v>5060154.4732163427</v>
      </c>
      <c r="N9" s="98">
        <v>392524.60000000009</v>
      </c>
      <c r="O9" s="98">
        <v>9432.1836548653446</v>
      </c>
      <c r="P9" s="98">
        <v>12002120.621524995</v>
      </c>
      <c r="Q9" s="98">
        <v>1991378.0628819512</v>
      </c>
      <c r="R9" s="98">
        <v>484726.93080720486</v>
      </c>
      <c r="S9" s="98">
        <v>233735.66057810659</v>
      </c>
      <c r="T9" s="98">
        <v>3020753.8684304357</v>
      </c>
      <c r="U9" s="98">
        <v>32476.5</v>
      </c>
      <c r="V9" s="98">
        <v>629773.75936305185</v>
      </c>
      <c r="W9" s="98">
        <v>9903794.445919279</v>
      </c>
      <c r="X9" s="98">
        <v>1792397.9490208584</v>
      </c>
      <c r="Y9" s="98">
        <v>11817.786075508222</v>
      </c>
      <c r="Z9" s="98">
        <v>2946548.7653405913</v>
      </c>
      <c r="AA9" s="98">
        <v>5053021.1998441992</v>
      </c>
      <c r="AB9" s="98">
        <v>683632.26612628507</v>
      </c>
      <c r="AC9" s="98">
        <v>82375065.400604248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5" x14ac:dyDescent="0.35"/>
  <cols>
    <col min="1" max="1" width="43.453125" bestFit="1" customWidth="1"/>
    <col min="2" max="2" width="20.1796875" bestFit="1" customWidth="1"/>
    <col min="3" max="3" width="8" bestFit="1" customWidth="1"/>
    <col min="4" max="4" width="12.6328125" bestFit="1" customWidth="1"/>
    <col min="5" max="5" width="11.36328125" bestFit="1" customWidth="1"/>
    <col min="6" max="6" width="12.08984375" bestFit="1" customWidth="1"/>
    <col min="7" max="7" width="13.7265625" bestFit="1" customWidth="1"/>
    <col min="8" max="8" width="8.1796875" bestFit="1" customWidth="1"/>
    <col min="9" max="9" width="9.6328125" bestFit="1" customWidth="1"/>
    <col min="10" max="10" width="16.90625" bestFit="1" customWidth="1"/>
    <col min="11" max="11" width="10.7265625" bestFit="1" customWidth="1"/>
    <col min="12" max="12" width="6.453125" bestFit="1" customWidth="1"/>
    <col min="13" max="13" width="10.1796875" bestFit="1" customWidth="1"/>
    <col min="14" max="14" width="13" bestFit="1" customWidth="1"/>
    <col min="15" max="15" width="11.7265625" bestFit="1" customWidth="1"/>
    <col min="16" max="16" width="19" bestFit="1" customWidth="1"/>
    <col min="17" max="17" width="11.453125" bestFit="1" customWidth="1"/>
    <col min="18" max="18" width="34.453125" bestFit="1" customWidth="1"/>
    <col min="19" max="19" width="29.26953125" bestFit="1" customWidth="1"/>
    <col min="20" max="21" width="11.7265625" bestFit="1" customWidth="1"/>
    <col min="22" max="22" width="8.453125" bestFit="1" customWidth="1"/>
    <col min="23" max="23" width="7.81640625" bestFit="1" customWidth="1"/>
    <col min="24" max="24" width="10.7265625" bestFit="1" customWidth="1"/>
    <col min="25" max="25" width="11.81640625" bestFit="1" customWidth="1"/>
    <col min="26" max="26" width="11.7265625" bestFit="1" customWidth="1"/>
    <col min="27" max="27" width="12.1796875" bestFit="1" customWidth="1"/>
    <col min="28" max="28" width="11.7265625" bestFit="1" customWidth="1"/>
    <col min="29" max="29" width="14.26953125" bestFit="1" customWidth="1"/>
    <col min="30" max="30" width="11.7265625" bestFit="1" customWidth="1"/>
    <col min="31" max="31" width="7.81640625" bestFit="1" customWidth="1"/>
    <col min="32" max="32" width="6" bestFit="1" customWidth="1"/>
    <col min="33" max="33" width="11.7265625" bestFit="1" customWidth="1"/>
    <col min="34" max="34" width="7.26953125" bestFit="1" customWidth="1"/>
    <col min="35" max="35" width="4.54296875" bestFit="1" customWidth="1"/>
    <col min="36" max="36" width="11.7265625" bestFit="1" customWidth="1"/>
    <col min="37" max="37" width="18.81640625" bestFit="1" customWidth="1"/>
    <col min="38" max="38" width="18.453125" bestFit="1" customWidth="1"/>
    <col min="39" max="39" width="14.26953125" bestFit="1" customWidth="1"/>
    <col min="40" max="40" width="11.7265625" bestFit="1" customWidth="1"/>
    <col min="41" max="41" width="8.1796875" bestFit="1" customWidth="1"/>
    <col min="42" max="42" width="4.54296875" bestFit="1" customWidth="1"/>
    <col min="43" max="43" width="12.54296875" bestFit="1" customWidth="1"/>
    <col min="44" max="44" width="11.7265625" bestFit="1" customWidth="1"/>
    <col min="45" max="45" width="12.26953125" bestFit="1" customWidth="1"/>
    <col min="46" max="46" width="8.453125" bestFit="1" customWidth="1"/>
    <col min="47" max="48" width="11.7265625" bestFit="1" customWidth="1"/>
    <col min="49" max="49" width="11" bestFit="1" customWidth="1"/>
    <col min="50" max="50" width="12" bestFit="1" customWidth="1"/>
    <col min="51" max="51" width="12.1796875" bestFit="1" customWidth="1"/>
    <col min="52" max="52" width="11.1796875" bestFit="1" customWidth="1"/>
    <col min="53" max="53" width="3.81640625" bestFit="1" customWidth="1"/>
    <col min="54" max="55" width="12" bestFit="1" customWidth="1"/>
    <col min="56" max="56" width="10.81640625" bestFit="1" customWidth="1"/>
    <col min="57" max="57" width="12" bestFit="1" customWidth="1"/>
    <col min="58" max="58" width="15.453125" bestFit="1" customWidth="1"/>
    <col min="59" max="59" width="13.1796875" bestFit="1" customWidth="1"/>
    <col min="60" max="60" width="8.81640625" bestFit="1" customWidth="1"/>
    <col min="61" max="61" width="12" bestFit="1" customWidth="1"/>
    <col min="62" max="62" width="13.26953125" bestFit="1" customWidth="1"/>
    <col min="63" max="63" width="12" bestFit="1" customWidth="1"/>
    <col min="64" max="64" width="13.81640625" bestFit="1" customWidth="1"/>
    <col min="65" max="65" width="11" bestFit="1" customWidth="1"/>
    <col min="66" max="66" width="16" bestFit="1" customWidth="1"/>
    <col min="67" max="67" width="10" bestFit="1" customWidth="1"/>
    <col min="68" max="68" width="8.7265625" bestFit="1" customWidth="1"/>
    <col min="69" max="69" width="12" bestFit="1" customWidth="1"/>
    <col min="70" max="70" width="8.1796875" bestFit="1" customWidth="1"/>
    <col min="71" max="72" width="12" bestFit="1" customWidth="1"/>
    <col min="73" max="73" width="21" bestFit="1" customWidth="1"/>
    <col min="74" max="74" width="20.7265625" bestFit="1" customWidth="1"/>
    <col min="75" max="75" width="16" bestFit="1" customWidth="1"/>
    <col min="76" max="76" width="12" bestFit="1" customWidth="1"/>
    <col min="78" max="78" width="5.1796875" bestFit="1" customWidth="1"/>
    <col min="79" max="79" width="12.81640625" bestFit="1" customWidth="1"/>
    <col min="80" max="80" width="13.81640625" bestFit="1" customWidth="1"/>
    <col min="81" max="81" width="12" bestFit="1" customWidth="1"/>
    <col min="82" max="82" width="12.54296875" bestFit="1" customWidth="1"/>
    <col min="83" max="83" width="5.54296875" bestFit="1" customWidth="1"/>
    <col min="84" max="84" width="12.26953125" bestFit="1" customWidth="1"/>
    <col min="85" max="85" width="14.54296875" bestFit="1" customWidth="1"/>
    <col min="86" max="86" width="9.54296875" bestFit="1" customWidth="1"/>
    <col min="87" max="87" width="6.81640625" bestFit="1" customWidth="1"/>
    <col min="88" max="88" width="14" bestFit="1" customWidth="1"/>
    <col min="89" max="89" width="12" bestFit="1" customWidth="1"/>
    <col min="90" max="90" width="34.7265625" bestFit="1" customWidth="1"/>
    <col min="91" max="91" width="29.81640625" bestFit="1" customWidth="1"/>
  </cols>
  <sheetData>
    <row r="3" spans="1:11" x14ac:dyDescent="0.35">
      <c r="B3" s="77" t="s">
        <v>62</v>
      </c>
    </row>
    <row r="4" spans="1:11" x14ac:dyDescent="0.3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3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3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35">
      <c r="A7" s="79">
        <v>2030</v>
      </c>
      <c r="B7" s="238">
        <v>20.126590517362345</v>
      </c>
      <c r="C7" s="238">
        <v>0</v>
      </c>
      <c r="D7" s="238">
        <v>0.30668519088121604</v>
      </c>
      <c r="E7" s="238">
        <v>7.5821874378767005</v>
      </c>
      <c r="F7" s="238">
        <v>0.14596282488120896</v>
      </c>
      <c r="G7" s="238">
        <v>0.77290981265149794</v>
      </c>
      <c r="H7" s="238">
        <v>10.699796780048882</v>
      </c>
      <c r="I7" s="238">
        <v>46.890149712425654</v>
      </c>
      <c r="J7" s="238">
        <v>9.6759999999999984</v>
      </c>
      <c r="K7" s="238">
        <v>96.20028227612751</v>
      </c>
    </row>
    <row r="8" spans="1:11" x14ac:dyDescent="0.35">
      <c r="A8" s="79">
        <v>2050</v>
      </c>
      <c r="B8" s="238">
        <v>18.741654463219934</v>
      </c>
      <c r="C8" s="238">
        <v>0</v>
      </c>
      <c r="D8" s="238">
        <v>3.9086826465943951</v>
      </c>
      <c r="E8" s="238">
        <v>4.758130285009309</v>
      </c>
      <c r="F8" s="238">
        <v>0.23461711386879117</v>
      </c>
      <c r="G8" s="238">
        <v>0.22119254828865637</v>
      </c>
      <c r="H8" s="238">
        <v>9.1813879094416802</v>
      </c>
      <c r="I8" s="238">
        <v>48.561069905393708</v>
      </c>
      <c r="J8" s="238">
        <v>14.513999999999999</v>
      </c>
      <c r="K8" s="238">
        <v>100.12073487181647</v>
      </c>
    </row>
    <row r="9" spans="1:11" x14ac:dyDescent="0.3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3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35">
      <c r="A11" s="79">
        <v>2030</v>
      </c>
      <c r="B11" s="238">
        <v>6.4967473096340438</v>
      </c>
      <c r="C11" s="238">
        <v>2.1694819870080004</v>
      </c>
      <c r="D11" s="238">
        <v>1.2625370157999998</v>
      </c>
      <c r="E11" s="238">
        <v>1.2966519960000002E-2</v>
      </c>
      <c r="F11" s="238">
        <v>0</v>
      </c>
      <c r="G11" s="238">
        <v>12.140331468282515</v>
      </c>
      <c r="H11" s="238">
        <v>0</v>
      </c>
      <c r="I11" s="238">
        <v>0</v>
      </c>
      <c r="J11" s="238">
        <v>0</v>
      </c>
      <c r="K11" s="238">
        <v>22.082064300684557</v>
      </c>
    </row>
    <row r="12" spans="1:11" x14ac:dyDescent="0.35">
      <c r="A12" s="79">
        <v>2050</v>
      </c>
      <c r="B12" s="238">
        <v>7.5161441273189098</v>
      </c>
      <c r="C12" s="238">
        <v>2.1694819870080004</v>
      </c>
      <c r="D12" s="238">
        <v>1.2625370158000002</v>
      </c>
      <c r="E12" s="238">
        <v>1.2966519960000001E-2</v>
      </c>
      <c r="F12" s="238">
        <v>0</v>
      </c>
      <c r="G12" s="238">
        <v>9.517797024154115</v>
      </c>
      <c r="H12" s="238">
        <v>0</v>
      </c>
      <c r="I12" s="238">
        <v>0</v>
      </c>
      <c r="J12" s="238">
        <v>0</v>
      </c>
      <c r="K12" s="238">
        <v>20.478926674241023</v>
      </c>
    </row>
    <row r="13" spans="1:11" x14ac:dyDescent="0.35">
      <c r="A13" s="78" t="s">
        <v>295</v>
      </c>
      <c r="B13" s="238">
        <v>56.412175505084576</v>
      </c>
      <c r="C13" s="238">
        <v>0</v>
      </c>
      <c r="D13" s="238">
        <v>4.2153678374756112</v>
      </c>
      <c r="E13" s="238">
        <v>31.913908211443204</v>
      </c>
      <c r="F13" s="238">
        <v>0.38057993875000012</v>
      </c>
      <c r="G13" s="238">
        <v>0.99410236094015425</v>
      </c>
      <c r="H13" s="238">
        <v>23.832231817320142</v>
      </c>
      <c r="I13" s="238">
        <v>142.94031454216122</v>
      </c>
      <c r="J13" s="238">
        <v>24.189999999999998</v>
      </c>
      <c r="K13" s="238">
        <v>284.8786802131749</v>
      </c>
    </row>
    <row r="14" spans="1:11" x14ac:dyDescent="0.35">
      <c r="A14" s="78" t="s">
        <v>247</v>
      </c>
      <c r="B14" s="238">
        <v>21.496046141159955</v>
      </c>
      <c r="C14" s="238">
        <v>6.5084459610240017</v>
      </c>
      <c r="D14" s="238">
        <v>3.9452460177750002</v>
      </c>
      <c r="E14" s="238">
        <v>0.47670007423999994</v>
      </c>
      <c r="F14" s="238">
        <v>0</v>
      </c>
      <c r="G14" s="238">
        <v>26.750411450441632</v>
      </c>
      <c r="H14" s="238">
        <v>0</v>
      </c>
      <c r="I14" s="238">
        <v>0</v>
      </c>
      <c r="J14" s="238">
        <v>0</v>
      </c>
      <c r="K14" s="238">
        <v>59.176849644640583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5" x14ac:dyDescent="0.35"/>
  <cols>
    <col min="1" max="1" width="31.36328125" bestFit="1" customWidth="1"/>
    <col min="2" max="2" width="20.1796875" bestFit="1" customWidth="1"/>
    <col min="3" max="3" width="8.6328125" bestFit="1" customWidth="1"/>
    <col min="4" max="4" width="12.6328125" bestFit="1" customWidth="1"/>
    <col min="5" max="5" width="11.36328125" bestFit="1" customWidth="1"/>
    <col min="6" max="6" width="12.08984375" bestFit="1" customWidth="1"/>
    <col min="7" max="7" width="13.7265625" bestFit="1" customWidth="1"/>
    <col min="8" max="8" width="10.1796875" bestFit="1" customWidth="1"/>
    <col min="9" max="9" width="11.1796875" bestFit="1" customWidth="1"/>
    <col min="10" max="11" width="11.54296875" bestFit="1" customWidth="1"/>
    <col min="12" max="12" width="6.453125" bestFit="1" customWidth="1"/>
    <col min="13" max="13" width="11" bestFit="1" customWidth="1"/>
    <col min="14" max="14" width="8.81640625" bestFit="1" customWidth="1"/>
    <col min="15" max="15" width="12" bestFit="1" customWidth="1"/>
    <col min="16" max="16" width="13.26953125" bestFit="1" customWidth="1"/>
    <col min="17" max="17" width="13.81640625" bestFit="1" customWidth="1"/>
    <col min="18" max="18" width="16" bestFit="1" customWidth="1"/>
    <col min="19" max="19" width="8.7265625" bestFit="1" customWidth="1"/>
    <col min="20" max="20" width="6.81640625" bestFit="1" customWidth="1"/>
    <col min="21" max="21" width="8.1796875" bestFit="1" customWidth="1"/>
    <col min="22" max="22" width="5.1796875" bestFit="1" customWidth="1"/>
    <col min="23" max="23" width="9.26953125" bestFit="1" customWidth="1"/>
    <col min="24" max="24" width="21" bestFit="1" customWidth="1"/>
    <col min="25" max="25" width="20.7265625" bestFit="1" customWidth="1"/>
    <col min="27" max="27" width="14" bestFit="1" customWidth="1"/>
    <col min="28" max="28" width="13.81640625" bestFit="1" customWidth="1"/>
    <col min="29" max="29" width="12" bestFit="1" customWidth="1"/>
    <col min="30" max="30" width="23" bestFit="1" customWidth="1"/>
    <col min="31" max="31" width="12" bestFit="1" customWidth="1"/>
    <col min="32" max="32" width="15.453125" bestFit="1" customWidth="1"/>
    <col min="33" max="33" width="13.1796875" bestFit="1" customWidth="1"/>
    <col min="34" max="34" width="16" bestFit="1" customWidth="1"/>
    <col min="35" max="35" width="26.26953125" bestFit="1" customWidth="1"/>
    <col min="36" max="36" width="10.26953125" bestFit="1" customWidth="1"/>
    <col min="37" max="37" width="13.453125" bestFit="1" customWidth="1"/>
    <col min="38" max="38" width="15.1796875" bestFit="1" customWidth="1"/>
    <col min="39" max="40" width="12" bestFit="1" customWidth="1"/>
    <col min="41" max="41" width="18.26953125" bestFit="1" customWidth="1"/>
    <col min="42" max="42" width="13.7265625" bestFit="1" customWidth="1"/>
    <col min="43" max="43" width="12" bestFit="1" customWidth="1"/>
    <col min="44" max="44" width="16.81640625" bestFit="1" customWidth="1"/>
    <col min="45" max="45" width="14.54296875" bestFit="1" customWidth="1"/>
    <col min="46" max="46" width="12" bestFit="1" customWidth="1"/>
    <col min="47" max="47" width="17.81640625" bestFit="1" customWidth="1"/>
    <col min="48" max="48" width="16.26953125" bestFit="1" customWidth="1"/>
    <col min="49" max="49" width="12.1796875" bestFit="1" customWidth="1"/>
    <col min="50" max="51" width="12" bestFit="1" customWidth="1"/>
    <col min="52" max="52" width="19.453125" bestFit="1" customWidth="1"/>
    <col min="53" max="53" width="12" bestFit="1" customWidth="1"/>
    <col min="54" max="54" width="13.54296875" bestFit="1" customWidth="1"/>
    <col min="55" max="55" width="12" bestFit="1" customWidth="1"/>
    <col min="56" max="56" width="12.81640625" bestFit="1" customWidth="1"/>
    <col min="57" max="57" width="15.1796875" bestFit="1" customWidth="1"/>
    <col min="59" max="59" width="9.1796875" bestFit="1" customWidth="1"/>
    <col min="60" max="60" width="6.7265625" bestFit="1" customWidth="1"/>
    <col min="61" max="61" width="11" bestFit="1" customWidth="1"/>
    <col min="62" max="62" width="12.54296875" bestFit="1" customWidth="1"/>
    <col min="63" max="63" width="11.1796875" bestFit="1" customWidth="1"/>
    <col min="64" max="64" width="3.81640625" bestFit="1" customWidth="1"/>
    <col min="65" max="65" width="5.54296875" bestFit="1" customWidth="1"/>
    <col min="66" max="66" width="12.26953125" bestFit="1" customWidth="1"/>
    <col min="67" max="67" width="10.81640625" bestFit="1" customWidth="1"/>
    <col min="68" max="68" width="14.54296875" bestFit="1" customWidth="1"/>
    <col min="69" max="69" width="9.54296875" bestFit="1" customWidth="1"/>
    <col min="70" max="70" width="8.81640625" bestFit="1" customWidth="1"/>
    <col min="71" max="71" width="12" bestFit="1" customWidth="1"/>
    <col min="72" max="72" width="13.26953125" bestFit="1" customWidth="1"/>
    <col min="73" max="73" width="13.81640625" bestFit="1" customWidth="1"/>
    <col min="74" max="74" width="16" bestFit="1" customWidth="1"/>
    <col min="75" max="75" width="8.7265625" bestFit="1" customWidth="1"/>
    <col min="76" max="76" width="6.81640625" bestFit="1" customWidth="1"/>
    <col min="77" max="77" width="8.1796875" bestFit="1" customWidth="1"/>
    <col min="78" max="78" width="5.1796875" bestFit="1" customWidth="1"/>
    <col min="79" max="79" width="9.26953125" bestFit="1" customWidth="1"/>
    <col min="80" max="80" width="21" bestFit="1" customWidth="1"/>
    <col min="81" max="81" width="20.7265625" bestFit="1" customWidth="1"/>
    <col min="82" max="82" width="9.1796875" bestFit="1" customWidth="1"/>
    <col min="83" max="83" width="14" bestFit="1" customWidth="1"/>
    <col min="84" max="84" width="13.81640625" bestFit="1" customWidth="1"/>
    <col min="85" max="85" width="12.1796875" bestFit="1" customWidth="1"/>
    <col min="86" max="86" width="12" bestFit="1" customWidth="1"/>
  </cols>
  <sheetData>
    <row r="1" spans="1:9" x14ac:dyDescent="0.35">
      <c r="A1" s="77" t="s">
        <v>240</v>
      </c>
      <c r="B1" s="77" t="s">
        <v>62</v>
      </c>
    </row>
    <row r="2" spans="1:9" x14ac:dyDescent="0.3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3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35">
      <c r="A4" s="78">
        <v>2030</v>
      </c>
      <c r="B4" s="239">
        <v>1254109.4848238844</v>
      </c>
      <c r="C4" s="239">
        <v>128467.8</v>
      </c>
      <c r="D4" s="239">
        <v>127538.2221088708</v>
      </c>
      <c r="E4" s="239">
        <v>643977.96257212537</v>
      </c>
      <c r="F4" s="239">
        <v>24394.90109435247</v>
      </c>
      <c r="G4" s="239">
        <v>1747292.7358844967</v>
      </c>
      <c r="H4" s="239">
        <v>1539966.9972563873</v>
      </c>
      <c r="I4" s="239">
        <v>5465748.1037401166</v>
      </c>
    </row>
    <row r="5" spans="1:9" x14ac:dyDescent="0.35">
      <c r="A5" s="78">
        <v>2050</v>
      </c>
      <c r="B5" s="239">
        <v>1232279.4135819401</v>
      </c>
      <c r="C5" s="239">
        <v>128467.8</v>
      </c>
      <c r="D5" s="239">
        <v>458903.28519445646</v>
      </c>
      <c r="E5" s="239">
        <v>431255.15592064161</v>
      </c>
      <c r="F5" s="239">
        <v>39211.773905647548</v>
      </c>
      <c r="G5" s="239">
        <v>1315788.9127719766</v>
      </c>
      <c r="H5" s="239">
        <v>1595633.8621411922</v>
      </c>
      <c r="I5" s="239">
        <v>5201540.2035158547</v>
      </c>
    </row>
    <row r="6" spans="1:9" x14ac:dyDescent="0.35">
      <c r="A6" s="78" t="s">
        <v>61</v>
      </c>
      <c r="B6" s="239">
        <v>3563693.8384058243</v>
      </c>
      <c r="C6" s="239">
        <v>385403.4</v>
      </c>
      <c r="D6" s="239">
        <v>715167.86730332719</v>
      </c>
      <c r="E6" s="239">
        <v>2750651.1091479943</v>
      </c>
      <c r="F6" s="239">
        <v>63606.675000000017</v>
      </c>
      <c r="G6" s="239">
        <v>3767097.7644898067</v>
      </c>
      <c r="H6" s="239">
        <v>4711474.3378287554</v>
      </c>
      <c r="I6" s="239">
        <v>15957094.992175709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5" x14ac:dyDescent="0.35"/>
  <cols>
    <col min="1" max="1" width="12.6328125" bestFit="1" customWidth="1"/>
    <col min="2" max="2" width="15.6328125" bestFit="1" customWidth="1"/>
    <col min="3" max="3" width="7" bestFit="1" customWidth="1"/>
    <col min="4" max="5" width="9.90625" bestFit="1" customWidth="1"/>
    <col min="6" max="6" width="9.54296875" bestFit="1" customWidth="1"/>
    <col min="7" max="7" width="11.54296875" bestFit="1" customWidth="1"/>
    <col min="8" max="8" width="13.90625" bestFit="1" customWidth="1"/>
    <col min="9" max="9" width="10.7265625" bestFit="1" customWidth="1"/>
    <col min="10" max="11" width="12" bestFit="1" customWidth="1"/>
    <col min="12" max="12" width="12.7265625" bestFit="1" customWidth="1"/>
    <col min="13" max="13" width="17.81640625" bestFit="1" customWidth="1"/>
    <col min="14" max="14" width="12" bestFit="1" customWidth="1"/>
  </cols>
  <sheetData>
    <row r="1" spans="1:9" x14ac:dyDescent="0.35">
      <c r="A1" s="77" t="s">
        <v>199</v>
      </c>
      <c r="B1" s="77" t="s">
        <v>62</v>
      </c>
    </row>
    <row r="2" spans="1:9" x14ac:dyDescent="0.3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3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35">
      <c r="A4" s="78">
        <v>2030</v>
      </c>
      <c r="B4" s="98">
        <v>6568557.7355642347</v>
      </c>
      <c r="C4" s="98">
        <v>-24610.813181900667</v>
      </c>
      <c r="D4" s="98">
        <v>4339884.9871648429</v>
      </c>
      <c r="E4" s="98">
        <v>5878808.9386203047</v>
      </c>
      <c r="F4" s="98">
        <v>-2603769.0494621387</v>
      </c>
      <c r="G4" s="98">
        <v>-369089.66091020632</v>
      </c>
      <c r="H4" s="98">
        <v>-652666.66666666651</v>
      </c>
      <c r="I4" s="98">
        <v>13137115.471128471</v>
      </c>
    </row>
    <row r="5" spans="1:9" x14ac:dyDescent="0.35">
      <c r="A5" s="78">
        <v>2050</v>
      </c>
      <c r="B5" s="98">
        <v>336429.08719716535</v>
      </c>
      <c r="C5" s="98">
        <v>-40179.115818099352</v>
      </c>
      <c r="D5" s="98">
        <v>2751010.6362999445</v>
      </c>
      <c r="E5" s="98">
        <v>4189382.9495031643</v>
      </c>
      <c r="F5" s="98">
        <v>-5309522.0004958482</v>
      </c>
      <c r="G5" s="98">
        <v>-275263.38229199691</v>
      </c>
      <c r="H5" s="98">
        <v>-979000</v>
      </c>
      <c r="I5" s="98">
        <v>672858.17439432908</v>
      </c>
    </row>
    <row r="6" spans="1:9" x14ac:dyDescent="0.35">
      <c r="A6" s="78" t="s">
        <v>61</v>
      </c>
      <c r="B6" s="98">
        <v>21422449.265137244</v>
      </c>
      <c r="C6" s="98">
        <v>-64948.366200000019</v>
      </c>
      <c r="D6" s="98">
        <v>12610157.524201505</v>
      </c>
      <c r="E6" s="98">
        <v>19793658.077857651</v>
      </c>
      <c r="F6" s="98">
        <v>-8475191.0499579869</v>
      </c>
      <c r="G6" s="98">
        <v>-809560.25409726286</v>
      </c>
      <c r="H6" s="98">
        <v>-1631666.6666666665</v>
      </c>
      <c r="I6" s="98">
        <v>42844898.530274481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5" x14ac:dyDescent="0.35"/>
  <cols>
    <col min="3" max="3" width="16.81640625" bestFit="1" customWidth="1"/>
    <col min="4" max="6" width="16.81640625" customWidth="1"/>
  </cols>
  <sheetData>
    <row r="1" spans="1:9" x14ac:dyDescent="0.3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3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3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3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3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3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3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3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3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3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3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5501193.7310524983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3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3989123.5513910227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3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3561323.8419950246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3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1037730.0552441035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3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3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3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-2254899.7375412527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3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-337159.06470198173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3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-471054.80092049856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3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-18744.91141593724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3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2526380.4485877971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3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3073975.5683808057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3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26.361074410417238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3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3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3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-4647398.7302654954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3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-251300.26211249206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3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-688383.08421465277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3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3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3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3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3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3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3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3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3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3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1067364.0045117363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3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350761.43577381992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3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1167835.2543604563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3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3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3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3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-348869.3119208861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3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-31930.596208224615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3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-181611.86574616801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3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355173.99861310259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3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224630.18771214719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3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1115305.0699177778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3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2.8411999718285972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3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7.1104610596313282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3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3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-662123.27023035299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3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-23963.12017950484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3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-290616.91578534723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5" x14ac:dyDescent="0.35"/>
  <cols>
    <col min="1" max="1" width="16.90625" bestFit="1" customWidth="1"/>
    <col min="2" max="2" width="15.6328125" bestFit="1" customWidth="1"/>
    <col min="3" max="3" width="8.90625" bestFit="1" customWidth="1"/>
    <col min="4" max="4" width="7.36328125" bestFit="1" customWidth="1"/>
    <col min="5" max="5" width="9.90625" bestFit="1" customWidth="1"/>
    <col min="6" max="6" width="10.36328125" bestFit="1" customWidth="1"/>
    <col min="7" max="7" width="9.08984375" bestFit="1" customWidth="1"/>
    <col min="8" max="8" width="8.90625" bestFit="1" customWidth="1"/>
    <col min="9" max="10" width="9.90625" bestFit="1" customWidth="1"/>
    <col min="11" max="11" width="8.90625" bestFit="1" customWidth="1"/>
    <col min="12" max="12" width="11.453125" bestFit="1" customWidth="1"/>
    <col min="13" max="14" width="8.90625" bestFit="1" customWidth="1"/>
    <col min="15" max="15" width="10.90625" bestFit="1" customWidth="1"/>
  </cols>
  <sheetData>
    <row r="1" spans="1:15" x14ac:dyDescent="0.35">
      <c r="A1" s="77" t="s">
        <v>64</v>
      </c>
      <c r="B1" s="171" t="s">
        <v>81</v>
      </c>
    </row>
    <row r="3" spans="1:15" x14ac:dyDescent="0.35">
      <c r="A3" s="77" t="s">
        <v>127</v>
      </c>
      <c r="B3" s="77" t="s">
        <v>62</v>
      </c>
    </row>
    <row r="4" spans="1:15" x14ac:dyDescent="0.3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3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35">
      <c r="A6" s="78">
        <v>2030</v>
      </c>
      <c r="B6" s="98">
        <v>755774.37301801157</v>
      </c>
      <c r="C6" s="98">
        <v>1315502.3247775389</v>
      </c>
      <c r="D6" s="98">
        <v>92259.369863983811</v>
      </c>
      <c r="E6" s="98">
        <v>13989519.076433893</v>
      </c>
      <c r="F6" s="98">
        <v>502665.02738262562</v>
      </c>
      <c r="G6" s="98">
        <v>1099881.2249104278</v>
      </c>
      <c r="H6" s="98">
        <v>2351789.3128538937</v>
      </c>
      <c r="I6" s="98">
        <v>6320780.1592579335</v>
      </c>
      <c r="J6" s="98">
        <v>5215653.6635435056</v>
      </c>
      <c r="K6" s="98">
        <v>1654819.5152121391</v>
      </c>
      <c r="L6" s="98">
        <v>282439.84219338826</v>
      </c>
      <c r="M6" s="98">
        <v>955338.99821865035</v>
      </c>
      <c r="N6" s="98">
        <v>885381.95726769255</v>
      </c>
      <c r="O6" s="98">
        <v>35421804.844933689</v>
      </c>
    </row>
    <row r="7" spans="1:15" x14ac:dyDescent="0.35">
      <c r="A7" s="78">
        <v>2050</v>
      </c>
      <c r="B7" s="98">
        <v>649702.07815765182</v>
      </c>
      <c r="C7" s="98">
        <v>1079479.3223754542</v>
      </c>
      <c r="D7" s="98">
        <v>79389.335254180667</v>
      </c>
      <c r="E7" s="98">
        <v>11012743.932584504</v>
      </c>
      <c r="F7" s="98">
        <v>440968.92469612532</v>
      </c>
      <c r="G7" s="98">
        <v>935092.89794509683</v>
      </c>
      <c r="H7" s="98">
        <v>1985713.2941286585</v>
      </c>
      <c r="I7" s="98">
        <v>5343241.1278890474</v>
      </c>
      <c r="J7" s="98">
        <v>4366888.3180394787</v>
      </c>
      <c r="K7" s="98">
        <v>1393099.5132312838</v>
      </c>
      <c r="L7" s="98">
        <v>228072.28759523929</v>
      </c>
      <c r="M7" s="98">
        <v>819766.77762872155</v>
      </c>
      <c r="N7" s="98">
        <v>759797.39756999072</v>
      </c>
      <c r="O7" s="98">
        <v>29093955.207095433</v>
      </c>
    </row>
    <row r="8" spans="1:15" x14ac:dyDescent="0.35">
      <c r="A8" s="78" t="s">
        <v>61</v>
      </c>
      <c r="B8" s="98">
        <v>1690602.5531603424</v>
      </c>
      <c r="C8" s="98">
        <v>3897539.6827612082</v>
      </c>
      <c r="D8" s="98">
        <v>213376.59501093603</v>
      </c>
      <c r="E8" s="98">
        <v>42945701.704588577</v>
      </c>
      <c r="F8" s="98">
        <v>1224243.3735316959</v>
      </c>
      <c r="G8" s="98">
        <v>2946548.7653405913</v>
      </c>
      <c r="H8" s="98">
        <v>6599821.4476161189</v>
      </c>
      <c r="I8" s="98">
        <v>20773809.256591398</v>
      </c>
      <c r="J8" s="98">
        <v>17530237.275429726</v>
      </c>
      <c r="K8" s="98">
        <v>5053021.1998441992</v>
      </c>
      <c r="L8" s="98">
        <v>720294.51718362758</v>
      </c>
      <c r="M8" s="98">
        <v>2453513.5931258025</v>
      </c>
      <c r="N8" s="98">
        <v>4274602.4908242533</v>
      </c>
      <c r="O8" s="98">
        <v>110323312.45500848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5" x14ac:dyDescent="0.35"/>
  <cols>
    <col min="4" max="4" width="14.26953125" bestFit="1" customWidth="1"/>
  </cols>
  <sheetData>
    <row r="1" spans="1:4" x14ac:dyDescent="0.35">
      <c r="A1" t="s">
        <v>57</v>
      </c>
      <c r="B1" t="s">
        <v>64</v>
      </c>
      <c r="C1" t="s">
        <v>58</v>
      </c>
      <c r="D1" t="s">
        <v>126</v>
      </c>
    </row>
    <row r="2" spans="1:4" x14ac:dyDescent="0.3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3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3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3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3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3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3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3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3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3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3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3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3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3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4785068.9598603025</v>
      </c>
    </row>
    <row r="16" spans="1:4" x14ac:dyDescent="0.3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570919.32655032468</v>
      </c>
    </row>
    <row r="17" spans="1:4" x14ac:dyDescent="0.3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720643.86826877412</v>
      </c>
    </row>
    <row r="18" spans="1:4" x14ac:dyDescent="0.3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10811669.206179742</v>
      </c>
    </row>
    <row r="19" spans="1:4" x14ac:dyDescent="0.3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378724.85097057559</v>
      </c>
    </row>
    <row r="20" spans="1:4" x14ac:dyDescent="0.3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1786381.255966713</v>
      </c>
    </row>
    <row r="21" spans="1:4" x14ac:dyDescent="0.3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661272.99652906856</v>
      </c>
    </row>
    <row r="22" spans="1:4" x14ac:dyDescent="0.3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3984719.6201805831</v>
      </c>
    </row>
    <row r="23" spans="1:4" x14ac:dyDescent="0.3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69515.73753753565</v>
      </c>
    </row>
    <row r="24" spans="1:4" x14ac:dyDescent="0.3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1254211.7913728904</v>
      </c>
    </row>
    <row r="25" spans="1:4" x14ac:dyDescent="0.3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991447.52086616959</v>
      </c>
    </row>
    <row r="26" spans="1:4" x14ac:dyDescent="0.3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832506.49987193861</v>
      </c>
    </row>
    <row r="27" spans="1:4" x14ac:dyDescent="0.3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215758.44874789647</v>
      </c>
    </row>
    <row r="28" spans="1:4" x14ac:dyDescent="0.3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3920720.3662957777</v>
      </c>
    </row>
    <row r="29" spans="1:4" x14ac:dyDescent="0.3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476733.07017285493</v>
      </c>
    </row>
    <row r="30" spans="1:4" x14ac:dyDescent="0.3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601521.71713762206</v>
      </c>
    </row>
    <row r="31" spans="1:4" x14ac:dyDescent="0.3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8080859.3284295592</v>
      </c>
    </row>
    <row r="32" spans="1:4" x14ac:dyDescent="0.3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323570.52487821685</v>
      </c>
    </row>
    <row r="33" spans="1:4" x14ac:dyDescent="0.3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1457061.1613346946</v>
      </c>
    </row>
    <row r="34" spans="1:4" x14ac:dyDescent="0.3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557517.61958207632</v>
      </c>
    </row>
    <row r="35" spans="1:4" x14ac:dyDescent="0.3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3204301.4084430053</v>
      </c>
    </row>
    <row r="36" spans="1:4" x14ac:dyDescent="0.3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58253.649751305209</v>
      </c>
    </row>
    <row r="37" spans="1:4" x14ac:dyDescent="0.3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1022217.4078862639</v>
      </c>
    </row>
    <row r="38" spans="1:4" x14ac:dyDescent="0.3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792091.46065631567</v>
      </c>
    </row>
    <row r="39" spans="1:4" x14ac:dyDescent="0.3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686144.91909286368</v>
      </c>
    </row>
    <row r="40" spans="1:4" x14ac:dyDescent="0.3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167353.17803041782</v>
      </c>
    </row>
    <row r="41" spans="1:4" x14ac:dyDescent="0.3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3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3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3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3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3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3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3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3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3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3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3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3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3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1535711.1993976305</v>
      </c>
    </row>
    <row r="55" spans="1:4" x14ac:dyDescent="0.3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184855.04646768686</v>
      </c>
    </row>
    <row r="56" spans="1:4" x14ac:dyDescent="0.3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234695.12994987622</v>
      </c>
    </row>
    <row r="57" spans="1:4" x14ac:dyDescent="0.3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3177849.870254152</v>
      </c>
    </row>
    <row r="58" spans="1:4" x14ac:dyDescent="0.3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123940.17641205002</v>
      </c>
    </row>
    <row r="59" spans="1:4" x14ac:dyDescent="0.3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565408.05688718066</v>
      </c>
    </row>
    <row r="60" spans="1:4" x14ac:dyDescent="0.3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224108.96073862392</v>
      </c>
    </row>
    <row r="61" spans="1:4" x14ac:dyDescent="0.3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1230934.043362923</v>
      </c>
    </row>
    <row r="62" spans="1:4" x14ac:dyDescent="0.3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22743.632326448162</v>
      </c>
    </row>
    <row r="63" spans="1:4" x14ac:dyDescent="0.3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400607.72383924882</v>
      </c>
    </row>
    <row r="64" spans="1:4" x14ac:dyDescent="0.3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324054.80391136941</v>
      </c>
    </row>
    <row r="65" spans="1:4" x14ac:dyDescent="0.3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267374.72503848921</v>
      </c>
    </row>
    <row r="66" spans="1:4" x14ac:dyDescent="0.3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66681.39344549182</v>
      </c>
    </row>
    <row r="67" spans="1:4" x14ac:dyDescent="0.3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1422520.7615932694</v>
      </c>
    </row>
    <row r="68" spans="1:4" x14ac:dyDescent="0.3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172969.00798479689</v>
      </c>
    </row>
    <row r="69" spans="1:4" x14ac:dyDescent="0.3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218245.06049109949</v>
      </c>
    </row>
    <row r="70" spans="1:4" x14ac:dyDescent="0.3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2931884.6041549444</v>
      </c>
    </row>
    <row r="71" spans="1:4" x14ac:dyDescent="0.3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117398.39981790849</v>
      </c>
    </row>
    <row r="72" spans="1:4" x14ac:dyDescent="0.3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528652.13279396389</v>
      </c>
    </row>
    <row r="73" spans="1:4" x14ac:dyDescent="0.3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202279.77798791436</v>
      </c>
    </row>
    <row r="74" spans="1:4" x14ac:dyDescent="0.3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1162586.9095964739</v>
      </c>
    </row>
    <row r="75" spans="1:4" x14ac:dyDescent="0.3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21135.685502875454</v>
      </c>
    </row>
    <row r="76" spans="1:4" x14ac:dyDescent="0.3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370882.10534501984</v>
      </c>
    </row>
    <row r="77" spans="1:4" x14ac:dyDescent="0.3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287387.86171913851</v>
      </c>
    </row>
    <row r="78" spans="1:4" x14ac:dyDescent="0.3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248947.97885223315</v>
      </c>
    </row>
    <row r="79" spans="1:4" x14ac:dyDescent="0.3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60719.109564821476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1.6328125" bestFit="1" customWidth="1"/>
    <col min="2" max="2" width="16.1796875" bestFit="1" customWidth="1"/>
    <col min="3" max="3" width="13.1796875" bestFit="1" customWidth="1"/>
    <col min="4" max="4" width="11.7265625" bestFit="1" customWidth="1"/>
    <col min="5" max="5" width="13.7265625" bestFit="1" customWidth="1"/>
    <col min="6" max="6" width="8.54296875" bestFit="1" customWidth="1"/>
    <col min="7" max="7" width="13.7265625" bestFit="1" customWidth="1"/>
    <col min="8" max="8" width="8.54296875" bestFit="1" customWidth="1"/>
    <col min="9" max="10" width="13.72656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72656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7265625" bestFit="1" customWidth="1"/>
    <col min="29" max="29" width="18.81640625" bestFit="1" customWidth="1"/>
    <col min="30" max="30" width="18.453125" bestFit="1" customWidth="1"/>
    <col min="31" max="31" width="11.7265625" bestFit="1" customWidth="1"/>
    <col min="32" max="32" width="9.54296875" bestFit="1" customWidth="1"/>
    <col min="33" max="33" width="11.7265625" bestFit="1" customWidth="1"/>
    <col min="34" max="34" width="5.72656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72656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72656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72656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72656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72656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7265625" bestFit="1" customWidth="1"/>
    <col min="168" max="169" width="14.26953125" bestFit="1" customWidth="1"/>
    <col min="170" max="173" width="11.72656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193</v>
      </c>
      <c r="B4" s="77" t="s">
        <v>62</v>
      </c>
    </row>
    <row r="5" spans="1:4" x14ac:dyDescent="0.3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3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35">
      <c r="A7" s="78">
        <v>2030</v>
      </c>
      <c r="B7" s="239">
        <v>2876672.8817107957</v>
      </c>
      <c r="C7" s="239">
        <v>792674.90695329418</v>
      </c>
      <c r="D7" s="239">
        <v>3669347.78866409</v>
      </c>
    </row>
    <row r="8" spans="1:4" x14ac:dyDescent="0.35">
      <c r="A8" s="78">
        <v>2050</v>
      </c>
      <c r="B8" s="239">
        <v>2983896.4090711381</v>
      </c>
      <c r="C8" s="239">
        <v>874853.83547955821</v>
      </c>
      <c r="D8" s="239">
        <v>3858750.2445506966</v>
      </c>
    </row>
    <row r="9" spans="1:4" x14ac:dyDescent="0.35">
      <c r="A9" s="78" t="s">
        <v>61</v>
      </c>
      <c r="B9" s="239">
        <v>8870807.7831066195</v>
      </c>
      <c r="C9" s="239">
        <v>2495221.9473550571</v>
      </c>
      <c r="D9" s="239">
        <v>11366029.730461676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1.6328125" bestFit="1" customWidth="1"/>
    <col min="2" max="2" width="16.1796875" bestFit="1" customWidth="1"/>
    <col min="3" max="3" width="8.1796875" bestFit="1" customWidth="1"/>
    <col min="4" max="4" width="11" bestFit="1" customWidth="1"/>
    <col min="5" max="5" width="13.7265625" bestFit="1" customWidth="1"/>
    <col min="6" max="6" width="8.54296875" bestFit="1" customWidth="1"/>
    <col min="7" max="7" width="13.7265625" bestFit="1" customWidth="1"/>
    <col min="8" max="8" width="8.54296875" bestFit="1" customWidth="1"/>
    <col min="9" max="10" width="13.72656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72656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7265625" bestFit="1" customWidth="1"/>
    <col min="29" max="29" width="18.81640625" bestFit="1" customWidth="1"/>
    <col min="30" max="30" width="18.453125" bestFit="1" customWidth="1"/>
    <col min="31" max="31" width="11.7265625" bestFit="1" customWidth="1"/>
    <col min="32" max="32" width="9.54296875" bestFit="1" customWidth="1"/>
    <col min="33" max="33" width="11.7265625" bestFit="1" customWidth="1"/>
    <col min="34" max="34" width="5.72656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72656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72656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72656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72656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72656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7265625" bestFit="1" customWidth="1"/>
    <col min="168" max="169" width="14.26953125" bestFit="1" customWidth="1"/>
    <col min="170" max="173" width="11.72656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193</v>
      </c>
      <c r="B4" s="77" t="s">
        <v>62</v>
      </c>
    </row>
    <row r="5" spans="1:4" x14ac:dyDescent="0.3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3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3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3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3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5" x14ac:dyDescent="0.35"/>
  <cols>
    <col min="1" max="1" width="12.6328125" bestFit="1" customWidth="1"/>
    <col min="2" max="2" width="15.6328125" bestFit="1" customWidth="1"/>
    <col min="3" max="3" width="24" bestFit="1" customWidth="1"/>
    <col min="4" max="4" width="17" bestFit="1" customWidth="1"/>
    <col min="5" max="6" width="10.1796875" bestFit="1" customWidth="1"/>
    <col min="7" max="7" width="11.1796875" bestFit="1" customWidth="1"/>
  </cols>
  <sheetData>
    <row r="1" spans="1:7" x14ac:dyDescent="0.35">
      <c r="A1" s="77" t="s">
        <v>64</v>
      </c>
      <c r="B1" s="171" t="s">
        <v>81</v>
      </c>
    </row>
    <row r="3" spans="1:7" x14ac:dyDescent="0.35">
      <c r="A3" s="77" t="s">
        <v>80</v>
      </c>
      <c r="B3" s="77" t="s">
        <v>62</v>
      </c>
    </row>
    <row r="4" spans="1:7" x14ac:dyDescent="0.3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3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35">
      <c r="A6" s="78">
        <v>2030</v>
      </c>
      <c r="B6" s="239">
        <v>65860</v>
      </c>
      <c r="C6" s="239">
        <v>591230</v>
      </c>
      <c r="D6" s="239">
        <v>2208369.9999999995</v>
      </c>
      <c r="E6" s="239">
        <v>572920</v>
      </c>
      <c r="F6" s="239">
        <v>831899.99999999988</v>
      </c>
      <c r="G6" s="239">
        <v>4270279.9999999991</v>
      </c>
    </row>
    <row r="7" spans="1:7" x14ac:dyDescent="0.35">
      <c r="A7" s="78">
        <v>2050</v>
      </c>
      <c r="B7" s="239">
        <v>65860</v>
      </c>
      <c r="C7" s="239">
        <v>591230</v>
      </c>
      <c r="D7" s="239">
        <v>1886540</v>
      </c>
      <c r="E7" s="239">
        <v>651650.00000000012</v>
      </c>
      <c r="F7" s="239">
        <v>1075000</v>
      </c>
      <c r="G7" s="239">
        <v>4270280</v>
      </c>
    </row>
    <row r="8" spans="1:7" x14ac:dyDescent="0.35">
      <c r="A8" s="78" t="s">
        <v>61</v>
      </c>
      <c r="B8" s="239">
        <v>197580</v>
      </c>
      <c r="C8" s="239">
        <v>1773690</v>
      </c>
      <c r="D8" s="239">
        <v>6673280</v>
      </c>
      <c r="E8" s="239">
        <v>1697490</v>
      </c>
      <c r="F8" s="239">
        <v>2468800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5" x14ac:dyDescent="0.35"/>
  <cols>
    <col min="1" max="1" width="21.90625" bestFit="1" customWidth="1"/>
    <col min="2" max="2" width="15.6328125" bestFit="1" customWidth="1"/>
    <col min="3" max="3" width="7.6328125" bestFit="1" customWidth="1"/>
    <col min="4" max="4" width="8.6328125" bestFit="1" customWidth="1"/>
    <col min="5" max="5" width="10.36328125" bestFit="1" customWidth="1"/>
    <col min="6" max="6" width="9.08984375" bestFit="1" customWidth="1"/>
    <col min="7" max="7" width="8.6328125" bestFit="1" customWidth="1"/>
    <col min="8" max="8" width="10.1796875" bestFit="1" customWidth="1"/>
    <col min="9" max="11" width="8.6328125" bestFit="1" customWidth="1"/>
    <col min="12" max="12" width="7.6328125" bestFit="1" customWidth="1"/>
    <col min="13" max="13" width="15" bestFit="1" customWidth="1"/>
    <col min="14" max="14" width="11.453125" bestFit="1" customWidth="1"/>
    <col min="15" max="15" width="8.6328125" bestFit="1" customWidth="1"/>
    <col min="16" max="16" width="10.7265625" bestFit="1" customWidth="1"/>
    <col min="17" max="21" width="11.7265625" bestFit="1" customWidth="1"/>
    <col min="22" max="22" width="7.81640625" bestFit="1" customWidth="1"/>
    <col min="23" max="27" width="11.7265625" bestFit="1" customWidth="1"/>
    <col min="28" max="28" width="14.1796875" bestFit="1" customWidth="1"/>
    <col min="29" max="29" width="9.54296875" bestFit="1" customWidth="1"/>
    <col min="30" max="35" width="11.7265625" bestFit="1" customWidth="1"/>
    <col min="36" max="36" width="7.81640625" bestFit="1" customWidth="1"/>
    <col min="37" max="41" width="11.7265625" bestFit="1" customWidth="1"/>
    <col min="42" max="42" width="14.1796875" bestFit="1" customWidth="1"/>
    <col min="43" max="43" width="8.54296875" bestFit="1" customWidth="1"/>
    <col min="44" max="44" width="10.1796875" bestFit="1" customWidth="1"/>
    <col min="45" max="49" width="11.7265625" bestFit="1" customWidth="1"/>
    <col min="50" max="50" width="16" bestFit="1" customWidth="1"/>
    <col min="51" max="52" width="11.7265625" bestFit="1" customWidth="1"/>
    <col min="53" max="53" width="18.7265625" bestFit="1" customWidth="1"/>
    <col min="54" max="54" width="10.1796875" bestFit="1" customWidth="1"/>
    <col min="55" max="55" width="16.453125" bestFit="1" customWidth="1"/>
    <col min="56" max="56" width="14.81640625" bestFit="1" customWidth="1"/>
    <col min="57" max="57" width="15.453125" bestFit="1" customWidth="1"/>
    <col min="58" max="58" width="16.453125" bestFit="1" customWidth="1"/>
    <col min="59" max="59" width="14.81640625" bestFit="1" customWidth="1"/>
    <col min="60" max="60" width="15.453125" bestFit="1" customWidth="1"/>
    <col min="61" max="61" width="16.453125" bestFit="1" customWidth="1"/>
    <col min="62" max="62" width="14.81640625" bestFit="1" customWidth="1"/>
    <col min="63" max="63" width="15.453125" bestFit="1" customWidth="1"/>
    <col min="64" max="64" width="16.453125" bestFit="1" customWidth="1"/>
    <col min="65" max="65" width="14.81640625" bestFit="1" customWidth="1"/>
    <col min="66" max="66" width="15.453125" bestFit="1" customWidth="1"/>
    <col min="67" max="67" width="16.453125" bestFit="1" customWidth="1"/>
    <col min="68" max="68" width="14.81640625" bestFit="1" customWidth="1"/>
    <col min="69" max="69" width="15.453125" bestFit="1" customWidth="1"/>
    <col min="70" max="70" width="16.453125" bestFit="1" customWidth="1"/>
    <col min="71" max="71" width="14.81640625" bestFit="1" customWidth="1"/>
    <col min="72" max="72" width="15.453125" bestFit="1" customWidth="1"/>
    <col min="73" max="73" width="16.453125" bestFit="1" customWidth="1"/>
    <col min="74" max="74" width="14.81640625" bestFit="1" customWidth="1"/>
    <col min="75" max="75" width="15.453125" bestFit="1" customWidth="1"/>
    <col min="76" max="76" width="16.453125" bestFit="1" customWidth="1"/>
    <col min="77" max="77" width="14.81640625" bestFit="1" customWidth="1"/>
    <col min="78" max="78" width="15.453125" bestFit="1" customWidth="1"/>
    <col min="79" max="79" width="16.453125" bestFit="1" customWidth="1"/>
    <col min="80" max="80" width="14.81640625" bestFit="1" customWidth="1"/>
    <col min="81" max="81" width="15.453125" bestFit="1" customWidth="1"/>
    <col min="82" max="82" width="16.453125" bestFit="1" customWidth="1"/>
    <col min="83" max="83" width="23.453125" bestFit="1" customWidth="1"/>
    <col min="84" max="84" width="24" bestFit="1" customWidth="1"/>
    <col min="85" max="85" width="25" bestFit="1" customWidth="1"/>
    <col min="86" max="86" width="19.453125" bestFit="1" customWidth="1"/>
    <col min="87" max="87" width="20" bestFit="1" customWidth="1"/>
    <col min="88" max="88" width="21.1796875" bestFit="1" customWidth="1"/>
  </cols>
  <sheetData>
    <row r="1" spans="1:16" x14ac:dyDescent="0.35">
      <c r="A1" s="77" t="s">
        <v>63</v>
      </c>
      <c r="B1" s="171" t="s">
        <v>81</v>
      </c>
    </row>
    <row r="2" spans="1:16" x14ac:dyDescent="0.35">
      <c r="A2" s="77" t="s">
        <v>64</v>
      </c>
      <c r="B2" s="171" t="s">
        <v>81</v>
      </c>
    </row>
    <row r="4" spans="1:16" x14ac:dyDescent="0.35">
      <c r="A4" s="77" t="s">
        <v>88</v>
      </c>
      <c r="B4" s="77" t="s">
        <v>62</v>
      </c>
    </row>
    <row r="5" spans="1:16" x14ac:dyDescent="0.3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3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35">
      <c r="A7" s="78">
        <v>2030</v>
      </c>
      <c r="B7" s="239">
        <v>193529.51145368538</v>
      </c>
      <c r="C7" s="239">
        <v>10742.764766009097</v>
      </c>
      <c r="D7" s="239">
        <v>156987.56675097879</v>
      </c>
      <c r="E7" s="239">
        <v>21396.638291457013</v>
      </c>
      <c r="F7" s="239">
        <v>21703.374142358447</v>
      </c>
      <c r="G7" s="239">
        <v>54572.095689989801</v>
      </c>
      <c r="H7" s="239">
        <v>875591.45920908672</v>
      </c>
      <c r="I7" s="239">
        <v>110977.52639575016</v>
      </c>
      <c r="J7" s="239">
        <v>54707.673917376364</v>
      </c>
      <c r="K7" s="239">
        <v>215193.72878896073</v>
      </c>
      <c r="L7" s="239">
        <v>10767.259065585898</v>
      </c>
      <c r="M7" s="239">
        <v>381394.64883502008</v>
      </c>
      <c r="N7" s="239">
        <v>11331.349184084853</v>
      </c>
      <c r="O7" s="239">
        <v>90316.264190364629</v>
      </c>
      <c r="P7" s="239">
        <v>2209211.8606807077</v>
      </c>
    </row>
    <row r="8" spans="1:16" x14ac:dyDescent="0.35">
      <c r="A8" s="78">
        <v>2050</v>
      </c>
      <c r="B8" s="239">
        <v>169788.308019955</v>
      </c>
      <c r="C8" s="239">
        <v>9432.6841985048559</v>
      </c>
      <c r="D8" s="239">
        <v>122625.93591750177</v>
      </c>
      <c r="E8" s="239">
        <v>18865.363395327251</v>
      </c>
      <c r="F8" s="239">
        <v>18865.377976726155</v>
      </c>
      <c r="G8" s="239">
        <v>47163.471034252521</v>
      </c>
      <c r="H8" s="239">
        <v>754615.39892948361</v>
      </c>
      <c r="I8" s="239">
        <v>94326.964105956184</v>
      </c>
      <c r="J8" s="239">
        <v>47163.464832684054</v>
      </c>
      <c r="K8" s="239">
        <v>188653.68692287465</v>
      </c>
      <c r="L8" s="239">
        <v>9432.6844828219237</v>
      </c>
      <c r="M8" s="239">
        <v>320712.2901799574</v>
      </c>
      <c r="N8" s="239">
        <v>9432.7158120801651</v>
      </c>
      <c r="O8" s="239">
        <v>76207.415665262117</v>
      </c>
      <c r="P8" s="239">
        <v>1887285.7614733877</v>
      </c>
    </row>
    <row r="9" spans="1:16" x14ac:dyDescent="0.35">
      <c r="A9" s="78" t="s">
        <v>61</v>
      </c>
      <c r="B9" s="239">
        <v>440171.03234006272</v>
      </c>
      <c r="C9" s="239">
        <v>25290.229857619859</v>
      </c>
      <c r="D9" s="239">
        <v>568544.91832412849</v>
      </c>
      <c r="E9" s="239">
        <v>53014.080255612258</v>
      </c>
      <c r="F9" s="239">
        <v>59511.448585830818</v>
      </c>
      <c r="G9" s="239">
        <v>156811.08752622383</v>
      </c>
      <c r="H9" s="239">
        <v>2968028.1908215717</v>
      </c>
      <c r="I9" s="239">
        <v>385445.16638481076</v>
      </c>
      <c r="J9" s="239">
        <v>171809.7748192008</v>
      </c>
      <c r="K9" s="239">
        <v>565279.03804452857</v>
      </c>
      <c r="L9" s="239">
        <v>54166.300412126853</v>
      </c>
      <c r="M9" s="239">
        <v>923111.95409128349</v>
      </c>
      <c r="N9" s="239">
        <v>29343.692382739428</v>
      </c>
      <c r="O9" s="239">
        <v>274340.70830835565</v>
      </c>
      <c r="P9" s="239">
        <v>6674867.6221540952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5" x14ac:dyDescent="0.35"/>
  <cols>
    <col min="5" max="5" width="10.54296875" bestFit="1" customWidth="1"/>
  </cols>
  <sheetData>
    <row r="1" spans="1:5" x14ac:dyDescent="0.3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3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3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3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3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3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3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3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3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3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3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3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3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3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3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3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3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3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1603734.7543092733</v>
      </c>
    </row>
    <row r="19" spans="1:5" x14ac:dyDescent="0.3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678400.84352087462</v>
      </c>
    </row>
    <row r="20" spans="1:5" x14ac:dyDescent="0.3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3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3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3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3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3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3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3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3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3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3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3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3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3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3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3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3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3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3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3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3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3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3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3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3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3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3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3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3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3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3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3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3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3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3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3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3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3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3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3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3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3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3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3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525901.24569072668</v>
      </c>
    </row>
    <row r="64" spans="1:5" x14ac:dyDescent="0.3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153499.15647912529</v>
      </c>
    </row>
    <row r="65" spans="1:5" x14ac:dyDescent="0.3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3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3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3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3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3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3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3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3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3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3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3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3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3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3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3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3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3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3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3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3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3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3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3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3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3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3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5" x14ac:dyDescent="0.35"/>
  <sheetData>
    <row r="1" spans="1:16" x14ac:dyDescent="0.3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3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3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3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3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7560938.5185532495</v>
      </c>
    </row>
    <row r="6" spans="1:16" x14ac:dyDescent="0.3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3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3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3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3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3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3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3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3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495893.73144674982</v>
      </c>
    </row>
    <row r="15" spans="1:16" x14ac:dyDescent="0.3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3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554892.22499100864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3889794.49718697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1262238.3143371718</v>
      </c>
      <c r="J16" s="76">
        <f t="shared" si="2"/>
        <v>1262238.3143371718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3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124850.75062297694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481923.89740469103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142241.21167725138</v>
      </c>
      <c r="J17" s="76">
        <f t="shared" si="2"/>
        <v>142241.21167725138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3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138723.05624775216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610381.44749010948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324112.54861724819</v>
      </c>
      <c r="J18" s="76">
        <f t="shared" si="2"/>
        <v>324112.54861724819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3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90169.986561038895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4474234.7331587505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4474234.7331587505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3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13872.305624775214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287850.34171408572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287850.34171408572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3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34680.76406193804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1472923.2440485535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1472923.2440485535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3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6936.1528123876069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563588.29717370344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563588.29717370344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3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69361.52812387608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3087281.6167937247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3087281.6167937247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3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6936.1528123876069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58887.937377170791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58887.937377170791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3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34680.76406193804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1033346.0868102438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1033346.0868102438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3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56037.604882581254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800713.53346272616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132248.74752289176</v>
      </c>
      <c r="J26" s="76">
        <f t="shared" si="2"/>
        <v>132248.74752289176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3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13872.305624775214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693615.2812387608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693615.2812387608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3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6936.1528123876069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169174.45883872214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169174.45883872214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3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235829.19562117866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3252084.6076160539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3252084.6076160539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3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1039136.7706587557</v>
      </c>
      <c r="J30" s="76">
        <f t="shared" si="2"/>
        <v>1039136.7706587557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3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102783.28929098426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396743.49666319927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117099.97365632544</v>
      </c>
      <c r="J31" s="76">
        <f t="shared" si="2"/>
        <v>117099.97365632544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3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114203.65476776029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502496.0809781453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266825.41899939516</v>
      </c>
      <c r="J32" s="76">
        <f t="shared" si="2"/>
        <v>266825.41899939516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3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74232.375599044186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3683410.477224573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3683410.477224573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3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11420.365476776029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236972.58364310261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236972.58364310261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3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28550.913691940073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1212582.9852127142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1212582.9852127142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3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3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3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5710.1827383880145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48479.451448914246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48479.451448914246</v>
      </c>
    </row>
    <row r="39" spans="1:16" x14ac:dyDescent="0.3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28550.913691940073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850701.41147214919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850701.41147214919</v>
      </c>
    </row>
    <row r="40" spans="1:16" x14ac:dyDescent="0.3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108873.68483721506</v>
      </c>
      <c r="J40" s="76">
        <f t="shared" si="2"/>
        <v>108873.68483721506</v>
      </c>
    </row>
    <row r="41" spans="1:16" x14ac:dyDescent="0.3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11420.365476776029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571018.27383880154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571018.27383880154</v>
      </c>
    </row>
    <row r="42" spans="1:16" x14ac:dyDescent="0.3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5710.1827383880145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139272.74971678085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139272.74971678085</v>
      </c>
    </row>
    <row r="43" spans="1:16" x14ac:dyDescent="0.3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194146.21310519252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2677276.2787206052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2677276.2787206052</v>
      </c>
    </row>
    <row r="44" spans="1:16" x14ac:dyDescent="0.3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3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3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3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3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3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3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3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3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3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3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3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3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3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3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86601.676732700769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406742.09511047573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131987.80986334936</v>
      </c>
      <c r="J58" s="76">
        <f t="shared" si="2"/>
        <v>131987.80986334936</v>
      </c>
    </row>
    <row r="59" spans="1:10" x14ac:dyDescent="0.3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19485.377264857674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42871.727058139862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12653.712414525426</v>
      </c>
      <c r="J59" s="76">
        <f t="shared" si="2"/>
        <v>12653.712414525426</v>
      </c>
    </row>
    <row r="60" spans="1:10" x14ac:dyDescent="0.3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21650.419183175192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52394.014423283974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27821.221658763785</v>
      </c>
      <c r="J60" s="76">
        <f t="shared" si="2"/>
        <v>27821.221658763785</v>
      </c>
    </row>
    <row r="61" spans="1:10" x14ac:dyDescent="0.3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14072.772469063875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544666.95653366065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544666.95653366065</v>
      </c>
    </row>
    <row r="62" spans="1:10" x14ac:dyDescent="0.3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2165.041918317519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25607.033288900457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25607.033288900457</v>
      </c>
    </row>
    <row r="63" spans="1:10" x14ac:dyDescent="0.3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5412.6047957937981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131030.57066998405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131030.57066998405</v>
      </c>
    </row>
    <row r="64" spans="1:10" x14ac:dyDescent="0.3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1082.5209591587595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50136.554297706913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50136.554297706913</v>
      </c>
    </row>
    <row r="65" spans="1:10" x14ac:dyDescent="0.3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10825.209591587596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399918.96550489805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399918.96550489805</v>
      </c>
    </row>
    <row r="66" spans="1:10" x14ac:dyDescent="0.3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1082.5209591587595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5238.6436776569863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5238.6436776569863</v>
      </c>
    </row>
    <row r="67" spans="1:10" x14ac:dyDescent="0.3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5412.6047957937981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91925.990034737857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91925.990034737857</v>
      </c>
    </row>
    <row r="68" spans="1:10" x14ac:dyDescent="0.3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8745.7533631774204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71231.105664689894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11764.787424146265</v>
      </c>
      <c r="J68" s="76">
        <f t="shared" si="2"/>
        <v>11764.787424146265</v>
      </c>
    </row>
    <row r="69" spans="1:10" x14ac:dyDescent="0.3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2165.041918317519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61703.694672049292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61703.694672049292</v>
      </c>
    </row>
    <row r="70" spans="1:10" x14ac:dyDescent="0.3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1082.5209591587595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15049.681627329097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15049.681627329097</v>
      </c>
    </row>
    <row r="71" spans="1:10" x14ac:dyDescent="0.3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36805.712611397823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507550.77691117604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507550.77691117604</v>
      </c>
    </row>
    <row r="72" spans="1:10" x14ac:dyDescent="0.3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147683.37740574437</v>
      </c>
      <c r="J72" s="76">
        <f t="shared" ref="J72:J139" si="15">IF(I72&lt;&gt;0,I72,H72)</f>
        <v>147683.37740574437</v>
      </c>
    </row>
    <row r="73" spans="1:10" x14ac:dyDescent="0.3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21802.515910208782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47969.895505641362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14158.451360264802</v>
      </c>
      <c r="J73" s="76">
        <f t="shared" si="15"/>
        <v>14158.451360264802</v>
      </c>
    </row>
    <row r="74" spans="1:10" x14ac:dyDescent="0.3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24225.017678009757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58624.542780783624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31129.632216596103</v>
      </c>
      <c r="J74" s="76">
        <f t="shared" si="15"/>
        <v>31129.632216596103</v>
      </c>
    </row>
    <row r="75" spans="1:10" x14ac:dyDescent="0.3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15746.261490706343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609437.00623170205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609437.00623170205</v>
      </c>
    </row>
    <row r="76" spans="1:10" x14ac:dyDescent="0.3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2422.5017678009758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28652.139658666041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28652.139658666041</v>
      </c>
    </row>
    <row r="77" spans="1:10" x14ac:dyDescent="0.3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6056.2544195024393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146612.30639390086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146612.30639390086</v>
      </c>
    </row>
    <row r="78" spans="1:10" x14ac:dyDescent="0.3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3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3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1211.2508839004879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5861.6064024596308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5861.6064024596308</v>
      </c>
    </row>
    <row r="81" spans="1:10" x14ac:dyDescent="0.3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6056.2544195024393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102857.53429617804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102857.53429617804</v>
      </c>
    </row>
    <row r="82" spans="1:10" x14ac:dyDescent="0.3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13163.818257590547</v>
      </c>
      <c r="J82" s="76">
        <f t="shared" si="15"/>
        <v>13163.818257590547</v>
      </c>
    </row>
    <row r="83" spans="1:10" x14ac:dyDescent="0.3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2422.5017678009758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69041.300382327798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69041.300382327798</v>
      </c>
    </row>
    <row r="84" spans="1:10" x14ac:dyDescent="0.3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1211.2508839004879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16839.34155666532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16839.34155666532</v>
      </c>
    </row>
    <row r="85" spans="1:10" x14ac:dyDescent="0.3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41182.530052616588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567907.08942558279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567907.08942558279</v>
      </c>
    </row>
    <row r="86" spans="1:10" x14ac:dyDescent="0.3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3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3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3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3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3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3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3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3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3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3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3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3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3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3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49103.611239321639</v>
      </c>
      <c r="J100" s="76">
        <f t="shared" si="15"/>
        <v>49103.611239321639</v>
      </c>
    </row>
    <row r="101" spans="1:10" x14ac:dyDescent="0.3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2108.2322624463368</v>
      </c>
      <c r="J101" s="76">
        <f t="shared" si="15"/>
        <v>2108.2322624463368</v>
      </c>
    </row>
    <row r="102" spans="1:10" x14ac:dyDescent="0.3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4629.4866307678276</v>
      </c>
      <c r="J102" s="76">
        <f t="shared" si="15"/>
        <v>4629.4866307678276</v>
      </c>
    </row>
    <row r="103" spans="1:10" x14ac:dyDescent="0.3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3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3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3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3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3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3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3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8025.1632678672395</v>
      </c>
      <c r="J110" s="76">
        <f t="shared" si="15"/>
        <v>8025.1632678672395</v>
      </c>
    </row>
    <row r="111" spans="1:10" x14ac:dyDescent="0.3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3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3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3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1.1896795207595032</v>
      </c>
      <c r="J114" s="76">
        <f t="shared" si="15"/>
        <v>1.1896795207595032</v>
      </c>
    </row>
    <row r="115" spans="1:10" x14ac:dyDescent="0.3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5.107813222560717E-2</v>
      </c>
      <c r="J115" s="76">
        <f t="shared" si="15"/>
        <v>5.107813222560717E-2</v>
      </c>
    </row>
    <row r="116" spans="1:10" x14ac:dyDescent="0.3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0.11216294071349212</v>
      </c>
      <c r="J116" s="76">
        <f t="shared" si="15"/>
        <v>0.11216294071349212</v>
      </c>
    </row>
    <row r="117" spans="1:10" x14ac:dyDescent="0.3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3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3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3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3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3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3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3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0.19443320256021493</v>
      </c>
      <c r="J124" s="76">
        <f t="shared" si="15"/>
        <v>0.19443320256021493</v>
      </c>
    </row>
    <row r="125" spans="1:10" x14ac:dyDescent="0.3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3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3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3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3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3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3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3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3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3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3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3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3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3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3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3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3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3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5134.5914873949623</v>
      </c>
      <c r="J142" s="76">
        <f t="shared" si="29"/>
        <v>5134.5914873949623</v>
      </c>
    </row>
    <row r="143" spans="1:10" x14ac:dyDescent="0.3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187.54736716213364</v>
      </c>
      <c r="J143" s="76">
        <f t="shared" si="29"/>
        <v>187.54736716213364</v>
      </c>
    </row>
    <row r="144" spans="1:10" x14ac:dyDescent="0.3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397.3865691728455</v>
      </c>
      <c r="J144" s="76">
        <f t="shared" si="29"/>
        <v>397.3865691728455</v>
      </c>
    </row>
    <row r="145" spans="1:10" x14ac:dyDescent="0.3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3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3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3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3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3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3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3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713.91481325131133</v>
      </c>
      <c r="J152" s="76">
        <f t="shared" si="29"/>
        <v>713.91481325131133</v>
      </c>
    </row>
    <row r="153" spans="1:10" x14ac:dyDescent="0.3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3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3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3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0.16907869552612334</v>
      </c>
      <c r="J156" s="76">
        <f t="shared" si="29"/>
        <v>0.16907869552612334</v>
      </c>
    </row>
    <row r="157" spans="1:10" x14ac:dyDescent="0.3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6.1758105327325025E-3</v>
      </c>
      <c r="J157" s="76">
        <f t="shared" si="29"/>
        <v>6.1758105327325025E-3</v>
      </c>
    </row>
    <row r="158" spans="1:10" x14ac:dyDescent="0.3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1.3085676416574083E-2</v>
      </c>
      <c r="J158" s="76">
        <f t="shared" si="29"/>
        <v>1.3085676416574083E-2</v>
      </c>
    </row>
    <row r="159" spans="1:10" x14ac:dyDescent="0.3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3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3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3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3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3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3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3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2.3508741764098708E-2</v>
      </c>
      <c r="J166" s="76">
        <f t="shared" si="29"/>
        <v>2.3508741764098708E-2</v>
      </c>
    </row>
    <row r="167" spans="1:10" x14ac:dyDescent="0.3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3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3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3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3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3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3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3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3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3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3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3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3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3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3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3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3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3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0.94503263983697616</v>
      </c>
      <c r="J184" s="76">
        <f t="shared" si="29"/>
        <v>0.94503263983697616</v>
      </c>
    </row>
    <row r="185" spans="1:10" x14ac:dyDescent="0.3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2.7252990800632915E-2</v>
      </c>
      <c r="J185" s="76">
        <f t="shared" si="29"/>
        <v>2.7252990800632915E-2</v>
      </c>
    </row>
    <row r="186" spans="1:10" x14ac:dyDescent="0.3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7.2373847993846926E-2</v>
      </c>
      <c r="J186" s="76">
        <f t="shared" si="29"/>
        <v>7.2373847993846926E-2</v>
      </c>
    </row>
    <row r="187" spans="1:10" x14ac:dyDescent="0.3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3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3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3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3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3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3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3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0.22494335517932812</v>
      </c>
      <c r="J194" s="76">
        <f t="shared" si="29"/>
        <v>0.22494335517932812</v>
      </c>
    </row>
    <row r="195" spans="1:10" x14ac:dyDescent="0.3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3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3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3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0.90133170851503497</v>
      </c>
      <c r="J198" s="76">
        <f t="shared" si="29"/>
        <v>0.90133170851503497</v>
      </c>
    </row>
    <row r="199" spans="1:10" x14ac:dyDescent="0.3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2.5992736890777059E-2</v>
      </c>
      <c r="J199" s="76">
        <f t="shared" si="29"/>
        <v>2.5992736890777059E-2</v>
      </c>
    </row>
    <row r="200" spans="1:10" x14ac:dyDescent="0.3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6.9027080456559198E-2</v>
      </c>
      <c r="J200" s="76">
        <f t="shared" si="29"/>
        <v>6.9027080456559198E-2</v>
      </c>
    </row>
    <row r="201" spans="1:10" x14ac:dyDescent="0.3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3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3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3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3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3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3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3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0.21454135031554414</v>
      </c>
      <c r="J208" s="76">
        <f t="shared" si="29"/>
        <v>0.21454135031554414</v>
      </c>
    </row>
    <row r="209" spans="1:10" x14ac:dyDescent="0.3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3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3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3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3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3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3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3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3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3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3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3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3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3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3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3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3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3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9.881873095173932E-2</v>
      </c>
      <c r="J226" s="76">
        <f t="shared" si="42"/>
        <v>9.881873095173932E-2</v>
      </c>
    </row>
    <row r="227" spans="1:10" x14ac:dyDescent="0.3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2.4244134590852054E-3</v>
      </c>
      <c r="J227" s="76">
        <f t="shared" si="42"/>
        <v>2.4244134590852054E-3</v>
      </c>
    </row>
    <row r="228" spans="1:10" x14ac:dyDescent="0.3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6.2124372410903295E-3</v>
      </c>
      <c r="J228" s="76">
        <f t="shared" si="42"/>
        <v>6.2124372410903295E-3</v>
      </c>
    </row>
    <row r="229" spans="1:10" x14ac:dyDescent="0.3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3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3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3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3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3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3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3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2.0010856856704395E-2</v>
      </c>
      <c r="J236" s="76">
        <f t="shared" si="42"/>
        <v>2.0010856856704395E-2</v>
      </c>
    </row>
    <row r="237" spans="1:10" x14ac:dyDescent="0.3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3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3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3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0.12809835493743982</v>
      </c>
      <c r="J240" s="76">
        <f t="shared" si="42"/>
        <v>0.12809835493743982</v>
      </c>
    </row>
    <row r="241" spans="1:10" x14ac:dyDescent="0.3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3.1427581877030439E-3</v>
      </c>
      <c r="J241" s="76">
        <f t="shared" si="42"/>
        <v>3.1427581877030439E-3</v>
      </c>
    </row>
    <row r="242" spans="1:10" x14ac:dyDescent="0.3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8.053159386598575E-3</v>
      </c>
      <c r="J242" s="76">
        <f t="shared" si="42"/>
        <v>8.053159386598575E-3</v>
      </c>
    </row>
    <row r="243" spans="1:10" x14ac:dyDescent="0.3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3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3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3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3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3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3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3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2.5939999629061253E-2</v>
      </c>
      <c r="J250" s="76">
        <f t="shared" si="42"/>
        <v>2.5939999629061253E-2</v>
      </c>
    </row>
    <row r="251" spans="1:10" x14ac:dyDescent="0.3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3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3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3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3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3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3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3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3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3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3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3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3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3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3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3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3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3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181961.83100899146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1275552.4353730301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413916.76527854824</v>
      </c>
      <c r="J268" s="76">
        <f t="shared" si="42"/>
        <v>413916.76527854824</v>
      </c>
    </row>
    <row r="269" spans="1:10" x14ac:dyDescent="0.3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40941.411977023075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158033.85023130907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46644.141251302615</v>
      </c>
      <c r="J269" s="76">
        <f t="shared" si="42"/>
        <v>46644.141251302615</v>
      </c>
    </row>
    <row r="270" spans="1:10" x14ac:dyDescent="0.3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45490.457752247865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200158.01410989062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106283.90549235193</v>
      </c>
      <c r="J270" s="76">
        <f t="shared" si="42"/>
        <v>106283.90549235193</v>
      </c>
    </row>
    <row r="271" spans="1:10" x14ac:dyDescent="0.3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29568.797538961109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1467203.7338832503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1467203.7338832503</v>
      </c>
    </row>
    <row r="272" spans="1:10" x14ac:dyDescent="0.3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4549.0457752247858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94392.699835914304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94392.699835914304</v>
      </c>
    </row>
    <row r="273" spans="1:10" x14ac:dyDescent="0.3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11372.614438061966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483005.16452022962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483005.16452022962</v>
      </c>
    </row>
    <row r="274" spans="1:10" x14ac:dyDescent="0.3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2274.5228876123929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184813.47164420696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184813.47164420696</v>
      </c>
    </row>
    <row r="275" spans="1:10" x14ac:dyDescent="0.3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22745.228876123932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1012390.1372762762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1012390.1372762762</v>
      </c>
    </row>
    <row r="276" spans="1:10" x14ac:dyDescent="0.3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2274.5228876123929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19310.699315829217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19310.699315829217</v>
      </c>
    </row>
    <row r="277" spans="1:10" x14ac:dyDescent="0.3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11372.614438061966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338857.77733687829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338857.77733687829</v>
      </c>
    </row>
    <row r="278" spans="1:10" x14ac:dyDescent="0.3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18376.010206230789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262572.25115186628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43367.38408670466</v>
      </c>
      <c r="J278" s="76">
        <f t="shared" si="55"/>
        <v>43367.38408670466</v>
      </c>
    </row>
    <row r="279" spans="1:10" x14ac:dyDescent="0.3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4549.0457752247858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227452.28876123927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227452.28876123927</v>
      </c>
    </row>
    <row r="280" spans="1:10" x14ac:dyDescent="0.3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2274.5228876123929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55476.167990546179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55476.167990546179</v>
      </c>
    </row>
    <row r="281" spans="1:10" x14ac:dyDescent="0.3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77333.778178821362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1066432.8010859468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1066432.8010859468</v>
      </c>
    </row>
    <row r="282" spans="1:10" x14ac:dyDescent="0.3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377021.37933684443</v>
      </c>
      <c r="J282" s="76">
        <f t="shared" si="55"/>
        <v>377021.37933684443</v>
      </c>
    </row>
    <row r="283" spans="1:10" x14ac:dyDescent="0.3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37292.008709015725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143947.1536168007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42486.412602094526</v>
      </c>
      <c r="J283" s="76">
        <f t="shared" si="55"/>
        <v>42486.412602094526</v>
      </c>
    </row>
    <row r="284" spans="1:10" x14ac:dyDescent="0.3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41435.5652322397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182316.4870218547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96810.054608604842</v>
      </c>
      <c r="J284" s="76">
        <f t="shared" si="55"/>
        <v>96810.054608604842</v>
      </c>
    </row>
    <row r="285" spans="1:10" x14ac:dyDescent="0.3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26933.117400955805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1336421.285435427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1336421.285435427</v>
      </c>
    </row>
    <row r="286" spans="1:10" x14ac:dyDescent="0.3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4143.5565232239696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85978.797856897378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85978.797856897378</v>
      </c>
    </row>
    <row r="287" spans="1:10" x14ac:dyDescent="0.3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10358.891308059925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439951.43137458741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439951.43137458741</v>
      </c>
    </row>
    <row r="288" spans="1:10" x14ac:dyDescent="0.3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3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3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2071.7782616119848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17589.397441085752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17589.397441085752</v>
      </c>
    </row>
    <row r="291" spans="1:10" x14ac:dyDescent="0.3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10358.891308059925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308652.94022239564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308652.94022239564</v>
      </c>
    </row>
    <row r="292" spans="1:10" x14ac:dyDescent="0.3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39501.736431470628</v>
      </c>
      <c r="J292" s="76">
        <f t="shared" si="55"/>
        <v>39501.736431470628</v>
      </c>
    </row>
    <row r="293" spans="1:10" x14ac:dyDescent="0.3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4143.5565232239696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207177.82616119849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207177.82616119849</v>
      </c>
    </row>
    <row r="294" spans="1:10" x14ac:dyDescent="0.3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2071.7782616119848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50531.177112487436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50531.177112487436</v>
      </c>
    </row>
    <row r="295" spans="1:10" x14ac:dyDescent="0.3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70440.460894807489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971373.95573939534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971373.95573939534</v>
      </c>
    </row>
    <row r="296" spans="1:10" x14ac:dyDescent="0.3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3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3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3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3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3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3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3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3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3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3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3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3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3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3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28398.667267299243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133380.02055432435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43281.816669878259</v>
      </c>
      <c r="J310" s="76">
        <f t="shared" si="55"/>
        <v>43281.816669878259</v>
      </c>
    </row>
    <row r="311" spans="1:10" x14ac:dyDescent="0.3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6389.7001351423296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14058.618237340153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4149.4412361707937</v>
      </c>
      <c r="J311" s="76">
        <f t="shared" si="55"/>
        <v>4149.4412361707937</v>
      </c>
    </row>
    <row r="312" spans="1:10" x14ac:dyDescent="0.3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7099.6668168248107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17181.193696716044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9123.2138529562199</v>
      </c>
      <c r="J312" s="76">
        <f t="shared" si="55"/>
        <v>9123.2138529562199</v>
      </c>
    </row>
    <row r="313" spans="1:10" x14ac:dyDescent="0.3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4614.7834309361278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178608.73199757951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178608.73199757951</v>
      </c>
    </row>
    <row r="314" spans="1:10" x14ac:dyDescent="0.3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709.96668168248107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8397.1309275995427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8397.1309275995427</v>
      </c>
    </row>
    <row r="315" spans="1:10" x14ac:dyDescent="0.3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1774.9167042062027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42967.916080730247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42967.916080730247</v>
      </c>
    </row>
    <row r="316" spans="1:10" x14ac:dyDescent="0.3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354.98334084124053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16440.92097459159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16440.92097459159</v>
      </c>
    </row>
    <row r="317" spans="1:10" x14ac:dyDescent="0.3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3549.8334084124053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131142.56055700203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131142.56055700203</v>
      </c>
    </row>
    <row r="318" spans="1:10" x14ac:dyDescent="0.3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354.98334084124053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1717.8708813330152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1717.8708813330152</v>
      </c>
    </row>
    <row r="319" spans="1:10" x14ac:dyDescent="0.3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1774.9167042062027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30144.631174650611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30144.631174650611</v>
      </c>
    </row>
    <row r="320" spans="1:10" x14ac:dyDescent="0.3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2867.9322287180994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23358.306041775846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3857.9424340715868</v>
      </c>
      <c r="J320" s="76">
        <f t="shared" si="55"/>
        <v>3857.9424340715868</v>
      </c>
    </row>
    <row r="321" spans="1:10" x14ac:dyDescent="0.3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709.96668168248107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20234.050427950711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20234.050427950711</v>
      </c>
    </row>
    <row r="322" spans="1:10" x14ac:dyDescent="0.3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354.98334084124053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4935.134250719685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4935.134250719685</v>
      </c>
    </row>
    <row r="323" spans="1:10" x14ac:dyDescent="0.3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12069.433588602178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166437.48918682407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166437.48918682407</v>
      </c>
    </row>
    <row r="324" spans="1:10" x14ac:dyDescent="0.3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53582.735426963634</v>
      </c>
      <c r="J324" s="76">
        <f t="shared" si="55"/>
        <v>53582.735426963634</v>
      </c>
    </row>
    <row r="325" spans="1:10" x14ac:dyDescent="0.3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7910.4260897912154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17404.519482758635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5136.9935237077916</v>
      </c>
      <c r="J325" s="76">
        <f t="shared" si="55"/>
        <v>5136.9935237077916</v>
      </c>
    </row>
    <row r="326" spans="1:10" x14ac:dyDescent="0.3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8789.3623219902383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21270.256819216378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11294.506371003898</v>
      </c>
      <c r="J326" s="76">
        <f t="shared" si="55"/>
        <v>11294.506371003898</v>
      </c>
    </row>
    <row r="327" spans="1:10" x14ac:dyDescent="0.3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5713.0855092936554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221116.97631749796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221116.97631749796</v>
      </c>
    </row>
    <row r="328" spans="1:10" x14ac:dyDescent="0.3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878.93623219902383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10395.618286333955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10395.618286333955</v>
      </c>
    </row>
    <row r="329" spans="1:10" x14ac:dyDescent="0.3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2197.3405804975596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53194.127611654651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53194.127611654651</v>
      </c>
    </row>
    <row r="330" spans="1:10" x14ac:dyDescent="0.3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3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3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439.46811609951192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2126.718054240368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2126.718054240368</v>
      </c>
    </row>
    <row r="333" spans="1:10" x14ac:dyDescent="0.3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2197.3405804975596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37318.94640870783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37318.94640870783</v>
      </c>
    </row>
    <row r="334" spans="1:10" x14ac:dyDescent="0.3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4776.1190412596297</v>
      </c>
      <c r="J334" s="76">
        <f t="shared" si="55"/>
        <v>4776.1190412596297</v>
      </c>
    </row>
    <row r="335" spans="1:10" x14ac:dyDescent="0.3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878.93623219902383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25049.682617672181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25049.682617672181</v>
      </c>
    </row>
    <row r="336" spans="1:10" x14ac:dyDescent="0.3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439.46811609951192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6109.6786872371167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6109.6786872371167</v>
      </c>
    </row>
    <row r="337" spans="1:10" x14ac:dyDescent="0.3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14941.915947383406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206049.0209144172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206049.0209144172</v>
      </c>
    </row>
    <row r="338" spans="1:10" x14ac:dyDescent="0.3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3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3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3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3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3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3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3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3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3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3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3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3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3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3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6943.04934282881</v>
      </c>
      <c r="J352" s="76">
        <f t="shared" si="60"/>
        <v>6943.04934282881</v>
      </c>
    </row>
    <row r="353" spans="1:10" x14ac:dyDescent="0.3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94.03384142355003</v>
      </c>
      <c r="J353" s="76">
        <f t="shared" si="60"/>
        <v>94.03384142355003</v>
      </c>
    </row>
    <row r="354" spans="1:10" x14ac:dyDescent="0.3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778.91082568933689</v>
      </c>
      <c r="J354" s="76">
        <f t="shared" si="60"/>
        <v>778.91082568933689</v>
      </c>
    </row>
    <row r="355" spans="1:10" x14ac:dyDescent="0.3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3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3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3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3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3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3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3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2481.1670493580382</v>
      </c>
      <c r="J362" s="76">
        <f t="shared" si="60"/>
        <v>2481.1670493580382</v>
      </c>
    </row>
    <row r="363" spans="1:10" x14ac:dyDescent="0.3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3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3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3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0.16821580748089759</v>
      </c>
      <c r="J366" s="76">
        <f t="shared" si="60"/>
        <v>0.16821580748089759</v>
      </c>
    </row>
    <row r="367" spans="1:10" x14ac:dyDescent="0.3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2.2782466009594014E-3</v>
      </c>
      <c r="J367" s="76">
        <f t="shared" si="60"/>
        <v>2.2782466009594014E-3</v>
      </c>
    </row>
    <row r="368" spans="1:10" x14ac:dyDescent="0.3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1.8871407508327002E-2</v>
      </c>
      <c r="J368" s="76">
        <f t="shared" si="60"/>
        <v>1.8871407508327002E-2</v>
      </c>
    </row>
    <row r="369" spans="1:10" x14ac:dyDescent="0.3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3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3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3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3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3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3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3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6.0113575187801929E-2</v>
      </c>
      <c r="J376" s="76">
        <f t="shared" si="60"/>
        <v>6.0113575187801929E-2</v>
      </c>
    </row>
    <row r="377" spans="1:10" x14ac:dyDescent="0.3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3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3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3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3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3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3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3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3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3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3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3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3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3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3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3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3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3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726.01018850735954</v>
      </c>
      <c r="J394" s="76">
        <f t="shared" si="60"/>
        <v>726.01018850735954</v>
      </c>
    </row>
    <row r="395" spans="1:10" x14ac:dyDescent="0.3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8.3652070491817039</v>
      </c>
      <c r="J395" s="76">
        <f t="shared" si="60"/>
        <v>8.3652070491817039</v>
      </c>
    </row>
    <row r="396" spans="1:10" x14ac:dyDescent="0.3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66.860264517263914</v>
      </c>
      <c r="J396" s="76">
        <f t="shared" si="60"/>
        <v>66.860264517263914</v>
      </c>
    </row>
    <row r="397" spans="1:10" x14ac:dyDescent="0.3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3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3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3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3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3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3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3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220.72347335040578</v>
      </c>
      <c r="J404" s="76">
        <f t="shared" si="60"/>
        <v>220.72347335040578</v>
      </c>
    </row>
    <row r="405" spans="1:10" x14ac:dyDescent="0.3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3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3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3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2.3907034457133627E-2</v>
      </c>
      <c r="J408" s="76">
        <f t="shared" si="64"/>
        <v>2.3907034457133627E-2</v>
      </c>
    </row>
    <row r="409" spans="1:10" x14ac:dyDescent="0.3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2.7546072538872765E-4</v>
      </c>
      <c r="J409" s="76">
        <f t="shared" si="64"/>
        <v>2.7546072538872765E-4</v>
      </c>
    </row>
    <row r="410" spans="1:10" x14ac:dyDescent="0.3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2.2016642093048173E-3</v>
      </c>
      <c r="J410" s="76">
        <f t="shared" si="64"/>
        <v>2.2016642093048173E-3</v>
      </c>
    </row>
    <row r="411" spans="1:10" x14ac:dyDescent="0.3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3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3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3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3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3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3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3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7.268277727252412E-3</v>
      </c>
      <c r="J418" s="76">
        <f t="shared" si="64"/>
        <v>7.268277727252412E-3</v>
      </c>
    </row>
    <row r="419" spans="1:10" x14ac:dyDescent="0.3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3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3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3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3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3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3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3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3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3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3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3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3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3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3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3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3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3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0.14571312909679709</v>
      </c>
      <c r="J436" s="76">
        <f t="shared" si="64"/>
        <v>0.14571312909679709</v>
      </c>
    </row>
    <row r="437" spans="1:10" x14ac:dyDescent="0.3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1.3255464456415479E-3</v>
      </c>
      <c r="J437" s="76">
        <f t="shared" si="64"/>
        <v>1.3255464456415479E-3</v>
      </c>
    </row>
    <row r="438" spans="1:10" x14ac:dyDescent="0.3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1.3278579758499293E-2</v>
      </c>
      <c r="J438" s="76">
        <f t="shared" si="64"/>
        <v>1.3278579758499293E-2</v>
      </c>
    </row>
    <row r="439" spans="1:10" x14ac:dyDescent="0.3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3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3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3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3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3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3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3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7.5838608149631781E-2</v>
      </c>
      <c r="J446" s="76">
        <f t="shared" si="64"/>
        <v>7.5838608149631781E-2</v>
      </c>
    </row>
    <row r="447" spans="1:10" x14ac:dyDescent="0.3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3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3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3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0.13897494971659835</v>
      </c>
      <c r="J450" s="76">
        <f t="shared" si="64"/>
        <v>0.13897494971659835</v>
      </c>
    </row>
    <row r="451" spans="1:10" x14ac:dyDescent="0.3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1.264249500178355E-3</v>
      </c>
      <c r="J451" s="76">
        <f t="shared" si="64"/>
        <v>1.264249500178355E-3</v>
      </c>
    </row>
    <row r="452" spans="1:10" x14ac:dyDescent="0.3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1.2664541388164067E-2</v>
      </c>
      <c r="J452" s="76">
        <f t="shared" si="64"/>
        <v>1.2664541388164067E-2</v>
      </c>
    </row>
    <row r="453" spans="1:10" x14ac:dyDescent="0.3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3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3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3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3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3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3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3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7.2331620489533219E-2</v>
      </c>
      <c r="J460" s="76">
        <f t="shared" si="64"/>
        <v>7.2331620489533219E-2</v>
      </c>
    </row>
    <row r="461" spans="1:10" x14ac:dyDescent="0.3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3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3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3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3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3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3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3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3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3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3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3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3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3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3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3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3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3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1.523670812347433E-2</v>
      </c>
      <c r="J478" s="76">
        <f t="shared" si="68"/>
        <v>1.523670812347433E-2</v>
      </c>
    </row>
    <row r="479" spans="1:10" x14ac:dyDescent="0.3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1.1791999883481743E-4</v>
      </c>
      <c r="J479" s="76">
        <f t="shared" si="68"/>
        <v>1.1791999883481743E-4</v>
      </c>
    </row>
    <row r="480" spans="1:10" x14ac:dyDescent="0.3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1.139808724934766E-3</v>
      </c>
      <c r="J480" s="76">
        <f t="shared" si="68"/>
        <v>1.139808724934766E-3</v>
      </c>
    </row>
    <row r="481" spans="1:10" x14ac:dyDescent="0.3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3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3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3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3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3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3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3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6.746567511114643E-3</v>
      </c>
      <c r="J488" s="76">
        <f t="shared" ref="J488:J505" si="70">IF(I488&lt;&gt;0,I488,H488)</f>
        <v>6.746567511114643E-3</v>
      </c>
    </row>
    <row r="489" spans="1:10" x14ac:dyDescent="0.3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3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3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3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1.9751288308207465E-2</v>
      </c>
      <c r="J492" s="76">
        <f t="shared" si="70"/>
        <v>1.9751288308207465E-2</v>
      </c>
    </row>
    <row r="493" spans="1:10" x14ac:dyDescent="0.3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1.5285925774883742E-4</v>
      </c>
      <c r="J493" s="76">
        <f t="shared" si="70"/>
        <v>1.5285925774883742E-4</v>
      </c>
    </row>
    <row r="494" spans="1:10" x14ac:dyDescent="0.3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1.4775298286191414E-3</v>
      </c>
      <c r="J494" s="76">
        <f t="shared" si="70"/>
        <v>1.4775298286191414E-3</v>
      </c>
    </row>
    <row r="495" spans="1:10" x14ac:dyDescent="0.3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3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3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3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3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3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3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3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8.7455504773708333E-3</v>
      </c>
      <c r="J502" s="76">
        <f t="shared" si="70"/>
        <v>8.7455504773708333E-3</v>
      </c>
    </row>
    <row r="503" spans="1:10" x14ac:dyDescent="0.3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3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3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2021-09-14T08:06:45Z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203132748603820</vt:r8>
  </property>
</Properties>
</file>