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83BE1E2B-C246-4F50-9399-72C19FB582BB}" xr6:coauthVersionLast="47" xr6:coauthVersionMax="47" xr10:uidLastSave="{00000000-0000-0000-0000-000000000000}"/>
  <bookViews>
    <workbookView xWindow="2550" yWindow="2550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8" r:id="rId38"/>
    <pivotCache cacheId="49" r:id="rId39"/>
    <pivotCache cacheId="50" r:id="rId40"/>
    <pivotCache cacheId="51" r:id="rId41"/>
    <pivotCache cacheId="52" r:id="rId42"/>
    <pivotCache cacheId="53" r:id="rId43"/>
    <pivotCache cacheId="54" r:id="rId44"/>
    <pivotCache cacheId="5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0" i="72" a="1"/>
  <c r="D250" i="72" s="1"/>
  <c r="D221" i="72" a="1"/>
  <c r="D221" i="72" s="1"/>
  <c r="D220" i="72" a="1"/>
  <c r="D220" i="72" s="1"/>
  <c r="D219" i="72" a="1"/>
  <c r="D219" i="72" s="1"/>
  <c r="D189" i="72" a="1"/>
  <c r="D189" i="72" s="1"/>
  <c r="D188" i="72" a="1"/>
  <c r="D188" i="72" s="1"/>
  <c r="D157" i="72" a="1"/>
  <c r="D157" i="72" s="1"/>
  <c r="D126" i="72" a="1"/>
  <c r="D126" i="72" s="1"/>
  <c r="D96" i="72" a="1"/>
  <c r="D96" i="72" s="1"/>
  <c r="D95" i="72" a="1"/>
  <c r="D95" i="72" s="1"/>
  <c r="D65" i="72" a="1"/>
  <c r="D65" i="72" s="1"/>
  <c r="D64" i="72" a="1"/>
  <c r="D64" i="72" s="1"/>
  <c r="D33" i="72" a="1"/>
  <c r="D33" i="72" s="1"/>
  <c r="D5" i="72" a="1"/>
  <c r="D5" i="72" s="1"/>
  <c r="D4" i="72" a="1"/>
  <c r="D4" i="72" s="1"/>
  <c r="D3" i="72" a="1"/>
  <c r="D3" i="72" s="1"/>
  <c r="D2" i="72" a="1"/>
  <c r="D2" i="72" s="1"/>
  <c r="D6" i="72" l="1" a="1"/>
  <c r="D6" i="72" s="1"/>
  <c r="D222" i="72" a="1"/>
  <c r="D222" i="72" s="1"/>
  <c r="D34" i="72" a="1"/>
  <c r="D34" i="72" s="1"/>
  <c r="D67" i="72" a="1"/>
  <c r="D67" i="72" s="1"/>
  <c r="D252" i="72" a="1"/>
  <c r="D252" i="72" s="1"/>
  <c r="D68" i="72" a="1"/>
  <c r="D68" i="72" s="1"/>
  <c r="D127" i="72" a="1"/>
  <c r="D127" i="72" s="1"/>
  <c r="D191" i="72" a="1"/>
  <c r="D191" i="72" s="1"/>
  <c r="D223" i="72" a="1"/>
  <c r="D223" i="72" s="1"/>
  <c r="D190" i="72" a="1"/>
  <c r="D190" i="72" s="1"/>
  <c r="D128" i="72" a="1"/>
  <c r="D128" i="72" s="1"/>
  <c r="D192" i="72" a="1"/>
  <c r="D192" i="72" s="1"/>
  <c r="D224" i="72" a="1"/>
  <c r="D224" i="72" s="1"/>
  <c r="D97" i="72" a="1"/>
  <c r="D97" i="72" s="1"/>
  <c r="D129" i="72" a="1"/>
  <c r="D129" i="72" s="1"/>
  <c r="D193" i="72" a="1"/>
  <c r="D193" i="72" s="1"/>
  <c r="D225" i="72" a="1"/>
  <c r="D225" i="72" s="1"/>
  <c r="D158" i="72" a="1"/>
  <c r="D158" i="72" s="1"/>
  <c r="D66" i="72" a="1"/>
  <c r="D66" i="72" s="1"/>
  <c r="D98" i="72" a="1"/>
  <c r="D98" i="72" s="1"/>
  <c r="D283" i="72" a="1"/>
  <c r="D283" i="72" s="1"/>
  <c r="D282" i="72" a="1"/>
  <c r="D282" i="72" s="1"/>
  <c r="D7" i="39"/>
  <c r="D5" i="39"/>
  <c r="D4" i="39"/>
  <c r="D3" i="39"/>
  <c r="D194" i="72" l="1" a="1"/>
  <c r="D194" i="72" s="1"/>
  <c r="D253" i="72" a="1"/>
  <c r="D253" i="72" s="1"/>
  <c r="D226" i="72" a="1"/>
  <c r="D226" i="72" s="1"/>
  <c r="D69" i="72" a="1"/>
  <c r="D69" i="72" s="1"/>
  <c r="D70" i="72" a="1"/>
  <c r="D70" i="72" s="1"/>
  <c r="D159" i="72" a="1"/>
  <c r="D159" i="72" s="1"/>
  <c r="D227" i="72" a="1"/>
  <c r="D227" i="72" s="1"/>
  <c r="D99" i="72" a="1"/>
  <c r="D99" i="72" s="1"/>
  <c r="D35" i="72" a="1"/>
  <c r="D35" i="72" s="1"/>
  <c r="D7" i="72" a="1"/>
  <c r="D7" i="72" s="1"/>
  <c r="D228" i="72" a="1"/>
  <c r="D228" i="72" s="1"/>
  <c r="D195" i="72" a="1"/>
  <c r="D195" i="72" s="1"/>
  <c r="D284" i="72" a="1"/>
  <c r="D284" i="72" s="1"/>
  <c r="D130" i="72" a="1"/>
  <c r="D130" i="72" s="1"/>
  <c r="E8" i="34"/>
  <c r="E9" i="34"/>
  <c r="E34" i="17"/>
  <c r="E39" i="17"/>
  <c r="E32" i="17"/>
  <c r="D229" i="72" l="1" a="1"/>
  <c r="D229" i="72" s="1"/>
  <c r="D71" i="72" a="1"/>
  <c r="D71" i="72" s="1"/>
  <c r="D131" i="72" a="1"/>
  <c r="D131" i="72" s="1"/>
  <c r="D36" i="72" a="1"/>
  <c r="D36" i="72" s="1"/>
  <c r="D8" i="72" a="1"/>
  <c r="D8" i="72" s="1"/>
  <c r="D72" i="72" a="1"/>
  <c r="D72" i="72" s="1"/>
  <c r="D160" i="72" a="1"/>
  <c r="D160" i="72" s="1"/>
  <c r="D132" i="72" a="1"/>
  <c r="D132" i="72" s="1"/>
  <c r="D196" i="72" a="1"/>
  <c r="D196" i="72" s="1"/>
  <c r="D100" i="72" a="1"/>
  <c r="D100" i="72" s="1"/>
  <c r="D230" i="72" a="1"/>
  <c r="D230" i="72" s="1"/>
  <c r="D161" i="72" a="1"/>
  <c r="D161" i="72" s="1"/>
  <c r="D9" i="72" a="1"/>
  <c r="D9" i="72" s="1"/>
  <c r="D285" i="72" a="1"/>
  <c r="D285" i="72" s="1"/>
  <c r="D254" i="72" a="1"/>
  <c r="D254" i="72" s="1"/>
  <c r="D255" i="72" a="1"/>
  <c r="D255" i="72" s="1"/>
  <c r="C6" i="9"/>
  <c r="C4" i="9"/>
  <c r="C3" i="9"/>
  <c r="C5" i="17"/>
  <c r="D101" i="72" l="1" a="1"/>
  <c r="D101" i="72" s="1"/>
  <c r="D102" i="72" s="1" a="1"/>
  <c r="D102" i="72" s="1"/>
  <c r="D232" i="72" a="1"/>
  <c r="D232" i="72" s="1"/>
  <c r="D162" i="72" a="1"/>
  <c r="D162" i="72" s="1"/>
  <c r="D37" i="72" a="1"/>
  <c r="D37" i="72" s="1"/>
  <c r="D286" i="72" a="1"/>
  <c r="D286" i="72" s="1"/>
  <c r="D133" i="72" a="1"/>
  <c r="D133" i="72" s="1"/>
  <c r="D231" i="72" a="1"/>
  <c r="D231" i="72" s="1"/>
  <c r="D134" i="72" a="1"/>
  <c r="D134" i="72" s="1"/>
  <c r="D10" i="72" a="1"/>
  <c r="D10" i="72" s="1"/>
  <c r="D256" i="72" a="1"/>
  <c r="D256" i="72" s="1"/>
  <c r="D197" i="72" a="1"/>
  <c r="D197" i="72" s="1"/>
  <c r="D198" i="72" a="1"/>
  <c r="D198" i="72" s="1"/>
  <c r="D38" i="72" a="1"/>
  <c r="D38" i="72" s="1"/>
  <c r="D73" i="72" a="1"/>
  <c r="D73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163" i="72" l="1" a="1"/>
  <c r="D163" i="72" s="1"/>
  <c r="D165" i="72" a="1"/>
  <c r="D165" i="72" s="1"/>
  <c r="D135" i="72" a="1"/>
  <c r="D135" i="72" s="1"/>
  <c r="D137" i="72" s="1" a="1"/>
  <c r="D137" i="72" s="1"/>
  <c r="D138" i="72" s="1" a="1"/>
  <c r="D138" i="72" s="1"/>
  <c r="D287" i="72" a="1"/>
  <c r="D287" i="72" s="1"/>
  <c r="D11" i="72" a="1"/>
  <c r="D11" i="72" s="1"/>
  <c r="D233" i="72" a="1"/>
  <c r="D233" i="72" s="1"/>
  <c r="D257" i="72" a="1"/>
  <c r="D257" i="72" s="1"/>
  <c r="D39" i="72" a="1"/>
  <c r="D39" i="72" s="1"/>
  <c r="D40" i="72" a="1"/>
  <c r="D40" i="72" s="1"/>
  <c r="D75" i="72" a="1"/>
  <c r="D75" i="72" s="1"/>
  <c r="D136" i="72" a="1"/>
  <c r="D136" i="72" s="1"/>
  <c r="D164" i="72" a="1"/>
  <c r="D164" i="72" s="1"/>
  <c r="D199" i="72" a="1"/>
  <c r="D199" i="72" s="1"/>
  <c r="D74" i="72" a="1"/>
  <c r="D74" i="72" s="1"/>
  <c r="D76" i="72" a="1"/>
  <c r="D76" i="72" s="1"/>
  <c r="D103" i="72" a="1"/>
  <c r="D103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66" i="72" l="1" a="1"/>
  <c r="D166" i="72" s="1"/>
  <c r="D167" i="72" s="1" a="1"/>
  <c r="D167" i="72" s="1"/>
  <c r="D168" i="72" a="1"/>
  <c r="D168" i="72" s="1"/>
  <c r="D169" i="72" s="1" a="1"/>
  <c r="D169" i="72" s="1"/>
  <c r="D170" i="72" s="1" a="1"/>
  <c r="D170" i="72" s="1"/>
  <c r="D239" i="72" a="1"/>
  <c r="D239" i="72" s="1"/>
  <c r="D139" i="72" a="1"/>
  <c r="D139" i="72" s="1"/>
  <c r="D140" i="72" s="1" a="1"/>
  <c r="D140" i="72" s="1"/>
  <c r="D12" i="72" a="1"/>
  <c r="D12" i="72" s="1"/>
  <c r="D13" i="72" s="1" a="1"/>
  <c r="D13" i="72" s="1"/>
  <c r="D41" i="72" a="1"/>
  <c r="D41" i="72" s="1"/>
  <c r="D234" i="72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240" i="72" a="1"/>
  <c r="D240" i="72" s="1"/>
  <c r="D241" i="72" s="1" a="1"/>
  <c r="D241" i="72" s="1"/>
  <c r="D242" i="72" s="1" a="1"/>
  <c r="D242" i="72" s="1"/>
  <c r="D200" i="72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58" i="72" a="1"/>
  <c r="D258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288" i="72" a="1"/>
  <c r="D288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43" i="72" l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41" i="72" a="1"/>
  <c r="D141" i="72" s="1"/>
  <c r="D171" i="72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86" i="72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42" i="72" a="1"/>
  <c r="D142" i="72" s="1"/>
  <c r="D42" i="72" a="1"/>
  <c r="D42" i="72" s="1"/>
  <c r="D176" i="72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9" i="72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243" i="72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59" i="72" a="1"/>
  <c r="D259" i="72" s="1"/>
  <c r="D14" i="72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11" i="72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09" i="72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G17" i="41"/>
  <c r="G84" i="41"/>
  <c r="D260" i="72" l="1" a="1"/>
  <c r="D260" i="72" s="1"/>
  <c r="D43" i="72" a="1"/>
  <c r="D43" i="72" s="1"/>
  <c r="D261" i="72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275" i="72" l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44" i="72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45" i="17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6" i="17" l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284" i="66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27" i="72" l="1"/>
  <c r="G158" i="72"/>
  <c r="G96" i="72"/>
  <c r="G65" i="72"/>
  <c r="G282" i="72"/>
  <c r="G251" i="72"/>
  <c r="J4" i="58"/>
  <c r="J4" i="37"/>
  <c r="G189" i="72"/>
  <c r="G220" i="72"/>
  <c r="I4" i="58"/>
  <c r="I4" i="37"/>
  <c r="G3" i="72"/>
  <c r="G34" i="72"/>
  <c r="O4" i="58" l="1"/>
  <c r="E37" i="53"/>
  <c r="F245" i="66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4" i="58"/>
  <c r="H4" i="37"/>
  <c r="E19" i="53"/>
  <c r="F53" i="66"/>
  <c r="I4" i="41"/>
  <c r="D45" i="39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31" i="53"/>
  <c r="J4" i="41"/>
  <c r="E45" i="39" s="1"/>
  <c r="F101" i="66"/>
  <c r="E25" i="53"/>
  <c r="F197" i="66"/>
  <c r="L45" i="39"/>
  <c r="N4" i="58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159" i="72" l="1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H4" i="41"/>
  <c r="K45" i="39" s="1"/>
  <c r="F5" i="66"/>
  <c r="E7" i="53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38"/>
  <c r="E56" i="39"/>
  <c r="E59" i="39"/>
  <c r="E60" i="39" s="1"/>
  <c r="E13" i="53"/>
  <c r="M4" i="58"/>
  <c r="F149" i="6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M45" i="39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L59" i="39"/>
  <c r="L60" i="39" s="1"/>
  <c r="E158" i="38"/>
  <c r="L56" i="39"/>
  <c r="D56" i="39"/>
  <c r="D59" i="39"/>
  <c r="D60" i="39" s="1"/>
  <c r="E107" i="38"/>
  <c r="E35" i="72" l="1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C45" i="39"/>
  <c r="E90" i="38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L57" i="39"/>
  <c r="L58" i="39"/>
  <c r="E190" i="72"/>
  <c r="F190" i="72" s="1"/>
  <c r="E175" i="38"/>
  <c r="M56" i="39"/>
  <c r="M59" i="39"/>
  <c r="M60" i="39" s="1"/>
  <c r="E58" i="39"/>
  <c r="E57" i="39"/>
  <c r="E97" i="72"/>
  <c r="F97" i="72" s="1"/>
  <c r="J466" i="37"/>
  <c r="D31" i="53"/>
  <c r="F31" i="53" s="1"/>
  <c r="H37" i="53" s="1"/>
  <c r="J101" i="66"/>
  <c r="J474" i="37"/>
  <c r="E141" i="38"/>
  <c r="K56" i="39"/>
  <c r="K59" i="39"/>
  <c r="K60" i="39" s="1"/>
  <c r="E252" i="72"/>
  <c r="F252" i="72" s="1"/>
  <c r="D57" i="39"/>
  <c r="D58" i="39"/>
  <c r="E159" i="72"/>
  <c r="F159" i="72" s="1"/>
  <c r="I466" i="37"/>
  <c r="I474" i="37"/>
  <c r="J53" i="66"/>
  <c r="D19" i="53"/>
  <c r="F19" i="53" s="1"/>
  <c r="H25" i="53" s="1"/>
  <c r="I474" i="58"/>
  <c r="D25" i="53"/>
  <c r="F25" i="53" s="1"/>
  <c r="I466" i="58"/>
  <c r="J197" i="66"/>
  <c r="C56" i="39" l="1"/>
  <c r="C59" i="39"/>
  <c r="C60" i="39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F198" i="66"/>
  <c r="I489" i="58"/>
  <c r="G25" i="53"/>
  <c r="H19" i="53"/>
  <c r="G19" i="53" s="1"/>
  <c r="H474" i="37"/>
  <c r="H466" i="37"/>
  <c r="J5" i="66"/>
  <c r="D7" i="53"/>
  <c r="F7" i="53" s="1"/>
  <c r="W101" i="66"/>
  <c r="S101" i="66"/>
  <c r="F199" i="66"/>
  <c r="I479" i="58"/>
  <c r="M58" i="39"/>
  <c r="M57" i="39"/>
  <c r="E284" i="72"/>
  <c r="F284" i="72" s="1"/>
  <c r="J489" i="37"/>
  <c r="F102" i="66"/>
  <c r="D37" i="53"/>
  <c r="F37" i="53" s="1"/>
  <c r="J466" i="58"/>
  <c r="J474" i="58"/>
  <c r="J474" i="41" s="1"/>
  <c r="J245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S53" i="66"/>
  <c r="W53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F55" i="66"/>
  <c r="I474" i="41"/>
  <c r="I479" i="37"/>
  <c r="I466" i="41"/>
  <c r="I489" i="37"/>
  <c r="F54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K57" i="39"/>
  <c r="K58" i="39"/>
  <c r="W197" i="66"/>
  <c r="S197" i="66"/>
  <c r="C57" i="39"/>
  <c r="C58" i="39"/>
  <c r="E36" i="72"/>
  <c r="F36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H474" i="58"/>
  <c r="D13" i="53"/>
  <c r="F13" i="53" s="1"/>
  <c r="H7" i="53" s="1"/>
  <c r="J149" i="66"/>
  <c r="H466" i="58"/>
  <c r="J479" i="37"/>
  <c r="F103" i="66"/>
  <c r="E68" i="72" l="1"/>
  <c r="F68" i="72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I489" i="4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S5" i="66"/>
  <c r="W5" i="66"/>
  <c r="L54" i="66"/>
  <c r="P54" i="66" s="1"/>
  <c r="H466" i="41"/>
  <c r="H489" i="37"/>
  <c r="F6" i="66"/>
  <c r="H479" i="58"/>
  <c r="F151" i="66"/>
  <c r="S245" i="66"/>
  <c r="W245" i="66"/>
  <c r="H479" i="37"/>
  <c r="H474" i="41"/>
  <c r="F7" i="66"/>
  <c r="W149" i="66"/>
  <c r="S149" i="66"/>
  <c r="E253" i="72"/>
  <c r="F253" i="72" s="1"/>
  <c r="J479" i="58"/>
  <c r="J479" i="41" s="1"/>
  <c r="F247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313" i="38"/>
  <c r="E307" i="38"/>
  <c r="I479" i="41"/>
  <c r="E360" i="38"/>
  <c r="K55" i="66" s="1"/>
  <c r="N55" i="66" s="1"/>
  <c r="I480" i="37"/>
  <c r="J466" i="41"/>
  <c r="F246" i="66"/>
  <c r="J489" i="58"/>
  <c r="J489" i="41" s="1"/>
  <c r="E325" i="38"/>
  <c r="M197" i="66" s="1"/>
  <c r="E319" i="38"/>
  <c r="E366" i="38"/>
  <c r="K103" i="66" s="1"/>
  <c r="N103" i="66" s="1"/>
  <c r="J480" i="37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H31" i="53"/>
  <c r="G31" i="53" s="1"/>
  <c r="G37" i="53"/>
  <c r="E130" i="72"/>
  <c r="F130" i="72" s="1"/>
  <c r="E223" i="72"/>
  <c r="F223" i="72" s="1"/>
  <c r="L102" i="66"/>
  <c r="P102" i="66" s="1"/>
  <c r="L198" i="66"/>
  <c r="P198" i="66" s="1"/>
  <c r="H489" i="58"/>
  <c r="F150" i="66"/>
  <c r="E191" i="72"/>
  <c r="F191" i="72" s="1"/>
  <c r="E98" i="72"/>
  <c r="F98" i="72" s="1"/>
  <c r="I480" i="58"/>
  <c r="E379" i="38" s="1"/>
  <c r="K218" i="66" s="1"/>
  <c r="N218" i="66" s="1"/>
  <c r="E378" i="38"/>
  <c r="K199" i="66" s="1"/>
  <c r="N199" i="66" s="1"/>
  <c r="H13" i="53"/>
  <c r="G13" i="53" s="1"/>
  <c r="G7" i="53"/>
  <c r="N54" i="66" l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198" i="66"/>
  <c r="E331" i="38"/>
  <c r="E337" i="38"/>
  <c r="I486" i="58"/>
  <c r="L197" i="66"/>
  <c r="E372" i="38"/>
  <c r="K151" i="66" s="1"/>
  <c r="N151" i="66" s="1"/>
  <c r="H480" i="58"/>
  <c r="E373" i="38" s="1"/>
  <c r="K170" i="66" s="1"/>
  <c r="N170" i="66" s="1"/>
  <c r="I486" i="37"/>
  <c r="L53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54" i="38"/>
  <c r="K7" i="66" s="1"/>
  <c r="N7" i="66" s="1"/>
  <c r="H479" i="41"/>
  <c r="H480" i="37"/>
  <c r="L6" i="66"/>
  <c r="P6" i="66" s="1"/>
  <c r="V6" i="66" s="1"/>
  <c r="X6" i="6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C20" i="8"/>
  <c r="M53" i="66"/>
  <c r="F18" i="39" s="1"/>
  <c r="H489" i="4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N102" i="66"/>
  <c r="E37" i="72"/>
  <c r="F37" i="72" s="1"/>
  <c r="L246" i="66"/>
  <c r="P246" i="66" s="1"/>
  <c r="E69" i="72"/>
  <c r="F69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9" i="38"/>
  <c r="E283" i="38"/>
  <c r="L150" i="66"/>
  <c r="P150" i="66" s="1"/>
  <c r="V150" i="66" s="1"/>
  <c r="X150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67" i="38"/>
  <c r="K122" i="66" s="1"/>
  <c r="N122" i="66" s="1"/>
  <c r="I480" i="41"/>
  <c r="E361" i="38"/>
  <c r="K74" i="66" s="1"/>
  <c r="N74" i="66" s="1"/>
  <c r="E384" i="38"/>
  <c r="K247" i="66" s="1"/>
  <c r="N247" i="66" s="1"/>
  <c r="Y103" i="66" s="1"/>
  <c r="J480" i="58"/>
  <c r="E385" i="38" s="1"/>
  <c r="K266" i="66" s="1"/>
  <c r="N266" i="66" s="1"/>
  <c r="E285" i="72"/>
  <c r="F285" i="72" s="1"/>
  <c r="E301" i="38"/>
  <c r="M149" i="66" s="1"/>
  <c r="E295" i="38"/>
  <c r="E343" i="38"/>
  <c r="E349" i="38"/>
  <c r="M245" i="66" s="1"/>
  <c r="Y55" i="66"/>
  <c r="Y199" i="66"/>
  <c r="Z199" i="66"/>
  <c r="Z55" i="66"/>
  <c r="O198" i="66" l="1"/>
  <c r="U198" i="66" s="1"/>
  <c r="Y247" i="66"/>
  <c r="Y198" i="66"/>
  <c r="Z247" i="66"/>
  <c r="Z198" i="66"/>
  <c r="Z54" i="66"/>
  <c r="Y54" i="66"/>
  <c r="Z103" i="66"/>
  <c r="E224" i="72"/>
  <c r="F224" i="72" s="1"/>
  <c r="O54" i="66"/>
  <c r="Q54" i="66" s="1"/>
  <c r="V198" i="66"/>
  <c r="X198" i="66" s="1"/>
  <c r="N246" i="66"/>
  <c r="O246" i="66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150" i="66"/>
  <c r="E254" i="72"/>
  <c r="F254" i="72" s="1"/>
  <c r="J480" i="41"/>
  <c r="E8" i="72"/>
  <c r="F8" i="72" s="1"/>
  <c r="Q198" i="66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99" i="72"/>
  <c r="F99" i="72" s="1"/>
  <c r="M101" i="66"/>
  <c r="G18" i="39" s="1"/>
  <c r="D20" i="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P53" i="66"/>
  <c r="N53" i="66"/>
  <c r="L101" i="66"/>
  <c r="J486" i="37"/>
  <c r="Z218" i="66"/>
  <c r="Y74" i="66"/>
  <c r="Y218" i="66"/>
  <c r="Z74" i="66"/>
  <c r="H486" i="37"/>
  <c r="L5" i="66"/>
  <c r="E192" i="72"/>
  <c r="F192" i="72" s="1"/>
  <c r="N6" i="66"/>
  <c r="I486" i="41"/>
  <c r="B20" i="8"/>
  <c r="M5" i="66"/>
  <c r="H480" i="41"/>
  <c r="E355" i="38"/>
  <c r="K26" i="66" s="1"/>
  <c r="N26" i="66" s="1"/>
  <c r="J486" i="58"/>
  <c r="L245" i="66"/>
  <c r="H486" i="58"/>
  <c r="L149" i="66"/>
  <c r="Z122" i="66"/>
  <c r="Z266" i="66"/>
  <c r="Y122" i="66"/>
  <c r="Y266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Z7" i="66"/>
  <c r="Y7" i="66"/>
  <c r="Z151" i="66"/>
  <c r="Y151" i="66"/>
  <c r="N197" i="66"/>
  <c r="P197" i="66"/>
  <c r="V54" i="66" l="1"/>
  <c r="X54" i="66" s="1"/>
  <c r="U54" i="66"/>
  <c r="Y102" i="66"/>
  <c r="Z102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246" i="66"/>
  <c r="O102" i="66"/>
  <c r="Q102" i="66" s="1"/>
  <c r="Y246" i="66"/>
  <c r="V246" i="66"/>
  <c r="X246" i="66" s="1"/>
  <c r="Q246" i="66"/>
  <c r="U246" i="66"/>
  <c r="O197" i="66"/>
  <c r="V197" i="66" s="1"/>
  <c r="X197" i="66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70" i="72"/>
  <c r="F70" i="72" s="1"/>
  <c r="H486" i="41"/>
  <c r="P149" i="66"/>
  <c r="V149" i="66" s="1"/>
  <c r="X149" i="66" s="1"/>
  <c r="R149" i="66"/>
  <c r="T149" i="66" s="1"/>
  <c r="N149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U102" i="66"/>
  <c r="P245" i="66"/>
  <c r="N245" i="66"/>
  <c r="Y150" i="66"/>
  <c r="O6" i="66"/>
  <c r="Y6" i="66"/>
  <c r="Z6" i="66"/>
  <c r="Z150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J486" i="4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Z170" i="66"/>
  <c r="Y170" i="66"/>
  <c r="Z26" i="66"/>
  <c r="Y26" i="66"/>
  <c r="P101" i="66"/>
  <c r="N101" i="66"/>
  <c r="E225" i="72"/>
  <c r="F225" i="72" s="1"/>
  <c r="E38" i="72"/>
  <c r="F38" i="72" s="1"/>
  <c r="E255" i="72"/>
  <c r="F255" i="72" s="1"/>
  <c r="E9" i="72"/>
  <c r="F9" i="72" s="1"/>
  <c r="R5" i="66"/>
  <c r="T5" i="66" s="1"/>
  <c r="P5" i="66"/>
  <c r="V5" i="66" s="1"/>
  <c r="X5" i="66" s="1"/>
  <c r="N5" i="66"/>
  <c r="Z53" i="66"/>
  <c r="Z197" i="66"/>
  <c r="O53" i="66"/>
  <c r="Y53" i="66"/>
  <c r="Y197" i="66"/>
  <c r="E163" i="72"/>
  <c r="F163" i="72" s="1"/>
  <c r="O150" i="66"/>
  <c r="V102" i="66" l="1"/>
  <c r="X102" i="66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U197" i="66"/>
  <c r="O245" i="66"/>
  <c r="Q245" i="66" s="1"/>
  <c r="R245" i="66" s="1"/>
  <c r="T245" i="66" s="1"/>
  <c r="Q197" i="66"/>
  <c r="R197" i="66" s="1"/>
  <c r="T197" i="66" s="1"/>
  <c r="U53" i="66"/>
  <c r="V53" i="66"/>
  <c r="X53" i="66" s="1"/>
  <c r="Q53" i="66"/>
  <c r="R53" i="66" s="1"/>
  <c r="T53" i="66" s="1"/>
  <c r="U150" i="66"/>
  <c r="Q150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U6" i="66"/>
  <c r="Q6" i="66"/>
  <c r="Z101" i="66"/>
  <c r="Y245" i="66"/>
  <c r="O101" i="66"/>
  <c r="Y101" i="66"/>
  <c r="Z245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87" i="72"/>
  <c r="F287" i="72" s="1"/>
  <c r="E100" i="72"/>
  <c r="F100" i="72" s="1"/>
  <c r="O149" i="66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Z5" i="66"/>
  <c r="Y149" i="66"/>
  <c r="Y5" i="66"/>
  <c r="O5" i="66"/>
  <c r="Z149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71" i="72"/>
  <c r="F71" i="72" s="1"/>
  <c r="U245" i="66" l="1"/>
  <c r="V245" i="66"/>
  <c r="X245" i="66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26" i="72"/>
  <c r="F226" i="72" s="1"/>
  <c r="Q5" i="66"/>
  <c r="U5" i="66"/>
  <c r="E10" i="72"/>
  <c r="F10" i="72" s="1"/>
  <c r="E164" i="72"/>
  <c r="F164" i="72" s="1"/>
  <c r="U149" i="66"/>
  <c r="Q149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9" i="72"/>
  <c r="F3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01" i="66"/>
  <c r="V101" i="66"/>
  <c r="X101" i="66" s="1"/>
  <c r="Q101" i="66"/>
  <c r="R101" i="66" s="1"/>
  <c r="T101" i="66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135" i="72"/>
  <c r="F13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1" i="72"/>
  <c r="F101" i="72" s="1"/>
  <c r="E72" i="72"/>
  <c r="F72" i="72" s="1"/>
  <c r="E257" i="72"/>
  <c r="F257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 l="1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0" i="72"/>
  <c r="F40" i="72" s="1"/>
  <c r="E196" i="72"/>
  <c r="F196" i="72" s="1"/>
  <c r="E227" i="72"/>
  <c r="F227" i="72" s="1"/>
  <c r="E289" i="72"/>
  <c r="F289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1" i="72"/>
  <c r="F11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66" i="72"/>
  <c r="F166" i="72" s="1"/>
  <c r="E102" i="72"/>
  <c r="F102" i="72" s="1"/>
  <c r="G10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3" i="72"/>
  <c r="F73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H104" i="72" l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2" i="72"/>
  <c r="F12" i="72" s="1"/>
  <c r="E259" i="72"/>
  <c r="F259" i="72" s="1"/>
  <c r="E290" i="72"/>
  <c r="F29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37" i="72"/>
  <c r="F137" i="72" s="1"/>
  <c r="E167" i="72"/>
  <c r="F167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98" i="72"/>
  <c r="F198" i="72" s="1"/>
  <c r="E74" i="72"/>
  <c r="F74" i="72" s="1"/>
  <c r="E42" i="72"/>
  <c r="F42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5" i="72" l="1"/>
  <c r="F105" i="72" s="1"/>
  <c r="G106" i="72" s="1"/>
  <c r="E168" i="72"/>
  <c r="F168" i="72" s="1"/>
  <c r="E13" i="72"/>
  <c r="F13" i="72" s="1"/>
  <c r="G1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60" i="72"/>
  <c r="F260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8" i="72"/>
  <c r="F138" i="72" s="1"/>
  <c r="E230" i="72"/>
  <c r="F230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291" i="72"/>
  <c r="F291" i="72" s="1"/>
  <c r="H107" i="72" l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H15" i="72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5" i="72"/>
  <c r="F75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3" i="72"/>
  <c r="F43" i="72" s="1"/>
  <c r="E169" i="72"/>
  <c r="F169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5" i="72"/>
  <c r="F15" i="72" s="1"/>
  <c r="E107" i="72"/>
  <c r="F107" i="72" s="1"/>
  <c r="E231" i="72"/>
  <c r="F23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00" i="72"/>
  <c r="F200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62" i="72"/>
  <c r="F262" i="72" s="1"/>
  <c r="E293" i="72"/>
  <c r="F293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70" i="72"/>
  <c r="F170" i="72" s="1"/>
  <c r="E140" i="72"/>
  <c r="F140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7" i="72"/>
  <c r="F77" i="72" s="1"/>
  <c r="G78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6" i="72"/>
  <c r="F16" i="72" s="1"/>
  <c r="E232" i="72"/>
  <c r="F23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8" i="72"/>
  <c r="F10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H79" i="72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1" i="72"/>
  <c r="F17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02" i="72"/>
  <c r="F202" i="72" s="1"/>
  <c r="E263" i="72"/>
  <c r="F2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95" i="72" l="1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" i="72"/>
  <c r="F1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E142" i="72"/>
  <c r="F142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47" i="72"/>
  <c r="F4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9" i="72"/>
  <c r="F79" i="72" s="1"/>
  <c r="E172" i="72" l="1"/>
  <c r="F172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3" i="72"/>
  <c r="F20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4" i="72"/>
  <c r="F264" i="72" s="1"/>
  <c r="E110" i="72"/>
  <c r="F110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8" i="72"/>
  <c r="F18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97" i="72"/>
  <c r="F297" i="72" s="1"/>
  <c r="E48" i="72"/>
  <c r="F48" i="72" s="1"/>
  <c r="E80" i="72"/>
  <c r="F80" i="72" s="1"/>
  <c r="E234" i="72"/>
  <c r="F23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04" i="72"/>
  <c r="F204" i="72" s="1"/>
  <c r="G205" i="72" s="1"/>
  <c r="E265" i="72"/>
  <c r="F265" i="72" s="1"/>
  <c r="G266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4" i="72"/>
  <c r="F14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4" i="72"/>
  <c r="F17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98" i="72" l="1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H267" i="72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66" i="72"/>
  <c r="F266" i="72" s="1"/>
  <c r="H206" i="72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5" i="72"/>
  <c r="F235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9" i="72"/>
  <c r="F1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12" i="72"/>
  <c r="F112" i="72" s="1"/>
  <c r="G236" i="72" l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5" i="72"/>
  <c r="F175" i="72" s="1"/>
  <c r="E145" i="72"/>
  <c r="F145" i="72" s="1"/>
  <c r="E50" i="72"/>
  <c r="F50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8" i="72"/>
  <c r="F268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0" i="72"/>
  <c r="F30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113" i="72"/>
  <c r="F113" i="72" s="1"/>
  <c r="E83" i="72"/>
  <c r="F83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/>
  <c r="F208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51" i="72"/>
  <c r="F51" i="72" s="1"/>
  <c r="E21" i="72"/>
  <c r="F21" i="72" s="1"/>
  <c r="E146" i="72"/>
  <c r="F146" i="72" s="1"/>
  <c r="E238" i="72"/>
  <c r="F238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7" i="72"/>
  <c r="F177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70" i="72"/>
  <c r="F27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14" i="72"/>
  <c r="F114" i="72" s="1"/>
  <c r="E301" i="72"/>
  <c r="F301" i="72" s="1"/>
  <c r="E147" i="72" l="1"/>
  <c r="F147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10" i="72"/>
  <c r="F210" i="72" s="1"/>
  <c r="E85" i="72"/>
  <c r="F85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48" i="72"/>
  <c r="F148" i="72" s="1"/>
  <c r="E115" i="72"/>
  <c r="F115" i="72" s="1"/>
  <c r="G86" i="72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E178" i="72"/>
  <c r="F178" i="72" s="1"/>
  <c r="E240" i="72"/>
  <c r="F240" i="72" s="1"/>
  <c r="G211" i="72"/>
  <c r="H212" i="72" s="1"/>
  <c r="I213" i="72" s="1"/>
  <c r="J214" i="72" s="1"/>
  <c r="K215" i="72" s="1"/>
  <c r="L216" i="72" s="1"/>
  <c r="M217" i="72" s="1"/>
  <c r="N218" i="72" s="1"/>
  <c r="E53" i="72"/>
  <c r="F53" i="72" s="1"/>
  <c r="E211" i="72" l="1"/>
  <c r="F21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86" i="72"/>
  <c r="F8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72" i="72"/>
  <c r="F272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4" i="72"/>
  <c r="F24" i="72" s="1"/>
  <c r="G149" i="72"/>
  <c r="H150" i="72" s="1"/>
  <c r="I151" i="72" s="1"/>
  <c r="J152" i="72" s="1"/>
  <c r="K153" i="72" s="1"/>
  <c r="L154" i="72" s="1"/>
  <c r="M155" i="72" s="1"/>
  <c r="N156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25" i="72"/>
  <c r="H26" i="72" s="1"/>
  <c r="I27" i="72" s="1"/>
  <c r="J28" i="72" s="1"/>
  <c r="K29" i="72" s="1"/>
  <c r="L30" i="72" s="1"/>
  <c r="M31" i="72" s="1"/>
  <c r="N32" i="72" s="1"/>
  <c r="E54" i="72"/>
  <c r="F54" i="72" s="1"/>
  <c r="G87" i="72"/>
  <c r="H88" i="72" s="1"/>
  <c r="I89" i="72" s="1"/>
  <c r="J90" i="72" s="1"/>
  <c r="K91" i="72" s="1"/>
  <c r="L92" i="72" s="1"/>
  <c r="M93" i="72" s="1"/>
  <c r="N94" i="72" s="1"/>
  <c r="G273" i="72"/>
  <c r="H274" i="72" s="1"/>
  <c r="I275" i="72" s="1"/>
  <c r="J276" i="72" s="1"/>
  <c r="K277" i="72" s="1"/>
  <c r="L278" i="72" s="1"/>
  <c r="M279" i="72" s="1"/>
  <c r="N280" i="72" s="1"/>
  <c r="E303" i="72"/>
  <c r="F303" i="72" s="1"/>
  <c r="E149" i="72"/>
  <c r="F149" i="72" s="1"/>
  <c r="G212" i="72"/>
  <c r="H213" i="72" s="1"/>
  <c r="I214" i="72" s="1"/>
  <c r="J215" i="72" s="1"/>
  <c r="K216" i="72" s="1"/>
  <c r="L217" i="72" s="1"/>
  <c r="M218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180" i="72"/>
  <c r="F180" i="72" s="1"/>
  <c r="E87" i="72"/>
  <c r="F87" i="72" s="1"/>
  <c r="G88" i="72" s="1"/>
  <c r="H89" i="72" s="1"/>
  <c r="I90" i="72" s="1"/>
  <c r="J91" i="72" s="1"/>
  <c r="K92" i="72" s="1"/>
  <c r="L93" i="72" s="1"/>
  <c r="M94" i="72" s="1"/>
  <c r="E212" i="72"/>
  <c r="F212" i="72" s="1"/>
  <c r="G213" i="72" s="1"/>
  <c r="H214" i="72" s="1"/>
  <c r="I215" i="72" s="1"/>
  <c r="J216" i="72" s="1"/>
  <c r="K217" i="72" s="1"/>
  <c r="L218" i="72" s="1"/>
  <c r="E117" i="72"/>
  <c r="F117" i="72" s="1"/>
  <c r="G118" i="72" s="1"/>
  <c r="G150" i="72"/>
  <c r="H151" i="72" s="1"/>
  <c r="I152" i="72" s="1"/>
  <c r="J153" i="72" s="1"/>
  <c r="K154" i="72" s="1"/>
  <c r="L155" i="72" s="1"/>
  <c r="M156" i="72" s="1"/>
  <c r="G55" i="72"/>
  <c r="H56" i="72" s="1"/>
  <c r="I57" i="72" s="1"/>
  <c r="J58" i="72" s="1"/>
  <c r="K59" i="72" s="1"/>
  <c r="L60" i="72" s="1"/>
  <c r="M61" i="72" s="1"/>
  <c r="N62" i="72" s="1"/>
  <c r="O63" i="72" s="1"/>
  <c r="G304" i="72"/>
  <c r="H305" i="72" s="1"/>
  <c r="I306" i="72" s="1"/>
  <c r="J307" i="72" s="1"/>
  <c r="K308" i="72" s="1"/>
  <c r="L309" i="72" s="1"/>
  <c r="M310" i="72" s="1"/>
  <c r="N311" i="72" s="1"/>
  <c r="E242" i="72"/>
  <c r="F242" i="72" s="1"/>
  <c r="E25" i="72"/>
  <c r="F25" i="72" s="1"/>
  <c r="G181" i="72"/>
  <c r="H182" i="72" s="1"/>
  <c r="I183" i="72" s="1"/>
  <c r="J184" i="72" s="1"/>
  <c r="K185" i="72" s="1"/>
  <c r="L186" i="72" s="1"/>
  <c r="M187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H119" i="72"/>
  <c r="I120" i="72" s="1"/>
  <c r="J121" i="72" s="1"/>
  <c r="K122" i="72" s="1"/>
  <c r="L123" i="72" s="1"/>
  <c r="M124" i="72" s="1"/>
  <c r="N125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74" i="72"/>
  <c r="F274" i="72" s="1"/>
  <c r="G275" i="72" s="1"/>
  <c r="H276" i="72" s="1"/>
  <c r="I277" i="72" s="1"/>
  <c r="J278" i="72" s="1"/>
  <c r="K279" i="72" s="1"/>
  <c r="L280" i="72" s="1"/>
  <c r="E181" i="72"/>
  <c r="F181" i="72" s="1"/>
  <c r="E304" i="72"/>
  <c r="F304" i="72" s="1"/>
  <c r="E150" i="72"/>
  <c r="F150" i="72" s="1"/>
  <c r="G26" i="72"/>
  <c r="H27" i="72" s="1"/>
  <c r="I28" i="72" s="1"/>
  <c r="J29" i="72" s="1"/>
  <c r="K30" i="72" s="1"/>
  <c r="L31" i="72" s="1"/>
  <c r="M32" i="72" s="1"/>
  <c r="E88" i="72"/>
  <c r="F88" i="72" s="1"/>
  <c r="E213" i="72"/>
  <c r="F213" i="72" s="1"/>
  <c r="G243" i="72"/>
  <c r="H244" i="72" s="1"/>
  <c r="I245" i="72" s="1"/>
  <c r="J246" i="72" s="1"/>
  <c r="K247" i="72" s="1"/>
  <c r="L248" i="72" s="1"/>
  <c r="M249" i="72" s="1"/>
  <c r="E119" i="72" l="1"/>
  <c r="F119" i="72" s="1"/>
  <c r="G120" i="72" s="1"/>
  <c r="H121" i="72" s="1"/>
  <c r="I122" i="72" s="1"/>
  <c r="J123" i="72" s="1"/>
  <c r="K124" i="72" s="1"/>
  <c r="L125" i="72" s="1"/>
  <c r="E243" i="72"/>
  <c r="F243" i="72" s="1"/>
  <c r="G244" i="72" s="1"/>
  <c r="H245" i="72" s="1"/>
  <c r="I246" i="72" s="1"/>
  <c r="J247" i="72" s="1"/>
  <c r="K248" i="72" s="1"/>
  <c r="L249" i="72" s="1"/>
  <c r="E26" i="72"/>
  <c r="F26" i="72" s="1"/>
  <c r="E56" i="72"/>
  <c r="F56" i="72" s="1"/>
  <c r="E275" i="72"/>
  <c r="F275" i="72" s="1"/>
  <c r="G151" i="72"/>
  <c r="H152" i="72" s="1"/>
  <c r="I153" i="72" s="1"/>
  <c r="J154" i="72" s="1"/>
  <c r="K155" i="72" s="1"/>
  <c r="L156" i="72" s="1"/>
  <c r="G214" i="72"/>
  <c r="H215" i="72" s="1"/>
  <c r="I216" i="72" s="1"/>
  <c r="J217" i="72" s="1"/>
  <c r="K218" i="72" s="1"/>
  <c r="G305" i="72"/>
  <c r="H306" i="72" s="1"/>
  <c r="I307" i="72" s="1"/>
  <c r="J308" i="72" s="1"/>
  <c r="K309" i="72" s="1"/>
  <c r="L310" i="72" s="1"/>
  <c r="M311" i="72" s="1"/>
  <c r="G89" i="72"/>
  <c r="H90" i="72" s="1"/>
  <c r="I91" i="72" s="1"/>
  <c r="J92" i="72" s="1"/>
  <c r="K93" i="72" s="1"/>
  <c r="L94" i="72" s="1"/>
  <c r="G182" i="72"/>
  <c r="H183" i="72" s="1"/>
  <c r="I184" i="72" s="1"/>
  <c r="J185" i="72" s="1"/>
  <c r="K186" i="72" s="1"/>
  <c r="L187" i="72" s="1"/>
  <c r="E151" i="72" l="1"/>
  <c r="F151" i="72" s="1"/>
  <c r="G152" i="72" s="1"/>
  <c r="H153" i="72" s="1"/>
  <c r="I154" i="72" s="1"/>
  <c r="J155" i="72" s="1"/>
  <c r="K156" i="72" s="1"/>
  <c r="E89" i="72"/>
  <c r="F89" i="72" s="1"/>
  <c r="G90" i="72" s="1"/>
  <c r="H91" i="72" s="1"/>
  <c r="I92" i="72" s="1"/>
  <c r="J93" i="72" s="1"/>
  <c r="K94" i="72" s="1"/>
  <c r="E214" i="72"/>
  <c r="F214" i="72" s="1"/>
  <c r="G215" i="72" s="1"/>
  <c r="H216" i="72" s="1"/>
  <c r="I217" i="72" s="1"/>
  <c r="J218" i="72" s="1"/>
  <c r="G276" i="72"/>
  <c r="H277" i="72" s="1"/>
  <c r="I278" i="72" s="1"/>
  <c r="J279" i="72" s="1"/>
  <c r="K280" i="72" s="1"/>
  <c r="E305" i="72"/>
  <c r="F305" i="72" s="1"/>
  <c r="E244" i="72"/>
  <c r="F244" i="72" s="1"/>
  <c r="E182" i="72"/>
  <c r="F182" i="72" s="1"/>
  <c r="G57" i="72"/>
  <c r="H58" i="72" s="1"/>
  <c r="I59" i="72" s="1"/>
  <c r="J60" i="72" s="1"/>
  <c r="K61" i="72" s="1"/>
  <c r="L62" i="72" s="1"/>
  <c r="M63" i="72" s="1"/>
  <c r="E120" i="72"/>
  <c r="F120" i="72" s="1"/>
  <c r="G27" i="72"/>
  <c r="H28" i="72" s="1"/>
  <c r="I29" i="72" s="1"/>
  <c r="J30" i="72" s="1"/>
  <c r="K31" i="72" s="1"/>
  <c r="L32" i="72" s="1"/>
  <c r="E27" i="72" l="1"/>
  <c r="F27" i="72" s="1"/>
  <c r="G28" i="72" s="1"/>
  <c r="H29" i="72" s="1"/>
  <c r="I30" i="72" s="1"/>
  <c r="J31" i="72" s="1"/>
  <c r="K32" i="72" s="1"/>
  <c r="E57" i="72"/>
  <c r="F57" i="72" s="1"/>
  <c r="E215" i="72"/>
  <c r="F215" i="72" s="1"/>
  <c r="G216" i="72" s="1"/>
  <c r="H217" i="72" s="1"/>
  <c r="I218" i="72" s="1"/>
  <c r="G245" i="72"/>
  <c r="H246" i="72" s="1"/>
  <c r="I247" i="72" s="1"/>
  <c r="J248" i="72" s="1"/>
  <c r="K249" i="72" s="1"/>
  <c r="G306" i="72"/>
  <c r="H307" i="72" s="1"/>
  <c r="I308" i="72" s="1"/>
  <c r="J309" i="72" s="1"/>
  <c r="K310" i="72" s="1"/>
  <c r="L311" i="72" s="1"/>
  <c r="G121" i="72"/>
  <c r="H122" i="72" s="1"/>
  <c r="I123" i="72" s="1"/>
  <c r="J124" i="72" s="1"/>
  <c r="K125" i="72" s="1"/>
  <c r="E152" i="72"/>
  <c r="F152" i="72" s="1"/>
  <c r="E276" i="72"/>
  <c r="F276" i="72" s="1"/>
  <c r="E90" i="72"/>
  <c r="F90" i="72" s="1"/>
  <c r="G183" i="72"/>
  <c r="H184" i="72" s="1"/>
  <c r="I185" i="72" s="1"/>
  <c r="J186" i="72" s="1"/>
  <c r="K187" i="72" s="1"/>
  <c r="G58" i="72" l="1"/>
  <c r="H59" i="72" s="1"/>
  <c r="I60" i="72" s="1"/>
  <c r="J61" i="72" s="1"/>
  <c r="K62" i="72" s="1"/>
  <c r="L63" i="72" s="1"/>
  <c r="E183" i="72"/>
  <c r="F183" i="72" s="1"/>
  <c r="G184" i="72" s="1"/>
  <c r="H185" i="72" s="1"/>
  <c r="I186" i="72" s="1"/>
  <c r="J187" i="72" s="1"/>
  <c r="E121" i="72"/>
  <c r="F121" i="72" s="1"/>
  <c r="G122" i="72" s="1"/>
  <c r="H123" i="72" s="1"/>
  <c r="I124" i="72" s="1"/>
  <c r="J125" i="72" s="1"/>
  <c r="G153" i="72"/>
  <c r="H154" i="72" s="1"/>
  <c r="I155" i="72" s="1"/>
  <c r="J156" i="72" s="1"/>
  <c r="G277" i="72"/>
  <c r="H278" i="72" s="1"/>
  <c r="I279" i="72" s="1"/>
  <c r="J280" i="72" s="1"/>
  <c r="G91" i="72"/>
  <c r="H92" i="72" s="1"/>
  <c r="I93" i="72" s="1"/>
  <c r="J94" i="72" s="1"/>
  <c r="E245" i="72"/>
  <c r="F245" i="72" s="1"/>
  <c r="E28" i="72"/>
  <c r="F28" i="72" s="1"/>
  <c r="E216" i="72"/>
  <c r="F216" i="72" s="1"/>
  <c r="E306" i="72"/>
  <c r="F306" i="72" s="1"/>
  <c r="E58" i="72" l="1"/>
  <c r="F58" i="72" s="1"/>
  <c r="G59" i="72" s="1"/>
  <c r="H60" i="72" s="1"/>
  <c r="I61" i="72" s="1"/>
  <c r="J62" i="72" s="1"/>
  <c r="K63" i="72" s="1"/>
  <c r="E122" i="72"/>
  <c r="F122" i="72" s="1"/>
  <c r="G123" i="72" s="1"/>
  <c r="G307" i="72"/>
  <c r="H308" i="72" s="1"/>
  <c r="I309" i="72" s="1"/>
  <c r="J310" i="72" s="1"/>
  <c r="K311" i="72" s="1"/>
  <c r="G217" i="72"/>
  <c r="H218" i="72" s="1"/>
  <c r="E277" i="72"/>
  <c r="F277" i="72" s="1"/>
  <c r="G29" i="72"/>
  <c r="H30" i="72" s="1"/>
  <c r="I31" i="72" s="1"/>
  <c r="J32" i="72" s="1"/>
  <c r="E153" i="72"/>
  <c r="F153" i="72" s="1"/>
  <c r="G246" i="72"/>
  <c r="H247" i="72" s="1"/>
  <c r="I248" i="72" s="1"/>
  <c r="J249" i="72" s="1"/>
  <c r="E91" i="72"/>
  <c r="F91" i="72" s="1"/>
  <c r="E184" i="72"/>
  <c r="F184" i="72" s="1"/>
  <c r="E59" i="72" l="1"/>
  <c r="F59" i="72" s="1"/>
  <c r="H124" i="72"/>
  <c r="I125" i="72" s="1"/>
  <c r="E123" i="72"/>
  <c r="F123" i="72" s="1"/>
  <c r="G124" i="72" s="1"/>
  <c r="H125" i="72" s="1"/>
  <c r="E246" i="72"/>
  <c r="F246" i="72" s="1"/>
  <c r="G247" i="72" s="1"/>
  <c r="H248" i="72" s="1"/>
  <c r="I249" i="72" s="1"/>
  <c r="E217" i="72"/>
  <c r="F217" i="72" s="1"/>
  <c r="G218" i="72" s="1"/>
  <c r="E218" i="72" s="1"/>
  <c r="F218" i="72" s="1"/>
  <c r="G92" i="72"/>
  <c r="H93" i="72" s="1"/>
  <c r="I94" i="72" s="1"/>
  <c r="G278" i="72"/>
  <c r="H279" i="72" s="1"/>
  <c r="I280" i="72" s="1"/>
  <c r="G185" i="72"/>
  <c r="H186" i="72" s="1"/>
  <c r="I187" i="72" s="1"/>
  <c r="G154" i="72"/>
  <c r="H155" i="72" s="1"/>
  <c r="I156" i="72" s="1"/>
  <c r="G60" i="72"/>
  <c r="H61" i="72" s="1"/>
  <c r="I62" i="72" s="1"/>
  <c r="J63" i="72" s="1"/>
  <c r="E29" i="72"/>
  <c r="F29" i="72" s="1"/>
  <c r="E307" i="72"/>
  <c r="F307" i="72" s="1"/>
  <c r="G308" i="72" l="1"/>
  <c r="H309" i="72" s="1"/>
  <c r="I310" i="72" s="1"/>
  <c r="J311" i="72" s="1"/>
  <c r="E185" i="72"/>
  <c r="F185" i="72" s="1"/>
  <c r="G30" i="72"/>
  <c r="H31" i="72" s="1"/>
  <c r="I32" i="72" s="1"/>
  <c r="E247" i="72"/>
  <c r="F247" i="72" s="1"/>
  <c r="E124" i="72"/>
  <c r="F124" i="72" s="1"/>
  <c r="G125" i="72" s="1"/>
  <c r="E125" i="72" s="1"/>
  <c r="F125" i="72" s="1"/>
  <c r="AL125" i="72" s="1"/>
  <c r="E60" i="72"/>
  <c r="F60" i="72" s="1"/>
  <c r="E278" i="72"/>
  <c r="F278" i="72" s="1"/>
  <c r="E154" i="72"/>
  <c r="F154" i="72" s="1"/>
  <c r="E92" i="72"/>
  <c r="F92" i="72" s="1"/>
  <c r="G61" i="72" l="1"/>
  <c r="H62" i="72" s="1"/>
  <c r="I63" i="72" s="1"/>
  <c r="G279" i="72"/>
  <c r="H280" i="72" s="1"/>
  <c r="E30" i="72"/>
  <c r="F30" i="72" s="1"/>
  <c r="G248" i="72"/>
  <c r="H249" i="72" s="1"/>
  <c r="G93" i="72"/>
  <c r="H94" i="72" s="1"/>
  <c r="G155" i="72"/>
  <c r="H156" i="72" s="1"/>
  <c r="G186" i="72"/>
  <c r="H187" i="72" s="1"/>
  <c r="E308" i="72"/>
  <c r="F308" i="72" s="1"/>
  <c r="E155" i="72" l="1"/>
  <c r="F155" i="72" s="1"/>
  <c r="G156" i="72" s="1"/>
  <c r="E156" i="72" s="1"/>
  <c r="F156" i="72" s="1"/>
  <c r="E248" i="72"/>
  <c r="F248" i="72" s="1"/>
  <c r="G249" i="72" s="1"/>
  <c r="E249" i="72" s="1"/>
  <c r="F249" i="72" s="1"/>
  <c r="E186" i="72"/>
  <c r="F186" i="72" s="1"/>
  <c r="G187" i="72" s="1"/>
  <c r="E187" i="72" s="1"/>
  <c r="F187" i="72" s="1"/>
  <c r="G309" i="72"/>
  <c r="H310" i="72" s="1"/>
  <c r="I311" i="72" s="1"/>
  <c r="G31" i="72"/>
  <c r="H32" i="72" s="1"/>
  <c r="E279" i="72"/>
  <c r="F279" i="72" s="1"/>
  <c r="G280" i="72" s="1"/>
  <c r="E280" i="72" s="1"/>
  <c r="F280" i="72" s="1"/>
  <c r="E93" i="72"/>
  <c r="F93" i="72" s="1"/>
  <c r="G94" i="72" s="1"/>
  <c r="E94" i="72" s="1"/>
  <c r="F94" i="72" s="1"/>
  <c r="AL94" i="72" s="1"/>
  <c r="AL127" i="72" s="1"/>
  <c r="E61" i="72"/>
  <c r="F61" i="72" s="1"/>
  <c r="G62" i="72" l="1"/>
  <c r="H63" i="72" s="1"/>
  <c r="E31" i="72"/>
  <c r="F31" i="72" s="1"/>
  <c r="E309" i="72"/>
  <c r="F309" i="72" s="1"/>
  <c r="G310" i="72" l="1"/>
  <c r="H311" i="72" s="1"/>
  <c r="G32" i="72"/>
  <c r="E32" i="72" s="1"/>
  <c r="F32" i="72" s="1"/>
  <c r="E62" i="72"/>
  <c r="F62" i="72" s="1"/>
  <c r="G63" i="72" s="1"/>
  <c r="E63" i="72" s="1"/>
  <c r="F63" i="72" s="1"/>
  <c r="AL63" i="72" s="1"/>
  <c r="AL32" i="72" l="1"/>
  <c r="E310" i="72"/>
  <c r="F310" i="72" s="1"/>
  <c r="G311" i="72" s="1"/>
  <c r="E311" i="72" l="1"/>
  <c r="F311" i="72" s="1"/>
  <c r="F32" i="26" s="1" a="1"/>
  <c r="F32" i="26" s="1"/>
  <c r="G216" i="35" s="1"/>
  <c r="D32" i="26" a="1"/>
  <c r="D32" i="26" s="1"/>
  <c r="H195" i="35" s="1"/>
  <c r="H32" i="26" a="1"/>
  <c r="H32" i="26" s="1"/>
  <c r="I216" i="35" s="1"/>
  <c r="E32" i="26" a="1"/>
  <c r="E32" i="26" s="1"/>
  <c r="I195" i="35" s="1"/>
  <c r="E23" i="26" a="1"/>
  <c r="E23" i="26" s="1"/>
  <c r="E31" i="26" a="1"/>
  <c r="E31" i="26" s="1"/>
  <c r="G37" i="26" a="1"/>
  <c r="G37" i="26" s="1"/>
  <c r="H221" i="35" s="1"/>
  <c r="E41" i="26" a="1"/>
  <c r="E41" i="26" s="1"/>
  <c r="I204" i="35" s="1"/>
  <c r="D25" i="26" a="1"/>
  <c r="D25" i="26" s="1"/>
  <c r="H188" i="35" s="1"/>
  <c r="H40" i="26" a="1"/>
  <c r="H40" i="26" s="1"/>
  <c r="I224" i="35" s="1"/>
  <c r="D38" i="26" a="1"/>
  <c r="D38" i="26" s="1"/>
  <c r="H201" i="35" s="1"/>
  <c r="G38" i="26" a="1"/>
  <c r="G38" i="26" s="1"/>
  <c r="H222" i="35" s="1"/>
  <c r="E26" i="26" a="1"/>
  <c r="E26" i="26" s="1"/>
  <c r="I189" i="35" s="1"/>
  <c r="F33" i="26" a="1"/>
  <c r="F33" i="26" s="1"/>
  <c r="G217" i="35" s="1"/>
  <c r="H41" i="26" a="1"/>
  <c r="H41" i="26" s="1"/>
  <c r="I225" i="35" s="1"/>
  <c r="H26" i="26" a="1"/>
  <c r="H26" i="26" s="1"/>
  <c r="I210" i="35" s="1"/>
  <c r="F41" i="26" a="1"/>
  <c r="F41" i="26" s="1"/>
  <c r="G225" i="35" s="1"/>
  <c r="D40" i="26" a="1"/>
  <c r="D40" i="26" s="1"/>
  <c r="H203" i="35" s="1"/>
  <c r="E29" i="26" a="1"/>
  <c r="E29" i="26" s="1"/>
  <c r="I192" i="35" s="1"/>
  <c r="H33" i="26" a="1"/>
  <c r="H33" i="26" s="1"/>
  <c r="I217" i="35" s="1"/>
  <c r="H29" i="26" a="1"/>
  <c r="H29" i="26" s="1"/>
  <c r="I213" i="35" s="1"/>
  <c r="E27" i="26" a="1"/>
  <c r="E27" i="26" s="1"/>
  <c r="E30" i="26" a="1"/>
  <c r="E30" i="26" s="1"/>
  <c r="I193" i="35" s="1"/>
  <c r="D34" i="26" a="1"/>
  <c r="D34" i="26" s="1"/>
  <c r="H197" i="35" s="1"/>
  <c r="D33" i="26" a="1"/>
  <c r="D33" i="26" s="1"/>
  <c r="H196" i="35" s="1"/>
  <c r="E42" i="26" a="1"/>
  <c r="E42" i="26" s="1"/>
  <c r="I205" i="35" s="1"/>
  <c r="G36" i="26" a="1"/>
  <c r="G36" i="26" s="1"/>
  <c r="H220" i="35" s="1"/>
  <c r="H24" i="26" a="1"/>
  <c r="H24" i="26" s="1"/>
  <c r="I208" i="35" s="1"/>
  <c r="G42" i="26" a="1"/>
  <c r="G42" i="26" s="1"/>
  <c r="H226" i="35" s="1"/>
  <c r="H31" i="26" a="1"/>
  <c r="H31" i="26" s="1"/>
  <c r="D29" i="26" a="1"/>
  <c r="D29" i="26" s="1"/>
  <c r="H192" i="35" s="1"/>
  <c r="F30" i="26" a="1"/>
  <c r="F30" i="26" s="1"/>
  <c r="G214" i="35" s="1"/>
  <c r="E25" i="26" a="1"/>
  <c r="E25" i="26" s="1"/>
  <c r="I188" i="35" s="1"/>
  <c r="E36" i="26" a="1"/>
  <c r="E36" i="26" s="1"/>
  <c r="I199" i="35" s="1"/>
  <c r="F39" i="26" a="1"/>
  <c r="F39" i="26" s="1"/>
  <c r="D23" i="26" a="1"/>
  <c r="D23" i="26" s="1"/>
  <c r="D42" i="26" a="1"/>
  <c r="D42" i="26" s="1"/>
  <c r="H205" i="35" s="1"/>
  <c r="E34" i="26" a="1"/>
  <c r="E34" i="26" s="1"/>
  <c r="I197" i="35" s="1"/>
  <c r="E24" i="26" a="1"/>
  <c r="E24" i="26" s="1"/>
  <c r="I187" i="35" s="1"/>
  <c r="H25" i="26" a="1"/>
  <c r="H25" i="26" s="1"/>
  <c r="I209" i="35" s="1"/>
  <c r="H38" i="26" a="1"/>
  <c r="H38" i="26" s="1"/>
  <c r="I222" i="35" s="1"/>
  <c r="H35" i="26" a="1"/>
  <c r="H35" i="26" s="1"/>
  <c r="G32" i="26" a="1"/>
  <c r="G32" i="26" s="1"/>
  <c r="H216" i="35" s="1"/>
  <c r="G31" i="26" a="1"/>
  <c r="G31" i="26" s="1"/>
  <c r="D37" i="26" a="1"/>
  <c r="D37" i="26" s="1"/>
  <c r="H200" i="35" s="1"/>
  <c r="F36" i="26" a="1"/>
  <c r="F36" i="26" s="1"/>
  <c r="G220" i="35" s="1"/>
  <c r="F27" i="26" a="1"/>
  <c r="F27" i="26" s="1"/>
  <c r="F35" i="26" a="1"/>
  <c r="F35" i="26" s="1"/>
  <c r="D30" i="26" a="1"/>
  <c r="D30" i="26" s="1"/>
  <c r="H193" i="35" s="1"/>
  <c r="H30" i="26" a="1"/>
  <c r="H30" i="26" s="1"/>
  <c r="I214" i="35" s="1"/>
  <c r="F24" i="26" a="1"/>
  <c r="F24" i="26" s="1"/>
  <c r="G208" i="35" s="1"/>
  <c r="E40" i="26" a="1"/>
  <c r="E40" i="26" s="1"/>
  <c r="I203" i="35" s="1"/>
  <c r="E38" i="26" a="1"/>
  <c r="E38" i="26" s="1"/>
  <c r="I201" i="35" s="1"/>
  <c r="H28" i="26" a="1"/>
  <c r="H28" i="26" s="1"/>
  <c r="I212" i="35" s="1"/>
  <c r="G41" i="26" l="1" a="1"/>
  <c r="G41" i="26" s="1"/>
  <c r="H225" i="35" s="1"/>
  <c r="I90" i="58" s="1"/>
  <c r="G27" i="26" a="1"/>
  <c r="G27" i="26" s="1"/>
  <c r="D41" i="26" a="1"/>
  <c r="D41" i="26" s="1"/>
  <c r="H204" i="35" s="1"/>
  <c r="H34" i="26" a="1"/>
  <c r="H34" i="26" s="1"/>
  <c r="I218" i="35" s="1"/>
  <c r="F42" i="26" a="1"/>
  <c r="F42" i="26" s="1"/>
  <c r="G226" i="35" s="1"/>
  <c r="D36" i="26" a="1"/>
  <c r="D36" i="26" s="1"/>
  <c r="H199" i="35" s="1"/>
  <c r="I70" i="37" s="1"/>
  <c r="F29" i="26" a="1"/>
  <c r="F29" i="26" s="1"/>
  <c r="G213" i="35" s="1"/>
  <c r="H41" i="58" s="1"/>
  <c r="H41" i="41" s="1"/>
  <c r="G39" i="26" a="1"/>
  <c r="G39" i="26" s="1"/>
  <c r="H223" i="35" s="1"/>
  <c r="D27" i="26" a="1"/>
  <c r="D27" i="26" s="1"/>
  <c r="H190" i="35" s="1"/>
  <c r="H42" i="26" a="1"/>
  <c r="H42" i="26" s="1"/>
  <c r="I226" i="35" s="1"/>
  <c r="J94" i="58" s="1"/>
  <c r="H36" i="26" a="1"/>
  <c r="H36" i="26" s="1"/>
  <c r="I220" i="35" s="1"/>
  <c r="J69" i="58" s="1"/>
  <c r="G40" i="26" a="1"/>
  <c r="G40" i="26" s="1"/>
  <c r="H224" i="35" s="1"/>
  <c r="I83" i="58" s="1"/>
  <c r="F37" i="26" a="1"/>
  <c r="F37" i="26" s="1"/>
  <c r="G221" i="35" s="1"/>
  <c r="H73" i="58" s="1"/>
  <c r="H73" i="41" s="1"/>
  <c r="F40" i="26" a="1"/>
  <c r="F40" i="26" s="1"/>
  <c r="G224" i="35" s="1"/>
  <c r="H86" i="58" s="1"/>
  <c r="H86" i="41" s="1"/>
  <c r="I43" i="37"/>
  <c r="I45" i="37"/>
  <c r="I46" i="37"/>
  <c r="I44" i="37"/>
  <c r="J77" i="58"/>
  <c r="J75" i="58"/>
  <c r="J78" i="58"/>
  <c r="J76" i="58"/>
  <c r="J25" i="37"/>
  <c r="J23" i="37"/>
  <c r="J24" i="37"/>
  <c r="J26" i="37"/>
  <c r="I58" i="37"/>
  <c r="I56" i="37"/>
  <c r="I57" i="37"/>
  <c r="I55" i="37"/>
  <c r="H87" i="58"/>
  <c r="H87" i="41" s="1"/>
  <c r="H89" i="58"/>
  <c r="H89" i="41" s="1"/>
  <c r="H90" i="58"/>
  <c r="H90" i="41" s="1"/>
  <c r="H88" i="58"/>
  <c r="H88" i="41" s="1"/>
  <c r="I24" i="37"/>
  <c r="I25" i="37"/>
  <c r="I26" i="37"/>
  <c r="I23" i="37"/>
  <c r="I88" i="58"/>
  <c r="H22" i="58"/>
  <c r="H22" i="41" s="1"/>
  <c r="H19" i="58"/>
  <c r="H19" i="41" s="1"/>
  <c r="H20" i="58"/>
  <c r="H20" i="41" s="1"/>
  <c r="H21" i="58"/>
  <c r="H21" i="41" s="1"/>
  <c r="G219" i="35"/>
  <c r="J24" i="58"/>
  <c r="J26" i="58"/>
  <c r="J23" i="58"/>
  <c r="J25" i="58"/>
  <c r="H43" i="58"/>
  <c r="H43" i="41" s="1"/>
  <c r="H45" i="58"/>
  <c r="H45" i="41" s="1"/>
  <c r="H46" i="58"/>
  <c r="H46" i="41" s="1"/>
  <c r="H44" i="58"/>
  <c r="H44" i="41" s="1"/>
  <c r="I59" i="37"/>
  <c r="I62" i="37"/>
  <c r="I61" i="37"/>
  <c r="I60" i="37"/>
  <c r="J27" i="58"/>
  <c r="J28" i="58"/>
  <c r="J30" i="58"/>
  <c r="J29" i="58"/>
  <c r="J89" i="37"/>
  <c r="J88" i="37"/>
  <c r="J87" i="37"/>
  <c r="J90" i="37"/>
  <c r="J84" i="37"/>
  <c r="J85" i="37"/>
  <c r="J83" i="37"/>
  <c r="J86" i="37"/>
  <c r="G211" i="35"/>
  <c r="J21" i="37"/>
  <c r="J20" i="37"/>
  <c r="J19" i="37"/>
  <c r="J22" i="37"/>
  <c r="I40" i="37"/>
  <c r="I41" i="37"/>
  <c r="I39" i="37"/>
  <c r="I42" i="37"/>
  <c r="J45" i="37"/>
  <c r="J46" i="37"/>
  <c r="J43" i="37"/>
  <c r="J44" i="37"/>
  <c r="J87" i="58"/>
  <c r="J89" i="58"/>
  <c r="J90" i="58"/>
  <c r="J88" i="58"/>
  <c r="I73" i="58"/>
  <c r="I72" i="58"/>
  <c r="I74" i="58"/>
  <c r="I71" i="58"/>
  <c r="H211" i="35"/>
  <c r="J38" i="58"/>
  <c r="J36" i="58"/>
  <c r="J37" i="58"/>
  <c r="J35" i="58"/>
  <c r="H67" i="58"/>
  <c r="H67" i="41" s="1"/>
  <c r="H70" i="58"/>
  <c r="H70" i="41" s="1"/>
  <c r="H69" i="58"/>
  <c r="H69" i="41" s="1"/>
  <c r="H68" i="58"/>
  <c r="H68" i="41" s="1"/>
  <c r="J59" i="37"/>
  <c r="J62" i="37"/>
  <c r="J60" i="37"/>
  <c r="J61" i="37"/>
  <c r="I215" i="35"/>
  <c r="G52" i="26"/>
  <c r="I190" i="35"/>
  <c r="H58" i="58"/>
  <c r="H58" i="41" s="1"/>
  <c r="H57" i="58"/>
  <c r="H57" i="41" s="1"/>
  <c r="H56" i="58"/>
  <c r="H56" i="41" s="1"/>
  <c r="H55" i="58"/>
  <c r="H55" i="41" s="1"/>
  <c r="I194" i="35"/>
  <c r="I87" i="37"/>
  <c r="I90" i="37"/>
  <c r="I88" i="37"/>
  <c r="I89" i="37"/>
  <c r="I73" i="37"/>
  <c r="I72" i="37"/>
  <c r="I71" i="37"/>
  <c r="I74" i="37"/>
  <c r="I91" i="37"/>
  <c r="I94" i="37"/>
  <c r="I93" i="37"/>
  <c r="I92" i="37"/>
  <c r="I94" i="58"/>
  <c r="I92" i="58"/>
  <c r="I91" i="58"/>
  <c r="I93" i="58"/>
  <c r="J41" i="58"/>
  <c r="J40" i="58"/>
  <c r="J42" i="58"/>
  <c r="J39" i="58"/>
  <c r="J27" i="37"/>
  <c r="J29" i="37"/>
  <c r="J30" i="37"/>
  <c r="J28" i="37"/>
  <c r="I186" i="35"/>
  <c r="D50" i="26"/>
  <c r="J62" i="58"/>
  <c r="J60" i="58"/>
  <c r="J59" i="58"/>
  <c r="J61" i="58"/>
  <c r="J78" i="37"/>
  <c r="J75" i="37"/>
  <c r="J76" i="37"/>
  <c r="J77" i="37"/>
  <c r="H215" i="35"/>
  <c r="H186" i="35"/>
  <c r="J21" i="58"/>
  <c r="J19" i="58"/>
  <c r="J22" i="58"/>
  <c r="J20" i="58"/>
  <c r="J57" i="58"/>
  <c r="J56" i="58"/>
  <c r="J55" i="58"/>
  <c r="J58" i="58"/>
  <c r="I78" i="58"/>
  <c r="I75" i="58"/>
  <c r="I77" i="58"/>
  <c r="I76" i="58"/>
  <c r="J52" i="37"/>
  <c r="J51" i="37"/>
  <c r="J53" i="37"/>
  <c r="J54" i="37"/>
  <c r="H92" i="58"/>
  <c r="H92" i="41" s="1"/>
  <c r="H94" i="58"/>
  <c r="H94" i="41" s="1"/>
  <c r="H93" i="58"/>
  <c r="H93" i="41" s="1"/>
  <c r="H91" i="58"/>
  <c r="H91" i="41" s="1"/>
  <c r="H53" i="58"/>
  <c r="H53" i="41" s="1"/>
  <c r="H52" i="58"/>
  <c r="H52" i="41" s="1"/>
  <c r="H51" i="58"/>
  <c r="H51" i="41" s="1"/>
  <c r="H54" i="58"/>
  <c r="H54" i="41" s="1"/>
  <c r="I54" i="58"/>
  <c r="I52" i="58"/>
  <c r="I53" i="58"/>
  <c r="I51" i="58"/>
  <c r="G223" i="35"/>
  <c r="I69" i="58"/>
  <c r="I70" i="58"/>
  <c r="I68" i="58"/>
  <c r="I67" i="58"/>
  <c r="J40" i="37"/>
  <c r="J42" i="37"/>
  <c r="J39" i="37"/>
  <c r="J41" i="37"/>
  <c r="I78" i="37"/>
  <c r="I77" i="37"/>
  <c r="I76" i="37"/>
  <c r="I75" i="37"/>
  <c r="J52" i="58"/>
  <c r="J54" i="58"/>
  <c r="J51" i="58"/>
  <c r="J53" i="58"/>
  <c r="J44" i="58"/>
  <c r="J45" i="58"/>
  <c r="J43" i="58"/>
  <c r="J46" i="58"/>
  <c r="I219" i="35"/>
  <c r="J68" i="37"/>
  <c r="J69" i="37"/>
  <c r="J70" i="37"/>
  <c r="J67" i="37"/>
  <c r="J94" i="37"/>
  <c r="J91" i="37"/>
  <c r="J93" i="37"/>
  <c r="J92" i="37"/>
  <c r="I83" i="37"/>
  <c r="I85" i="37"/>
  <c r="I84" i="37"/>
  <c r="I86" i="37"/>
  <c r="J85" i="58"/>
  <c r="J86" i="58"/>
  <c r="J83" i="58"/>
  <c r="J84" i="58"/>
  <c r="I52" i="37"/>
  <c r="I51" i="37"/>
  <c r="I53" i="37"/>
  <c r="I54" i="37"/>
  <c r="G29" i="26" a="1"/>
  <c r="G29" i="26" s="1"/>
  <c r="H213" i="35" s="1"/>
  <c r="F34" i="26" a="1"/>
  <c r="F34" i="26" s="1"/>
  <c r="G218" i="35" s="1"/>
  <c r="E28" i="26" a="1"/>
  <c r="E28" i="26" s="1"/>
  <c r="I191" i="35" s="1"/>
  <c r="H37" i="26" a="1"/>
  <c r="H37" i="26" s="1"/>
  <c r="I221" i="35" s="1"/>
  <c r="H23" i="26" a="1"/>
  <c r="H23" i="26" s="1"/>
  <c r="F31" i="26" a="1"/>
  <c r="F31" i="26" s="1"/>
  <c r="G25" i="26" a="1"/>
  <c r="G25" i="26" s="1"/>
  <c r="H209" i="35" s="1"/>
  <c r="D39" i="26" a="1"/>
  <c r="D39" i="26" s="1"/>
  <c r="E39" i="26" a="1"/>
  <c r="E39" i="26" s="1"/>
  <c r="H39" i="26" a="1"/>
  <c r="H39" i="26" s="1"/>
  <c r="D35" i="26" a="1"/>
  <c r="D35" i="26" s="1"/>
  <c r="H27" i="26" a="1"/>
  <c r="H27" i="26" s="1"/>
  <c r="F38" i="26" a="1"/>
  <c r="F38" i="26" s="1"/>
  <c r="G222" i="35" s="1"/>
  <c r="D28" i="26" a="1"/>
  <c r="D28" i="26" s="1"/>
  <c r="H191" i="35" s="1"/>
  <c r="G35" i="26" a="1"/>
  <c r="G35" i="26" s="1"/>
  <c r="G28" i="26" a="1"/>
  <c r="G28" i="26" s="1"/>
  <c r="H212" i="35" s="1"/>
  <c r="G24" i="26" a="1"/>
  <c r="G24" i="26" s="1"/>
  <c r="H208" i="35" s="1"/>
  <c r="F28" i="26" a="1"/>
  <c r="F28" i="26" s="1"/>
  <c r="G212" i="35" s="1"/>
  <c r="F26" i="26" a="1"/>
  <c r="F26" i="26" s="1"/>
  <c r="G210" i="35" s="1"/>
  <c r="G30" i="26" a="1"/>
  <c r="G30" i="26" s="1"/>
  <c r="H214" i="35" s="1"/>
  <c r="D31" i="26" a="1"/>
  <c r="D31" i="26" s="1"/>
  <c r="G26" i="26" a="1"/>
  <c r="G26" i="26" s="1"/>
  <c r="H210" i="35" s="1"/>
  <c r="F25" i="26" a="1"/>
  <c r="F25" i="26" s="1"/>
  <c r="G209" i="35" s="1"/>
  <c r="G23" i="26" a="1"/>
  <c r="G23" i="26" s="1"/>
  <c r="E33" i="26" a="1"/>
  <c r="E33" i="26" s="1"/>
  <c r="I196" i="35" s="1"/>
  <c r="G33" i="26" a="1"/>
  <c r="G33" i="26" s="1"/>
  <c r="H217" i="35" s="1"/>
  <c r="F23" i="26" a="1"/>
  <c r="F23" i="26" s="1"/>
  <c r="E37" i="26" a="1"/>
  <c r="E37" i="26" s="1"/>
  <c r="I200" i="35" s="1"/>
  <c r="D26" i="26" a="1"/>
  <c r="D26" i="26" s="1"/>
  <c r="H189" i="35" s="1"/>
  <c r="G34" i="26" a="1"/>
  <c r="G34" i="26" s="1"/>
  <c r="H218" i="35" s="1"/>
  <c r="D24" i="26" a="1"/>
  <c r="D24" i="26" s="1"/>
  <c r="H187" i="35" s="1"/>
  <c r="E35" i="26" a="1"/>
  <c r="E35" i="26" s="1"/>
  <c r="I89" i="58" l="1"/>
  <c r="I87" i="58"/>
  <c r="I85" i="58"/>
  <c r="I84" i="58"/>
  <c r="I86" i="58"/>
  <c r="I68" i="37"/>
  <c r="J70" i="58"/>
  <c r="J70" i="41" s="1"/>
  <c r="I67" i="37"/>
  <c r="H42" i="58"/>
  <c r="H42" i="41" s="1"/>
  <c r="H39" i="58"/>
  <c r="H39" i="41" s="1"/>
  <c r="H74" i="58"/>
  <c r="H74" i="41" s="1"/>
  <c r="H40" i="58"/>
  <c r="H40" i="41" s="1"/>
  <c r="H72" i="58"/>
  <c r="H72" i="41" s="1"/>
  <c r="H71" i="58"/>
  <c r="H71" i="41" s="1"/>
  <c r="I75" i="41"/>
  <c r="F54" i="26"/>
  <c r="J42" i="41"/>
  <c r="J68" i="58"/>
  <c r="J68" i="41" s="1"/>
  <c r="J67" i="58"/>
  <c r="J67" i="41" s="1"/>
  <c r="J92" i="58"/>
  <c r="J92" i="41" s="1"/>
  <c r="J91" i="58"/>
  <c r="I69" i="37"/>
  <c r="I69" i="41" s="1"/>
  <c r="H85" i="58"/>
  <c r="H85" i="41" s="1"/>
  <c r="J93" i="58"/>
  <c r="H84" i="58"/>
  <c r="H84" i="41" s="1"/>
  <c r="I90" i="41"/>
  <c r="J23" i="41"/>
  <c r="H83" i="58"/>
  <c r="H83" i="41" s="1"/>
  <c r="I67" i="41"/>
  <c r="E54" i="26"/>
  <c r="H54" i="26" s="1"/>
  <c r="I85" i="41"/>
  <c r="J27" i="41"/>
  <c r="I87" i="41"/>
  <c r="I52" i="41"/>
  <c r="I83" i="41"/>
  <c r="J40" i="41"/>
  <c r="I68" i="41"/>
  <c r="J94" i="41"/>
  <c r="I70" i="41"/>
  <c r="J28" i="41"/>
  <c r="I89" i="41"/>
  <c r="I54" i="41"/>
  <c r="I78" i="41"/>
  <c r="J30" i="41"/>
  <c r="I88" i="41"/>
  <c r="I53" i="41"/>
  <c r="I84" i="41"/>
  <c r="J41" i="41"/>
  <c r="J29" i="41"/>
  <c r="J69" i="41"/>
  <c r="J26" i="41"/>
  <c r="J93" i="41"/>
  <c r="J39" i="41"/>
  <c r="I94" i="41"/>
  <c r="J91" i="41"/>
  <c r="I76" i="41"/>
  <c r="I77" i="41"/>
  <c r="I58" i="58"/>
  <c r="I58" i="41" s="1"/>
  <c r="I57" i="58"/>
  <c r="I57" i="41" s="1"/>
  <c r="I55" i="58"/>
  <c r="I55" i="41" s="1"/>
  <c r="I56" i="58"/>
  <c r="I56" i="41" s="1"/>
  <c r="H36" i="58"/>
  <c r="H36" i="41" s="1"/>
  <c r="H37" i="58"/>
  <c r="H37" i="41" s="1"/>
  <c r="H35" i="58"/>
  <c r="H35" i="41" s="1"/>
  <c r="H38" i="58"/>
  <c r="H38" i="41" s="1"/>
  <c r="I223" i="35"/>
  <c r="G54" i="26"/>
  <c r="H61" i="58"/>
  <c r="H61" i="41" s="1"/>
  <c r="H60" i="58"/>
  <c r="H60" i="41" s="1"/>
  <c r="H59" i="58"/>
  <c r="H59" i="41" s="1"/>
  <c r="H62" i="58"/>
  <c r="H62" i="41" s="1"/>
  <c r="I51" i="41"/>
  <c r="J51" i="41"/>
  <c r="F52" i="26"/>
  <c r="J62" i="41"/>
  <c r="I71" i="41"/>
  <c r="J44" i="41"/>
  <c r="J22" i="41"/>
  <c r="J85" i="41"/>
  <c r="J88" i="41"/>
  <c r="J76" i="41"/>
  <c r="J58" i="37"/>
  <c r="J58" i="41" s="1"/>
  <c r="J57" i="37"/>
  <c r="J57" i="41" s="1"/>
  <c r="J55" i="37"/>
  <c r="J55" i="41" s="1"/>
  <c r="J56" i="37"/>
  <c r="J56" i="41" s="1"/>
  <c r="I20" i="58"/>
  <c r="I21" i="58"/>
  <c r="I19" i="58"/>
  <c r="I22" i="58"/>
  <c r="I202" i="35"/>
  <c r="D54" i="26"/>
  <c r="J54" i="26" s="1"/>
  <c r="I41" i="58"/>
  <c r="I41" i="41" s="1"/>
  <c r="I42" i="58"/>
  <c r="I42" i="41" s="1"/>
  <c r="I40" i="58"/>
  <c r="I40" i="41" s="1"/>
  <c r="I39" i="58"/>
  <c r="I39" i="41" s="1"/>
  <c r="H81" i="58"/>
  <c r="H81" i="41" s="1"/>
  <c r="H79" i="58"/>
  <c r="H79" i="41" s="1"/>
  <c r="H80" i="58"/>
  <c r="H80" i="41" s="1"/>
  <c r="H82" i="58"/>
  <c r="H82" i="41" s="1"/>
  <c r="J52" i="41"/>
  <c r="I49" i="58"/>
  <c r="I47" i="58"/>
  <c r="I50" i="58"/>
  <c r="I48" i="58"/>
  <c r="J59" i="41"/>
  <c r="I74" i="41"/>
  <c r="J43" i="41"/>
  <c r="J19" i="41"/>
  <c r="J84" i="41"/>
  <c r="J89" i="41"/>
  <c r="J78" i="41"/>
  <c r="I28" i="58"/>
  <c r="I29" i="58"/>
  <c r="I27" i="58"/>
  <c r="I30" i="58"/>
  <c r="I198" i="35"/>
  <c r="D53" i="26"/>
  <c r="F50" i="26"/>
  <c r="H207" i="35"/>
  <c r="I38" i="58"/>
  <c r="I35" i="58"/>
  <c r="I37" i="58"/>
  <c r="I36" i="58"/>
  <c r="C54" i="26"/>
  <c r="I54" i="26" s="1"/>
  <c r="H202" i="35"/>
  <c r="G53" i="26"/>
  <c r="J33" i="37"/>
  <c r="J34" i="37"/>
  <c r="J31" i="37"/>
  <c r="J32" i="37"/>
  <c r="I72" i="41"/>
  <c r="J46" i="41"/>
  <c r="J20" i="41"/>
  <c r="C51" i="26"/>
  <c r="E53" i="26"/>
  <c r="H53" i="26" s="1"/>
  <c r="J75" i="41"/>
  <c r="I20" i="37"/>
  <c r="I22" i="37"/>
  <c r="I21" i="37"/>
  <c r="I19" i="37"/>
  <c r="H23" i="58"/>
  <c r="H23" i="41" s="1"/>
  <c r="H24" i="58"/>
  <c r="H24" i="41" s="1"/>
  <c r="H25" i="58"/>
  <c r="H25" i="41" s="1"/>
  <c r="H26" i="58"/>
  <c r="H26" i="41" s="1"/>
  <c r="F53" i="26"/>
  <c r="H219" i="35"/>
  <c r="I25" i="58"/>
  <c r="I25" i="41" s="1"/>
  <c r="I23" i="58"/>
  <c r="I23" i="41" s="1"/>
  <c r="I26" i="58"/>
  <c r="I26" i="41" s="1"/>
  <c r="I24" i="58"/>
  <c r="I24" i="41" s="1"/>
  <c r="J63" i="58"/>
  <c r="J66" i="58"/>
  <c r="J65" i="58"/>
  <c r="J64" i="58"/>
  <c r="D51" i="26"/>
  <c r="I73" i="41"/>
  <c r="J45" i="41"/>
  <c r="J21" i="41"/>
  <c r="I32" i="37"/>
  <c r="I34" i="37"/>
  <c r="I33" i="37"/>
  <c r="I31" i="37"/>
  <c r="H63" i="58"/>
  <c r="H63" i="41" s="1"/>
  <c r="H66" i="58"/>
  <c r="H66" i="41" s="1"/>
  <c r="H65" i="58"/>
  <c r="H65" i="41" s="1"/>
  <c r="H64" i="58"/>
  <c r="H64" i="41" s="1"/>
  <c r="J77" i="41"/>
  <c r="G215" i="35"/>
  <c r="E52" i="26"/>
  <c r="H52" i="26" s="1"/>
  <c r="I92" i="41"/>
  <c r="D52" i="26"/>
  <c r="J52" i="26" s="1"/>
  <c r="E51" i="26"/>
  <c r="H51" i="26" s="1"/>
  <c r="I81" i="58"/>
  <c r="I80" i="58"/>
  <c r="I79" i="58"/>
  <c r="I82" i="58"/>
  <c r="I38" i="37"/>
  <c r="I37" i="37"/>
  <c r="I35" i="37"/>
  <c r="I36" i="37"/>
  <c r="I29" i="37"/>
  <c r="I27" i="37"/>
  <c r="I28" i="37"/>
  <c r="I30" i="37"/>
  <c r="H194" i="35"/>
  <c r="C52" i="26"/>
  <c r="H75" i="58"/>
  <c r="H75" i="41" s="1"/>
  <c r="H76" i="58"/>
  <c r="H76" i="41" s="1"/>
  <c r="H78" i="58"/>
  <c r="H78" i="41" s="1"/>
  <c r="H77" i="58"/>
  <c r="H77" i="41" s="1"/>
  <c r="I207" i="35"/>
  <c r="G50" i="26"/>
  <c r="J50" i="26" s="1"/>
  <c r="I93" i="41"/>
  <c r="J50" i="37"/>
  <c r="J48" i="37"/>
  <c r="J49" i="37"/>
  <c r="J47" i="37"/>
  <c r="J50" i="58"/>
  <c r="J48" i="58"/>
  <c r="J47" i="58"/>
  <c r="J49" i="58"/>
  <c r="H32" i="58"/>
  <c r="H32" i="41" s="1"/>
  <c r="H34" i="58"/>
  <c r="H34" i="41" s="1"/>
  <c r="H31" i="58"/>
  <c r="H31" i="41" s="1"/>
  <c r="H33" i="58"/>
  <c r="H33" i="41" s="1"/>
  <c r="J24" i="41"/>
  <c r="I60" i="58"/>
  <c r="I60" i="41" s="1"/>
  <c r="I59" i="58"/>
  <c r="I59" i="41" s="1"/>
  <c r="I62" i="58"/>
  <c r="I62" i="41" s="1"/>
  <c r="I61" i="58"/>
  <c r="I61" i="41" s="1"/>
  <c r="J73" i="37"/>
  <c r="J72" i="37"/>
  <c r="J74" i="37"/>
  <c r="J71" i="37"/>
  <c r="I43" i="58"/>
  <c r="I43" i="41" s="1"/>
  <c r="I46" i="58"/>
  <c r="I46" i="41" s="1"/>
  <c r="I44" i="58"/>
  <c r="I44" i="41" s="1"/>
  <c r="I45" i="58"/>
  <c r="I45" i="41" s="1"/>
  <c r="G51" i="26"/>
  <c r="I211" i="35"/>
  <c r="J74" i="58"/>
  <c r="J73" i="58"/>
  <c r="J71" i="58"/>
  <c r="J72" i="58"/>
  <c r="I86" i="41"/>
  <c r="J54" i="41"/>
  <c r="C50" i="26"/>
  <c r="J61" i="41"/>
  <c r="F51" i="26"/>
  <c r="J86" i="41"/>
  <c r="J90" i="41"/>
  <c r="E50" i="26"/>
  <c r="H50" i="26" s="1"/>
  <c r="G207" i="35"/>
  <c r="H27" i="58"/>
  <c r="H27" i="41" s="1"/>
  <c r="H29" i="58"/>
  <c r="H29" i="41" s="1"/>
  <c r="H28" i="58"/>
  <c r="H28" i="41" s="1"/>
  <c r="H30" i="58"/>
  <c r="H30" i="41" s="1"/>
  <c r="C53" i="26"/>
  <c r="H198" i="35"/>
  <c r="J37" i="37"/>
  <c r="J37" i="41" s="1"/>
  <c r="J35" i="37"/>
  <c r="J35" i="41" s="1"/>
  <c r="J36" i="37"/>
  <c r="J36" i="41" s="1"/>
  <c r="J38" i="37"/>
  <c r="J38" i="41" s="1"/>
  <c r="J53" i="41"/>
  <c r="I17" i="37"/>
  <c r="I18" i="37"/>
  <c r="I15" i="37"/>
  <c r="I16" i="37"/>
  <c r="J15" i="37"/>
  <c r="J17" i="37"/>
  <c r="J16" i="37"/>
  <c r="J18" i="37"/>
  <c r="I91" i="41"/>
  <c r="J60" i="41"/>
  <c r="I33" i="58"/>
  <c r="I31" i="58"/>
  <c r="I32" i="58"/>
  <c r="I34" i="58"/>
  <c r="J83" i="41"/>
  <c r="J87" i="41"/>
  <c r="J25" i="41"/>
  <c r="I19" i="41" l="1"/>
  <c r="I21" i="41"/>
  <c r="I20" i="41"/>
  <c r="I29" i="41"/>
  <c r="I38" i="41"/>
  <c r="I27" i="41"/>
  <c r="J49" i="41"/>
  <c r="I28" i="41"/>
  <c r="I22" i="41"/>
  <c r="I30" i="41"/>
  <c r="I37" i="41"/>
  <c r="I31" i="41"/>
  <c r="I50" i="26"/>
  <c r="J48" i="41"/>
  <c r="I53" i="26"/>
  <c r="J50" i="41"/>
  <c r="I52" i="26"/>
  <c r="I36" i="41"/>
  <c r="I35" i="41"/>
  <c r="I49" i="37"/>
  <c r="I49" i="41" s="1"/>
  <c r="I47" i="37"/>
  <c r="I47" i="41" s="1"/>
  <c r="I48" i="37"/>
  <c r="I48" i="41" s="1"/>
  <c r="I50" i="37"/>
  <c r="I50" i="41" s="1"/>
  <c r="I34" i="41"/>
  <c r="J71" i="41"/>
  <c r="I32" i="41"/>
  <c r="H17" i="58"/>
  <c r="H15" i="58"/>
  <c r="H16" i="58"/>
  <c r="H18" i="58"/>
  <c r="H18" i="41" s="1"/>
  <c r="J74" i="41"/>
  <c r="J15" i="58"/>
  <c r="J15" i="41" s="1"/>
  <c r="J16" i="58"/>
  <c r="J17" i="58"/>
  <c r="J18" i="58"/>
  <c r="J18" i="41" s="1"/>
  <c r="I17" i="58"/>
  <c r="I16" i="58"/>
  <c r="I16" i="41" s="1"/>
  <c r="I18" i="58"/>
  <c r="I18" i="41" s="1"/>
  <c r="I15" i="58"/>
  <c r="J33" i="58"/>
  <c r="J33" i="41" s="1"/>
  <c r="J32" i="58"/>
  <c r="J32" i="41" s="1"/>
  <c r="J31" i="58"/>
  <c r="J31" i="41" s="1"/>
  <c r="J34" i="58"/>
  <c r="J34" i="41" s="1"/>
  <c r="J72" i="41"/>
  <c r="J51" i="26"/>
  <c r="I51" i="26"/>
  <c r="J82" i="37"/>
  <c r="J80" i="37"/>
  <c r="J79" i="37"/>
  <c r="J81" i="37"/>
  <c r="I64" i="37"/>
  <c r="I65" i="37"/>
  <c r="I66" i="37"/>
  <c r="I63" i="37"/>
  <c r="J73" i="41"/>
  <c r="J47" i="41"/>
  <c r="I63" i="58"/>
  <c r="I64" i="58"/>
  <c r="I66" i="58"/>
  <c r="I65" i="58"/>
  <c r="I82" i="37"/>
  <c r="I82" i="41" s="1"/>
  <c r="I81" i="37"/>
  <c r="I81" i="41" s="1"/>
  <c r="I80" i="37"/>
  <c r="I80" i="41" s="1"/>
  <c r="I79" i="37"/>
  <c r="I79" i="41" s="1"/>
  <c r="J53" i="26"/>
  <c r="H48" i="58"/>
  <c r="H48" i="41" s="1"/>
  <c r="H49" i="58"/>
  <c r="H49" i="41" s="1"/>
  <c r="H47" i="58"/>
  <c r="H47" i="41" s="1"/>
  <c r="H50" i="58"/>
  <c r="H50" i="41" s="1"/>
  <c r="I33" i="41"/>
  <c r="J65" i="37"/>
  <c r="J64" i="37"/>
  <c r="J64" i="41" s="1"/>
  <c r="J63" i="37"/>
  <c r="J63" i="41" s="1"/>
  <c r="J66" i="37"/>
  <c r="J66" i="41" s="1"/>
  <c r="J81" i="58"/>
  <c r="J79" i="58"/>
  <c r="J80" i="58"/>
  <c r="J82" i="58"/>
  <c r="C18" i="63" l="1"/>
  <c r="C28" i="63"/>
  <c r="J79" i="41"/>
  <c r="J65" i="41"/>
  <c r="J80" i="41"/>
  <c r="I63" i="41"/>
  <c r="I66" i="41"/>
  <c r="I17" i="41"/>
  <c r="C48" i="63"/>
  <c r="H16" i="41"/>
  <c r="I65" i="41"/>
  <c r="J82" i="41"/>
  <c r="H423" i="58"/>
  <c r="H424" i="58"/>
  <c r="H424" i="41" s="1"/>
  <c r="H15" i="41"/>
  <c r="I64" i="41"/>
  <c r="H17" i="41"/>
  <c r="C38" i="63"/>
  <c r="I424" i="37"/>
  <c r="C58" i="63"/>
  <c r="J17" i="41"/>
  <c r="I423" i="37"/>
  <c r="J423" i="37"/>
  <c r="J16" i="41"/>
  <c r="I15" i="41"/>
  <c r="I423" i="58"/>
  <c r="I424" i="58"/>
  <c r="F241" i="66" s="1"/>
  <c r="J423" i="58"/>
  <c r="J424" i="58"/>
  <c r="E35" i="53" s="1"/>
  <c r="F35" i="53" s="1"/>
  <c r="H29" i="53" s="1"/>
  <c r="J424" i="37"/>
  <c r="J81" i="41"/>
  <c r="J424" i="41" l="1"/>
  <c r="E323" i="38"/>
  <c r="M242" i="66" s="1"/>
  <c r="I425" i="58"/>
  <c r="F242" i="66"/>
  <c r="E11" i="53"/>
  <c r="F11" i="53" s="1"/>
  <c r="E29" i="53"/>
  <c r="F29" i="53" s="1"/>
  <c r="F145" i="66"/>
  <c r="F193" i="66"/>
  <c r="H425" i="58"/>
  <c r="F194" i="66"/>
  <c r="H423" i="41"/>
  <c r="E299" i="38"/>
  <c r="M194" i="66" s="1"/>
  <c r="J423" i="41"/>
  <c r="J425" i="37"/>
  <c r="E335" i="38"/>
  <c r="M146" i="66" s="1"/>
  <c r="F146" i="66"/>
  <c r="F289" i="66"/>
  <c r="I424" i="41"/>
  <c r="F97" i="66"/>
  <c r="E23" i="53"/>
  <c r="F23" i="53" s="1"/>
  <c r="H17" i="53" s="1"/>
  <c r="J425" i="58"/>
  <c r="F290" i="66"/>
  <c r="E347" i="38"/>
  <c r="M290" i="66" s="1"/>
  <c r="F98" i="66"/>
  <c r="I425" i="37"/>
  <c r="E311" i="38"/>
  <c r="M98" i="66" s="1"/>
  <c r="I423" i="41"/>
  <c r="E17" i="53"/>
  <c r="F17" i="53" s="1"/>
  <c r="N290" i="66" l="1"/>
  <c r="N194" i="66"/>
  <c r="Y194" i="66" s="1"/>
  <c r="N146" i="66"/>
  <c r="N98" i="66"/>
  <c r="H35" i="53"/>
  <c r="G35" i="53" s="1"/>
  <c r="E341" i="38" s="1"/>
  <c r="G29" i="53"/>
  <c r="E329" i="38" s="1"/>
  <c r="H5" i="53"/>
  <c r="G5" i="53" s="1"/>
  <c r="E281" i="38" s="1"/>
  <c r="G11" i="53"/>
  <c r="E293" i="38" s="1"/>
  <c r="C59" i="63"/>
  <c r="C52" i="63"/>
  <c r="N242" i="66"/>
  <c r="H23" i="53"/>
  <c r="G23" i="53" s="1"/>
  <c r="E317" i="38" s="1"/>
  <c r="G17" i="53"/>
  <c r="E305" i="38" s="1"/>
  <c r="C49" i="63"/>
  <c r="C42" i="63"/>
  <c r="H425" i="41"/>
  <c r="M3" i="41" s="1"/>
  <c r="C39" i="63"/>
  <c r="C32" i="63"/>
  <c r="I425" i="41"/>
  <c r="N3" i="41" s="1"/>
  <c r="C19" i="63"/>
  <c r="C12" i="63"/>
  <c r="J425" i="41"/>
  <c r="O3" i="41" s="1"/>
  <c r="C29" i="63"/>
  <c r="C22" i="63"/>
  <c r="Z146" i="66" l="1"/>
  <c r="Y50" i="66"/>
  <c r="Z50" i="66"/>
  <c r="Y290" i="66"/>
  <c r="Z194" i="66"/>
  <c r="Z290" i="66"/>
  <c r="Y146" i="66"/>
  <c r="L97" i="66"/>
  <c r="I484" i="37"/>
  <c r="L241" i="66"/>
  <c r="I484" i="58"/>
  <c r="L145" i="66"/>
  <c r="J484" i="37"/>
  <c r="L289" i="66"/>
  <c r="J484" i="58"/>
  <c r="H484" i="58"/>
  <c r="L193" i="66"/>
  <c r="Y242" i="66"/>
  <c r="Y98" i="66"/>
  <c r="Z98" i="66"/>
  <c r="Z242" i="66"/>
  <c r="H484" i="37"/>
  <c r="L49" i="66"/>
  <c r="I484" i="41" l="1"/>
  <c r="J484" i="41"/>
  <c r="H484" i="41"/>
  <c r="P145" i="66"/>
  <c r="N145" i="66"/>
  <c r="R193" i="66"/>
  <c r="T193" i="66" s="1"/>
  <c r="P193" i="66"/>
  <c r="V193" i="66" s="1"/>
  <c r="X193" i="66" s="1"/>
  <c r="N193" i="66"/>
  <c r="P241" i="66"/>
  <c r="N241" i="66"/>
  <c r="P49" i="66"/>
  <c r="V49" i="66" s="1"/>
  <c r="X49" i="66" s="1"/>
  <c r="N49" i="66"/>
  <c r="R49" i="66"/>
  <c r="T49" i="66" s="1"/>
  <c r="P97" i="66"/>
  <c r="N97" i="66"/>
  <c r="P289" i="66"/>
  <c r="N289" i="66"/>
  <c r="O241" i="66" l="1"/>
  <c r="Q241" i="66" s="1"/>
  <c r="R241" i="66" s="1"/>
  <c r="T241" i="66" s="1"/>
  <c r="O289" i="66"/>
  <c r="V289" i="66" s="1"/>
  <c r="X289" i="66" s="1"/>
  <c r="O193" i="66"/>
  <c r="Q193" i="66" s="1"/>
  <c r="O97" i="66"/>
  <c r="Z241" i="66"/>
  <c r="Z97" i="66"/>
  <c r="Y97" i="66"/>
  <c r="Y241" i="66"/>
  <c r="O49" i="66"/>
  <c r="Y193" i="66"/>
  <c r="Z193" i="66"/>
  <c r="Y49" i="66"/>
  <c r="Z49" i="66"/>
  <c r="Y145" i="66"/>
  <c r="Z289" i="66"/>
  <c r="Z145" i="66"/>
  <c r="Y289" i="66"/>
  <c r="O145" i="66"/>
  <c r="Q289" i="66" l="1"/>
  <c r="R289" i="66" s="1"/>
  <c r="T289" i="66" s="1"/>
  <c r="V241" i="66"/>
  <c r="X241" i="66" s="1"/>
  <c r="U289" i="66"/>
  <c r="U241" i="66"/>
  <c r="U193" i="66"/>
  <c r="U145" i="66"/>
  <c r="V145" i="66"/>
  <c r="X145" i="66" s="1"/>
  <c r="Q145" i="66"/>
  <c r="R145" i="66" s="1"/>
  <c r="T145" i="66" s="1"/>
  <c r="Q49" i="66"/>
  <c r="U49" i="66"/>
  <c r="V97" i="66"/>
  <c r="X97" i="66" s="1"/>
  <c r="Q97" i="66"/>
  <c r="R97" i="66" s="1"/>
  <c r="T97" i="66" s="1"/>
  <c r="U97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<sst xmlns="http://schemas.openxmlformats.org/spreadsheetml/2006/main" count="4756" uniqueCount="341">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</sst>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4372389.2415994741</c:v>
                </c:pt>
                <c:pt idx="2">
                  <c:v>4294170.5525269303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-429361.82901095762</c:v>
                </c:pt>
                <c:pt idx="2">
                  <c:v>-374595.16707279172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10030039.4981656</c:v>
                </c:pt>
                <c:pt idx="2">
                  <c:v>8511278.5737313814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222227.8547685589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204668.18907463469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54838.649586904612</c:v>
                </c:pt>
                <c:pt idx="5">
                  <c:v>54838.649586904619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1313527.0610181193</c:v>
                </c:pt>
                <c:pt idx="2">
                  <c:v>1568616.2628692458</c:v>
                </c:pt>
                <c:pt idx="15">
                  <c:v>823764.99285714305</c:v>
                </c:pt>
                <c:pt idx="16">
                  <c:v>497263.8159568595</c:v>
                </c:pt>
                <c:pt idx="17">
                  <c:v>593833.29951478587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6914.1463567523406</c:v>
                </c:pt>
                <c:pt idx="2">
                  <c:v>7856.6670053929611</c:v>
                </c:pt>
                <c:pt idx="15">
                  <c:v>4441.5</c:v>
                </c:pt>
                <c:pt idx="16">
                  <c:v>768.23848408359333</c:v>
                </c:pt>
                <c:pt idx="17">
                  <c:v>872.96300059921759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11002053.151389532</c:v>
                </c:pt>
                <c:pt idx="5">
                  <c:v>11002053.151389532</c:v>
                </c:pt>
                <c:pt idx="18">
                  <c:v>0</c:v>
                </c:pt>
                <c:pt idx="19">
                  <c:v>1137200.0705466431</c:v>
                </c:pt>
                <c:pt idx="20">
                  <c:v>1343963.7197369423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75934.000000000015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687762.49053560058</c:v>
                </c:pt>
                <c:pt idx="5">
                  <c:v>687762.49053560069</c:v>
                </c:pt>
                <c:pt idx="9">
                  <c:v>1893765.2125355615</c:v>
                </c:pt>
                <c:pt idx="10">
                  <c:v>2292800.4842063906</c:v>
                </c:pt>
                <c:pt idx="11">
                  <c:v>1890955.4685152569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4332374.2380023468</c:v>
                </c:pt>
                <c:pt idx="5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4753246.2689858926</c:v>
                </c:pt>
                <c:pt idx="5">
                  <c:v>4621211.650402952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9650169.0715138856</c:v>
                </c:pt>
                <c:pt idx="2">
                  <c:v>8803203.7469936814</c:v>
                </c:pt>
                <c:pt idx="15">
                  <c:v>9696490.333333334</c:v>
                </c:pt>
                <c:pt idx="16">
                  <c:v>1072241.0079459872</c:v>
                </c:pt>
                <c:pt idx="17">
                  <c:v>978133.74966596439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1356701.4621113588</c:v>
                </c:pt>
                <c:pt idx="5">
                  <c:v>1356701.4621113592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4484936.1803515973</c:v>
                </c:pt>
                <c:pt idx="5">
                  <c:v>4484936.1803515982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780204.42366823379</c:v>
                </c:pt>
                <c:pt idx="5">
                  <c:v>780204.42366823391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34564.967012351997</c:v>
                </c:pt>
                <c:pt idx="5">
                  <c:v>34564.967012352005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2764045.8294522539</c:v>
                </c:pt>
                <c:pt idx="2">
                  <c:v>2877058.992320213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11423405.044861957</c:v>
                </c:pt>
                <c:pt idx="2">
                  <c:v>9078614.2173382398</c:v>
                </c:pt>
                <c:pt idx="15">
                  <c:v>14742130.666666664</c:v>
                </c:pt>
                <c:pt idx="16">
                  <c:v>1269267.2272068837</c:v>
                </c:pt>
                <c:pt idx="17">
                  <c:v>1008734.9130375818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384024.15677104064</c:v>
                </c:pt>
                <c:pt idx="5">
                  <c:v>460828.98812524881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190107.31856793596</c:v>
                </c:pt>
                <c:pt idx="5">
                  <c:v>224672.28558028801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111139.06627953252</c:v>
                </c:pt>
                <c:pt idx="2">
                  <c:v>131346.16923944757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188529.66447193653</c:v>
                </c:pt>
                <c:pt idx="5">
                  <c:v>188529.66447193656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21960504.28822815</c:v>
                </c:pt>
                <c:pt idx="17">
                  <c:v>19173441.68450629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1074814.1195466674</c:v>
                </c:pt>
                <c:pt idx="17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73078.03617756156</c:v>
                </c:pt>
                <c:pt idx="2">
                  <c:v>70477.876109874516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1074814.1195466674</c:v>
                </c:pt>
                <c:pt idx="2">
                  <c:v>979585.74384760961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16603.257022413585</c:v>
                </c:pt>
                <c:pt idx="2">
                  <c:v>130820.04776978695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26518.159148204846</c:v>
                </c:pt>
                <c:pt idx="2">
                  <c:v>44116.809749004882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4332374.2380023468</c:v>
                </c:pt>
                <c:pt idx="2">
                  <c:v>4332374.2380023478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115453.44368633442</c:v>
                </c:pt>
                <c:pt idx="2">
                  <c:v>91483.449028257528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222311.32015996272</c:v>
                </c:pt>
                <c:pt idx="2">
                  <c:v>204750.23029841902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2879432.3705421127</c:v>
                </c:pt>
                <c:pt idx="2">
                  <c:v>3083517.389159603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816263.24506125983</c:v>
                </c:pt>
                <c:pt idx="2">
                  <c:v>974782.96335445996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78553.702461745328</c:v>
                </c:pt>
                <c:pt idx="2">
                  <c:v>45149.045691544226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22668603.935513616</c:v>
                </c:pt>
                <c:pt idx="2">
                  <c:v>22013354.339926429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1406169.5510835706</c:v>
                </c:pt>
                <c:pt idx="2">
                  <c:v>1233539.4545505946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2638325.4859476229</c:v>
                </c:pt>
                <c:pt idx="2">
                  <c:v>2566864.5016418155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1704251.7313094852</c:v>
                </c:pt>
                <c:pt idx="2">
                  <c:v>1446276.33214489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4026453.5838195304</c:v>
                </c:pt>
                <c:pt idx="2">
                  <c:v>3683278.2816732209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1683870.2644063029</c:v>
                </c:pt>
                <c:pt idx="2">
                  <c:v>1523903.5085452974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161537.9032329694</c:v>
                </c:pt>
                <c:pt idx="2">
                  <c:v>139591.73829578911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77613.227144894539</c:v>
                </c:pt>
                <c:pt idx="2">
                  <c:v>63100.883365064234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969064.01856535044</c:v>
                </c:pt>
                <c:pt idx="2">
                  <c:v>805844.33138368977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4524165.7825595355</c:v>
                </c:pt>
                <c:pt idx="2">
                  <c:v>4709144.7286312692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444556.26511813002</c:v>
                </c:pt>
                <c:pt idx="2">
                  <c:v>525384.67695779027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7373.2638100039912</c:v>
                </c:pt>
                <c:pt idx="2">
                  <c:v>1731.5998341676968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69134.902444213949</c:v>
                </c:pt>
                <c:pt idx="2">
                  <c:v>51619.883702678038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20.054054042911126</c:v>
                </c:pt>
                <c:pt idx="2">
                  <c:v>20.192273032472887</c:v>
                </c:pt>
                <c:pt idx="3">
                  <c:v>7.483154704207001</c:v>
                </c:pt>
                <c:pt idx="4">
                  <c:v>5.3360216584019184</c:v>
                </c:pt>
                <c:pt idx="5">
                  <c:v>5.3757121853452849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55.749077412814366</c:v>
                </c:pt>
                <c:pt idx="2">
                  <c:v>53.852798955398534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28.513875627754832</c:v>
                </c:pt>
                <c:pt idx="2">
                  <c:v>23.769249454812936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1.7582310298619541</c:v>
                </c:pt>
                <c:pt idx="2">
                  <c:v>2.0996825030655066</c:v>
                </c:pt>
                <c:pt idx="3">
                  <c:v>5.0922829580050024</c:v>
                </c:pt>
                <c:pt idx="4">
                  <c:v>12.638610918959291</c:v>
                </c:pt>
                <c:pt idx="5">
                  <c:v>11.74965505166637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1160388.3515416994</c:v>
                </c:pt>
                <c:pt idx="2">
                  <c:v>1178747.4589546248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7604207.1606093608</c:v>
                </c:pt>
                <c:pt idx="2">
                  <c:v>7367305.6273810053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2450510.5324113388</c:v>
                </c:pt>
                <c:pt idx="2">
                  <c:v>2055426.9391486524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1943955.784722442</c:v>
                </c:pt>
                <c:pt idx="2">
                  <c:v>1886488.9335268831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8660692.151305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37036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60185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71759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094907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18055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5277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02164351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6952500.7118160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977669.5163589027"/>
    </cacheField>
    <cacheField name="Gødning" numFmtId="3">
      <sharedItems containsSemiMixedTypes="0" containsString="0" containsNumber="1" minValue="0" maxValue="18660692.151305772"/>
    </cacheField>
    <cacheField name="Energi" numFmtId="3">
      <sharedItems containsSemiMixedTypes="0" containsString="0" containsNumber="1" minValue="0" maxValue="496952500.71181607"/>
    </cacheField>
    <cacheField name="Materialer og processer" numFmtId="3">
      <sharedItems containsSemiMixedTypes="0" containsString="0" containsNumber="1" minValue="0" maxValue="1197037.9150103212"/>
    </cacheField>
    <cacheField name="Produktion minus forbrug [ton]" numFmtId="3">
      <sharedItems containsSemiMixedTypes="0" containsString="0" containsNumber="1" minValue="-4828427.5390456235" maxValue="16217038.778728839"/>
    </cacheField>
    <cacheField name="Potentiale til energi [ton]" numFmtId="3">
      <sharedItems containsSemiMixedTypes="0" containsString="0" containsNumber="1" minValue="0" maxValue="16217038.778728839"/>
    </cacheField>
    <cacheField name="Forbrug energi [ton/m3]" numFmtId="3">
      <sharedItems containsSemiMixedTypes="0" containsString="0" containsNumber="1" minValue="0" maxValue="496952500.71181607"/>
    </cacheField>
    <cacheField name="Potentiale til energi [PJ]" numFmtId="0">
      <sharedItems containsSemiMixedTypes="0" containsString="0" containsNumber="1" minValue="0" maxValue="29.83732422301372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560673714007192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40770.8580440758"/>
    </cacheField>
    <cacheField name="Forbrug/potentiale [Ton TS]" numFmtId="0">
      <sharedItems containsSemiMixedTypes="0" containsString="0" containsNumber="1" minValue="0" maxValue="4559399.3678165972"/>
    </cacheField>
    <cacheField name="Biogasproduktion [Ton TS]" numFmtId="0">
      <sharedItems containsSemiMixedTypes="0" containsString="0" containsNumber="1" minValue="0" maxValue="684745.25823217875"/>
    </cacheField>
    <cacheField name="Biomasser til energi eksl. biogas [Ton TS]" numFmtId="0">
      <sharedItems containsSemiMixedTypes="0" containsString="0" containsNumber="1" minValue="0" maxValue="4540770.8580440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977669.5163589027"/>
  </r>
  <r>
    <x v="1"/>
    <s v="Vestdanmark"/>
    <x v="15"/>
    <x v="1"/>
    <n v="9009806.0293707736"/>
  </r>
  <r>
    <x v="1"/>
    <s v="Vestdanmark"/>
    <x v="16"/>
    <x v="1"/>
    <n v="6378.7778834779092"/>
  </r>
  <r>
    <x v="1"/>
    <s v="Vestdanmark"/>
    <x v="17"/>
    <x v="1"/>
    <n v="1496565.9593185934"/>
  </r>
  <r>
    <x v="1"/>
    <s v="Vestdanmark"/>
    <x v="18"/>
    <x v="1"/>
    <n v="195082.24112879002"/>
  </r>
  <r>
    <x v="1"/>
    <s v="Vestdanmark"/>
    <x v="19"/>
    <x v="1"/>
    <n v="503497.02738347289"/>
  </r>
  <r>
    <x v="1"/>
    <s v="Vestdanmark"/>
    <x v="20"/>
    <x v="1"/>
    <n v="1155908.5188095337"/>
  </r>
  <r>
    <x v="1"/>
    <s v="Vestdanmark"/>
    <x v="21"/>
    <x v="1"/>
    <n v="98989.038336157857"/>
  </r>
  <r>
    <x v="1"/>
    <s v="Vestdanmark"/>
    <x v="22"/>
    <x v="1"/>
    <n v="56558.66524109256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929633.2373210462"/>
  </r>
  <r>
    <x v="1"/>
    <s v="Vestdanmark"/>
    <x v="15"/>
    <x v="2"/>
    <n v="8219043.3773405757"/>
  </r>
  <r>
    <x v="1"/>
    <s v="Vestdanmark"/>
    <x v="16"/>
    <x v="2"/>
    <n v="7248.3183239111104"/>
  </r>
  <r>
    <x v="1"/>
    <s v="Vestdanmark"/>
    <x v="17"/>
    <x v="2"/>
    <n v="1550485.0057694039"/>
  </r>
  <r>
    <x v="1"/>
    <s v="Vestdanmark"/>
    <x v="18"/>
    <x v="2"/>
    <n v="197484.23354298095"/>
  </r>
  <r>
    <x v="1"/>
    <s v="Vestdanmark"/>
    <x v="19"/>
    <x v="2"/>
    <n v="491154.87282284611"/>
  </r>
  <r>
    <x v="1"/>
    <s v="Vestdanmark"/>
    <x v="20"/>
    <x v="2"/>
    <n v="1377347.6384924836"/>
  </r>
  <r>
    <x v="1"/>
    <s v="Vestdanmark"/>
    <x v="21"/>
    <x v="2"/>
    <n v="116987.04530636841"/>
  </r>
  <r>
    <x v="1"/>
    <s v="Vestdanmark"/>
    <x v="22"/>
    <x v="2"/>
    <n v="55700.3147395259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445735.5285030538"/>
  </r>
  <r>
    <x v="1"/>
    <s v="Østdanmark"/>
    <x v="15"/>
    <x v="1"/>
    <n v="640363.0421431124"/>
  </r>
  <r>
    <x v="1"/>
    <s v="Østdanmark"/>
    <x v="16"/>
    <x v="1"/>
    <n v="535.36847327443161"/>
  </r>
  <r>
    <x v="1"/>
    <s v="Østdanmark"/>
    <x v="17"/>
    <x v="1"/>
    <n v="1267479.8701336605"/>
  </r>
  <r>
    <x v="1"/>
    <s v="Østdanmark"/>
    <x v="18"/>
    <x v="1"/>
    <n v="168912.75887120995"/>
  </r>
  <r>
    <x v="1"/>
    <s v="Østdanmark"/>
    <x v="19"/>
    <x v="1"/>
    <n v="216909.97261652708"/>
  </r>
  <r>
    <x v="1"/>
    <s v="Østdanmark"/>
    <x v="20"/>
    <x v="1"/>
    <n v="157618.54220858568"/>
  </r>
  <r>
    <x v="1"/>
    <s v="Østdanmark"/>
    <x v="21"/>
    <x v="1"/>
    <n v="12150.027943374665"/>
  </r>
  <r>
    <x v="1"/>
    <s v="Østdanmark"/>
    <x v="22"/>
    <x v="1"/>
    <n v="19375.33475890745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48980.9800171934"/>
  </r>
  <r>
    <x v="1"/>
    <s v="Østdanmark"/>
    <x v="15"/>
    <x v="2"/>
    <n v="584160.36965310562"/>
  </r>
  <r>
    <x v="1"/>
    <s v="Østdanmark"/>
    <x v="16"/>
    <x v="2"/>
    <n v="608.34868148185114"/>
  </r>
  <r>
    <x v="1"/>
    <s v="Østdanmark"/>
    <x v="17"/>
    <x v="2"/>
    <n v="1326573.9865508091"/>
  </r>
  <r>
    <x v="1"/>
    <s v="Østdanmark"/>
    <x v="18"/>
    <x v="2"/>
    <n v="172292.76645701908"/>
  </r>
  <r>
    <x v="1"/>
    <s v="Østdanmark"/>
    <x v="19"/>
    <x v="2"/>
    <n v="216252.12717715395"/>
  </r>
  <r>
    <x v="1"/>
    <s v="Østdanmark"/>
    <x v="20"/>
    <x v="2"/>
    <n v="191268.62437676211"/>
  </r>
  <r>
    <x v="1"/>
    <s v="Østdanmark"/>
    <x v="21"/>
    <x v="2"/>
    <n v="14359.12393307915"/>
  </r>
  <r>
    <x v="1"/>
    <s v="Østdanmark"/>
    <x v="22"/>
    <x v="2"/>
    <n v="20233.68526047408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233608.3331707381"/>
  </r>
  <r>
    <x v="2"/>
    <s v="Vestdanmark"/>
    <x v="22"/>
    <x v="1"/>
    <n v="612574.40628991346"/>
  </r>
  <r>
    <x v="2"/>
    <s v="Vestdanmark"/>
    <x v="2"/>
    <x v="1"/>
    <n v="0"/>
  </r>
  <r>
    <x v="2"/>
    <s v="Vestdanmark"/>
    <x v="5"/>
    <x v="1"/>
    <n v="48843.537812418457"/>
  </r>
  <r>
    <x v="2"/>
    <s v="Vestdanmark"/>
    <x v="25"/>
    <x v="1"/>
    <n v="694910.33342213533"/>
  </r>
  <r>
    <x v="2"/>
    <s v="Vestdanmark"/>
    <x v="24"/>
    <x v="1"/>
    <n v="3994630.6402774383"/>
  </r>
  <r>
    <x v="2"/>
    <s v="Vestdanmark"/>
    <x v="28"/>
    <x v="1"/>
    <n v="167919.0837988206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9278.4862896688"/>
  </r>
  <r>
    <x v="2"/>
    <s v="Vestdanmark"/>
    <x v="29"/>
    <x v="1"/>
    <n v="1208383.1324071081"/>
  </r>
  <r>
    <x v="2"/>
    <s v="Vestdanmark"/>
    <x v="30"/>
    <x v="1"/>
    <n v="342041.58131945692"/>
  </r>
  <r>
    <x v="2"/>
    <s v="Vestdanmark"/>
    <x v="31"/>
    <x v="1"/>
    <n v="169324.26441638396"/>
  </r>
  <r>
    <x v="2"/>
    <s v="Vestdanmark"/>
    <x v="32"/>
    <x v="1"/>
    <n v="30786.229893887998"/>
  </r>
  <r>
    <x v="2"/>
    <s v="Vestdanmark"/>
    <x v="33"/>
    <x v="1"/>
    <n v="3858747.1884418358"/>
  </r>
  <r>
    <x v="2"/>
    <s v="Vestdanmark"/>
    <x v="0"/>
    <x v="2"/>
    <n v="4116008.1016937736"/>
  </r>
  <r>
    <x v="2"/>
    <s v="Vestdanmark"/>
    <x v="22"/>
    <x v="2"/>
    <n v="612574.40628991358"/>
  </r>
  <r>
    <x v="2"/>
    <s v="Vestdanmark"/>
    <x v="2"/>
    <x v="2"/>
    <n v="0"/>
  </r>
  <r>
    <x v="2"/>
    <s v="Vestdanmark"/>
    <x v="5"/>
    <x v="2"/>
    <n v="48843.537812418464"/>
  </r>
  <r>
    <x v="2"/>
    <s v="Vestdanmark"/>
    <x v="25"/>
    <x v="2"/>
    <n v="694910.33342213545"/>
  </r>
  <r>
    <x v="2"/>
    <s v="Vestdanmark"/>
    <x v="24"/>
    <x v="2"/>
    <n v="3994630.6402774393"/>
  </r>
  <r>
    <x v="2"/>
    <s v="Vestdanmark"/>
    <x v="28"/>
    <x v="2"/>
    <n v="167919.0837988206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9278.4862896707"/>
  </r>
  <r>
    <x v="2"/>
    <s v="Vestdanmark"/>
    <x v="29"/>
    <x v="2"/>
    <n v="1208383.1324071086"/>
  </r>
  <r>
    <x v="2"/>
    <s v="Vestdanmark"/>
    <x v="30"/>
    <x v="2"/>
    <n v="410449.89758334839"/>
  </r>
  <r>
    <x v="2"/>
    <s v="Vestdanmark"/>
    <x v="31"/>
    <x v="2"/>
    <n v="200110.49431027201"/>
  </r>
  <r>
    <x v="2"/>
    <s v="Vestdanmark"/>
    <x v="32"/>
    <x v="2"/>
    <n v="30786.229893888001"/>
  </r>
  <r>
    <x v="2"/>
    <s v="Vestdanmark"/>
    <x v="33"/>
    <x v="2"/>
    <n v="3858747.1884418367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19637.93581515481"/>
  </r>
  <r>
    <x v="2"/>
    <s v="Østdanmark"/>
    <x v="22"/>
    <x v="1"/>
    <n v="75188.084245687161"/>
  </r>
  <r>
    <x v="2"/>
    <s v="Østdanmark"/>
    <x v="2"/>
    <x v="1"/>
    <n v="0"/>
  </r>
  <r>
    <x v="2"/>
    <s v="Østdanmark"/>
    <x v="5"/>
    <x v="1"/>
    <n v="5995.111774486154"/>
  </r>
  <r>
    <x v="2"/>
    <s v="Østdanmark"/>
    <x v="25"/>
    <x v="1"/>
    <n v="85294.090246098451"/>
  </r>
  <r>
    <x v="2"/>
    <s v="Østdanmark"/>
    <x v="24"/>
    <x v="1"/>
    <n v="490305.54007415898"/>
  </r>
  <r>
    <x v="2"/>
    <s v="Østdanmark"/>
    <x v="28"/>
    <x v="1"/>
    <n v="20610.58067311588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2774.665099862"/>
  </r>
  <r>
    <x v="2"/>
    <s v="Østdanmark"/>
    <x v="29"/>
    <x v="1"/>
    <n v="148318.32970425067"/>
  </r>
  <r>
    <x v="2"/>
    <s v="Østdanmark"/>
    <x v="30"/>
    <x v="1"/>
    <n v="41982.575451583703"/>
  </r>
  <r>
    <x v="2"/>
    <s v="Østdanmark"/>
    <x v="31"/>
    <x v="1"/>
    <n v="20783.054151551998"/>
  </r>
  <r>
    <x v="2"/>
    <s v="Østdanmark"/>
    <x v="32"/>
    <x v="1"/>
    <n v="3778.7371184639996"/>
  </r>
  <r>
    <x v="2"/>
    <s v="Østdanmark"/>
    <x v="33"/>
    <x v="1"/>
    <n v="473627.04956051067"/>
  </r>
  <r>
    <x v="2"/>
    <s v="Østdanmark"/>
    <x v="0"/>
    <x v="2"/>
    <n v="505203.54870917829"/>
  </r>
  <r>
    <x v="2"/>
    <s v="Østdanmark"/>
    <x v="22"/>
    <x v="2"/>
    <n v="75188.084245687161"/>
  </r>
  <r>
    <x v="2"/>
    <s v="Østdanmark"/>
    <x v="2"/>
    <x v="2"/>
    <n v="0"/>
  </r>
  <r>
    <x v="2"/>
    <s v="Østdanmark"/>
    <x v="5"/>
    <x v="2"/>
    <n v="5995.111774486154"/>
  </r>
  <r>
    <x v="2"/>
    <s v="Østdanmark"/>
    <x v="25"/>
    <x v="2"/>
    <n v="85294.090246098451"/>
  </r>
  <r>
    <x v="2"/>
    <s v="Østdanmark"/>
    <x v="24"/>
    <x v="2"/>
    <n v="490305.54007415898"/>
  </r>
  <r>
    <x v="2"/>
    <s v="Østdanmark"/>
    <x v="28"/>
    <x v="2"/>
    <n v="20610.580673115885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2774.665099862"/>
  </r>
  <r>
    <x v="2"/>
    <s v="Østdanmark"/>
    <x v="29"/>
    <x v="2"/>
    <n v="148318.32970425067"/>
  </r>
  <r>
    <x v="2"/>
    <s v="Østdanmark"/>
    <x v="30"/>
    <x v="2"/>
    <n v="50379.090541900448"/>
  </r>
  <r>
    <x v="2"/>
    <s v="Østdanmark"/>
    <x v="31"/>
    <x v="2"/>
    <n v="24561.791270015998"/>
  </r>
  <r>
    <x v="2"/>
    <s v="Østdanmark"/>
    <x v="32"/>
    <x v="2"/>
    <n v="3778.7371184639996"/>
  </r>
  <r>
    <x v="2"/>
    <s v="Østdanmark"/>
    <x v="33"/>
    <x v="2"/>
    <n v="473627.0495605106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607467.518518832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85332.96568755875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79007.782763746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11947.68575150997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108629.9462621"/>
  </r>
  <r>
    <x v="5"/>
    <s v="Vestdanmark"/>
    <x v="15"/>
    <x v="1"/>
    <n v="1001089.5588189746"/>
  </r>
  <r>
    <x v="5"/>
    <s v="Vestdanmark"/>
    <x v="16"/>
    <x v="1"/>
    <n v="708.75309816421202"/>
  </r>
  <r>
    <x v="5"/>
    <s v="Vestdanmark"/>
    <x v="20"/>
    <x v="1"/>
    <n v="437593.93926360918"/>
  </r>
  <r>
    <x v="5"/>
    <s v="Vestdanmark"/>
    <x v="38"/>
    <x v="1"/>
    <n v="18660692.151305772"/>
  </r>
  <r>
    <x v="5"/>
    <s v="Vestdanmark"/>
    <x v="39"/>
    <x v="1"/>
    <n v="731219.85241525876"/>
  </r>
  <r>
    <x v="5"/>
    <s v="Vestdanmark"/>
    <x v="14"/>
    <x v="2"/>
    <n v="881070.35970233823"/>
  </r>
  <r>
    <x v="5"/>
    <s v="Vestdanmark"/>
    <x v="15"/>
    <x v="2"/>
    <n v="913227.04192673042"/>
  </r>
  <r>
    <x v="5"/>
    <s v="Vestdanmark"/>
    <x v="16"/>
    <x v="2"/>
    <n v="805.36870265678976"/>
  </r>
  <r>
    <x v="5"/>
    <s v="Vestdanmark"/>
    <x v="20"/>
    <x v="2"/>
    <n v="521424.46314358304"/>
  </r>
  <r>
    <x v="5"/>
    <s v="Vestdanmark"/>
    <x v="38"/>
    <x v="2"/>
    <n v="16157224.724347349"/>
  </r>
  <r>
    <x v="5"/>
    <s v="Vestdanmark"/>
    <x v="39"/>
    <x v="2"/>
    <n v="661907.5402268015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60637.28094478371"/>
  </r>
  <r>
    <x v="5"/>
    <s v="Østdanmark"/>
    <x v="15"/>
    <x v="1"/>
    <n v="71151.449127012471"/>
  </r>
  <r>
    <x v="5"/>
    <s v="Østdanmark"/>
    <x v="16"/>
    <x v="1"/>
    <n v="59.48538591938128"/>
  </r>
  <r>
    <x v="5"/>
    <s v="Østdanmark"/>
    <x v="20"/>
    <x v="1"/>
    <n v="59669.876693250299"/>
  </r>
  <r>
    <x v="5"/>
    <s v="Østdanmark"/>
    <x v="38"/>
    <x v="1"/>
    <n v="3299812.1369223767"/>
  </r>
  <r>
    <x v="5"/>
    <s v="Østdanmark"/>
    <x v="39"/>
    <x v="1"/>
    <n v="343594.26713140868"/>
  </r>
  <r>
    <x v="5"/>
    <s v="Østdanmark"/>
    <x v="14"/>
    <x v="2"/>
    <n v="127664.55333524366"/>
  </r>
  <r>
    <x v="5"/>
    <s v="Østdanmark"/>
    <x v="15"/>
    <x v="2"/>
    <n v="64906.707739233942"/>
  </r>
  <r>
    <x v="5"/>
    <s v="Østdanmark"/>
    <x v="16"/>
    <x v="2"/>
    <n v="67.594297942427886"/>
  </r>
  <r>
    <x v="5"/>
    <s v="Østdanmark"/>
    <x v="20"/>
    <x v="2"/>
    <n v="72408.836371202793"/>
  </r>
  <r>
    <x v="5"/>
    <s v="Østdanmark"/>
    <x v="38"/>
    <x v="2"/>
    <n v="3016216.9601589413"/>
  </r>
  <r>
    <x v="5"/>
    <s v="Østdanmark"/>
    <x v="39"/>
    <x v="2"/>
    <n v="317678.20362080808"/>
  </r>
  <r>
    <x v="6"/>
    <s v="Vestdanmark"/>
    <x v="23"/>
    <x v="0"/>
    <n v="0"/>
  </r>
  <r>
    <x v="6"/>
    <s v="Vestdanmark"/>
    <x v="23"/>
    <x v="1"/>
    <n v="1012878.2357779638"/>
  </r>
  <r>
    <x v="6"/>
    <s v="Vestdanmark"/>
    <x v="23"/>
    <x v="2"/>
    <n v="1197037.9150103212"/>
  </r>
  <r>
    <x v="6"/>
    <s v="Østdanmark"/>
    <x v="23"/>
    <x v="0"/>
    <n v="0"/>
  </r>
  <r>
    <x v="6"/>
    <s v="Østdanmark"/>
    <x v="23"/>
    <x v="1"/>
    <n v="124321.83476867944"/>
  </r>
  <r>
    <x v="6"/>
    <s v="Østdanmark"/>
    <x v="23"/>
    <x v="2"/>
    <n v="146925.80472662117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x v="0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x v="0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x v="0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x v="0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x v="0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x v="0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x v="0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x v="0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x v="0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x v="0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x v="0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x v="0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x v="0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x v="0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x v="0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x v="0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  <n v="0"/>
    <x v="1"/>
  </r>
  <r>
    <x v="4"/>
    <s v="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  <n v="0"/>
    <x v="0"/>
  </r>
  <r>
    <x v="6"/>
    <s v="Husdyrgødning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  <n v="0"/>
    <x v="0"/>
  </r>
  <r>
    <x v="7"/>
    <s v="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  <n v="0"/>
    <x v="1"/>
  </r>
  <r>
    <x v="9"/>
    <s v="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  <n v="0"/>
    <x v="0"/>
  </r>
  <r>
    <x v="14"/>
    <s v="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  <n v="0"/>
    <x v="0"/>
  </r>
  <r>
    <x v="23"/>
    <s v="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  <n v="0"/>
    <x v="1"/>
  </r>
  <r>
    <x v="25"/>
    <s v="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  <n v="0"/>
    <x v="0"/>
  </r>
  <r>
    <x v="27"/>
    <s v="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  <n v="0"/>
    <x v="0"/>
  </r>
  <r>
    <x v="39"/>
    <s v="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  <n v="0"/>
    <x v="0"/>
  </r>
  <r>
    <x v="42"/>
    <s v="Husdyrgødning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  <n v="0"/>
    <x v="1"/>
  </r>
  <r>
    <x v="43"/>
    <s v="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  <n v="0"/>
    <x v="1"/>
  </r>
  <r>
    <x v="4"/>
    <s v="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  <n v="0"/>
    <x v="0"/>
  </r>
  <r>
    <x v="6"/>
    <s v="Husdyrgødning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  <n v="0"/>
    <x v="0"/>
  </r>
  <r>
    <x v="7"/>
    <s v="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  <n v="0"/>
    <x v="1"/>
  </r>
  <r>
    <x v="9"/>
    <s v="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  <n v="0"/>
    <x v="0"/>
  </r>
  <r>
    <x v="14"/>
    <s v="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  <n v="0"/>
    <x v="0"/>
  </r>
  <r>
    <x v="23"/>
    <s v="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  <n v="0"/>
    <x v="1"/>
  </r>
  <r>
    <x v="25"/>
    <s v="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  <n v="0"/>
    <x v="0"/>
  </r>
  <r>
    <x v="27"/>
    <s v="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  <n v="0"/>
    <x v="0"/>
  </r>
  <r>
    <x v="39"/>
    <s v="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  <n v="0"/>
    <x v="0"/>
  </r>
  <r>
    <x v="42"/>
    <s v="Husdyrgødning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  <n v="0"/>
    <x v="1"/>
  </r>
  <r>
    <x v="43"/>
    <s v="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  <n v="0"/>
    <x v="1"/>
  </r>
  <r>
    <x v="4"/>
    <s v="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  <n v="0"/>
    <x v="0"/>
  </r>
  <r>
    <x v="6"/>
    <s v="Husdyrgødning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  <n v="0"/>
    <x v="0"/>
  </r>
  <r>
    <x v="7"/>
    <s v="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  <n v="0"/>
    <x v="1"/>
  </r>
  <r>
    <x v="9"/>
    <s v="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  <n v="0"/>
    <x v="0"/>
  </r>
  <r>
    <x v="14"/>
    <s v="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  <n v="0"/>
    <x v="0"/>
  </r>
  <r>
    <x v="23"/>
    <s v="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  <n v="0"/>
    <x v="1"/>
  </r>
  <r>
    <x v="25"/>
    <s v="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  <n v="0"/>
    <x v="0"/>
  </r>
  <r>
    <x v="27"/>
    <s v="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  <n v="0"/>
    <x v="0"/>
  </r>
  <r>
    <x v="39"/>
    <s v="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  <n v="0"/>
    <x v="0"/>
  </r>
  <r>
    <x v="42"/>
    <s v="Husdyrgødning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  <n v="0"/>
    <x v="1"/>
  </r>
  <r>
    <x v="43"/>
    <s v="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  <n v="0"/>
    <x v="1"/>
  </r>
  <r>
    <x v="4"/>
    <s v="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  <n v="0"/>
    <x v="0"/>
  </r>
  <r>
    <x v="6"/>
    <s v="Husdyrgødning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  <n v="0"/>
    <x v="0"/>
  </r>
  <r>
    <x v="7"/>
    <s v="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  <n v="0"/>
    <x v="1"/>
  </r>
  <r>
    <x v="9"/>
    <s v="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  <n v="0"/>
    <x v="0"/>
  </r>
  <r>
    <x v="14"/>
    <s v="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  <n v="0"/>
    <x v="0"/>
  </r>
  <r>
    <x v="23"/>
    <s v="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  <n v="0"/>
    <x v="1"/>
  </r>
  <r>
    <x v="25"/>
    <s v="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  <n v="0"/>
    <x v="0"/>
  </r>
  <r>
    <x v="27"/>
    <s v="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  <n v="0"/>
    <x v="0"/>
  </r>
  <r>
    <x v="39"/>
    <s v="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  <n v="0"/>
    <x v="0"/>
  </r>
  <r>
    <x v="42"/>
    <s v="Husdyrgødning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  <n v="0"/>
    <x v="1"/>
  </r>
  <r>
    <x v="43"/>
    <s v="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569498.4884375446"/>
    <s v="CO2 - atmosfære"/>
    <x v="0"/>
  </r>
  <r>
    <s v="Vestdanmark"/>
    <x v="1"/>
    <n v="4014831.3639984471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392117.53538951697"/>
    <s v="Biogasanlæg"/>
    <x v="6"/>
  </r>
  <r>
    <s v="Vestdanmark"/>
    <x v="1"/>
    <n v="0"/>
    <s v="Pyrolyseproces"/>
    <x v="7"/>
  </r>
  <r>
    <s v="Vestdanmark"/>
    <x v="2"/>
    <n v="7263732.128072449"/>
    <s v="CO2 - atmosfære"/>
    <x v="0"/>
  </r>
  <r>
    <s v="Vestdanmark"/>
    <x v="2"/>
    <n v="3940625.49259951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342781.68643435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0541.009728055"/>
    <s v="CO2 - atmosfære"/>
    <x v="0"/>
  </r>
  <r>
    <s v="Østdanmark"/>
    <x v="1"/>
    <n v="357557.87760102691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37244.293621440665"/>
    <s v="Biogasanlæg"/>
    <x v="6"/>
  </r>
  <r>
    <s v="Østdanmark"/>
    <x v="1"/>
    <n v="0"/>
    <s v="Pyrolyseproces"/>
    <x v="7"/>
  </r>
  <r>
    <s v="Østdanmark"/>
    <x v="2"/>
    <n v="1247546.4456589329"/>
    <s v="CO2 - atmosfære"/>
    <x v="0"/>
  </r>
  <r>
    <s v="Østdanmark"/>
    <x v="2"/>
    <n v="353545.0599274116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1813.48063843640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62595.95027367133"/>
    <n v="0"/>
    <n v="0"/>
    <n v="32579.784552999867"/>
    <n v="0"/>
    <n v="0"/>
    <n v="0"/>
    <n v="0"/>
    <n v="130016.16572067147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48843.537812418457"/>
    <n v="0"/>
    <n v="0"/>
    <n v="0"/>
    <n v="0"/>
    <n v="0"/>
    <n v="0"/>
    <n v="164494.3424789931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6952500.71181607"/>
    <n v="0"/>
    <n v="0"/>
    <n v="0"/>
    <n v="0"/>
    <n v="0"/>
    <n v="496952500.71181607"/>
    <n v="0"/>
    <n v="0"/>
    <n v="0"/>
    <n v="496952500.71181607"/>
    <n v="0"/>
    <n v="0"/>
    <n v="0"/>
    <n v="0"/>
    <n v="0"/>
    <n v="0"/>
    <n v="0"/>
    <n v="0"/>
  </r>
  <r>
    <x v="4"/>
    <x v="10"/>
    <n v="0"/>
    <x v="1"/>
    <s v="Vestdanmark"/>
    <n v="21107457.50477691"/>
    <n v="0"/>
    <n v="0"/>
    <n v="0"/>
    <n v="0"/>
    <n v="18660692.151305772"/>
    <n v="0"/>
    <n v="0"/>
    <n v="2446765.3534711376"/>
    <n v="0"/>
    <n v="0"/>
    <n v="0"/>
    <n v="0"/>
    <n v="0"/>
    <n v="0"/>
    <n v="0"/>
    <n v="0"/>
    <n v="0"/>
    <n v="0"/>
  </r>
  <r>
    <x v="5"/>
    <x v="1"/>
    <n v="1"/>
    <x v="1"/>
    <s v="Vestdanmark"/>
    <n v="494945.19168078923"/>
    <n v="0"/>
    <n v="0"/>
    <n v="0"/>
    <n v="98989.038336157857"/>
    <n v="0"/>
    <n v="0"/>
    <n v="0"/>
    <n v="395956.15334463137"/>
    <n v="395956.15334463137"/>
    <n v="98989.038336157857"/>
    <n v="0.22491342042428281"/>
    <n v="0.28114177553035352"/>
    <n v="5.6228355106070715E-2"/>
    <n v="0.22491342042428281"/>
    <n v="16932.426441638392"/>
    <n v="21165.533052047991"/>
    <n v="4233.1066104095989"/>
    <n v="16932.426441638392"/>
  </r>
  <r>
    <x v="6"/>
    <x v="2"/>
    <n v="1"/>
    <x v="1"/>
    <s v="Vestdanmark"/>
    <n v="2311817.0376190674"/>
    <n v="0"/>
    <n v="0"/>
    <n v="0"/>
    <n v="1155908.5188095337"/>
    <n v="437593.93926360918"/>
    <n v="0"/>
    <n v="0"/>
    <n v="718314.57954592444"/>
    <n v="718314.57954592444"/>
    <n v="1155908.5188095337"/>
    <n v="1.5472496043419213"/>
    <n v="4.0370765538576574"/>
    <n v="2.4898269495157357"/>
    <n v="1.5472496043419217"/>
    <n v="215494.37386377732"/>
    <n v="562266.92950663739"/>
    <n v="346772.55564286007"/>
    <n v="215494.37386377732"/>
  </r>
  <r>
    <x v="7"/>
    <x v="10"/>
    <n v="0"/>
    <x v="1"/>
    <s v="Vestdanmark"/>
    <n v="348608.7796807905"/>
    <n v="342041.58131945692"/>
    <n v="0"/>
    <n v="0"/>
    <n v="0"/>
    <n v="0"/>
    <n v="0"/>
    <n v="0"/>
    <n v="6567.198361333576"/>
    <n v="0"/>
    <n v="0"/>
    <n v="0"/>
    <n v="0"/>
    <n v="0"/>
    <n v="0"/>
    <n v="0"/>
    <n v="0"/>
    <n v="0"/>
    <n v="0"/>
  </r>
  <r>
    <x v="8"/>
    <x v="2"/>
    <n v="1"/>
    <x v="1"/>
    <s v="Vestdanmark"/>
    <n v="7087.5309816421213"/>
    <n v="0"/>
    <n v="0"/>
    <n v="0"/>
    <n v="6378.7778834779092"/>
    <n v="708.75309816421202"/>
    <n v="0"/>
    <n v="0"/>
    <n v="0"/>
    <n v="0"/>
    <n v="6378.7778834779092"/>
    <n v="0"/>
    <n v="2.9998754508208259E-3"/>
    <n v="2.9998754508208259E-3"/>
    <n v="0"/>
    <n v="0"/>
    <n v="401.86300665910829"/>
    <n v="401.86300665910829"/>
    <n v="0"/>
  </r>
  <r>
    <x v="9"/>
    <x v="10"/>
    <n v="0"/>
    <x v="1"/>
    <s v="Vestdanmark"/>
    <n v="133226.90275652017"/>
    <n v="0"/>
    <n v="0"/>
    <n v="35294.766599083188"/>
    <n v="0"/>
    <n v="0"/>
    <n v="0"/>
    <n v="0"/>
    <n v="97932.13615743698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9799278.4862896688"/>
    <n v="0"/>
    <n v="0"/>
    <n v="66530.392044719745"/>
    <n v="0"/>
    <n v="0"/>
    <n v="1012878.2357779638"/>
    <n v="16217038.778728839"/>
    <n v="16217038.778728839"/>
    <n v="66530.392044719745"/>
    <n v="29.837324223013724"/>
    <n v="29.959731828077004"/>
    <n v="0.12240760506327875"/>
    <n v="29.837324223013724"/>
    <n v="4540770.8580440758"/>
    <n v="4559399.3678165972"/>
    <n v="18628.509772521531"/>
    <n v="4540770.8580440758"/>
  </r>
  <r>
    <x v="14"/>
    <x v="10"/>
    <n v="0"/>
    <x v="1"/>
    <s v="Vestdanmark"/>
    <n v="169324.26441638396"/>
    <n v="169324.264416383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612574.40628991346"/>
    <n v="577092.83032536146"/>
    <n v="0"/>
    <n v="56558.66524109256"/>
    <n v="0"/>
    <n v="1607467.518518832"/>
    <n v="0"/>
    <n v="0"/>
    <n v="0"/>
    <n v="1664026.1837599245"/>
    <n v="0"/>
    <n v="16.940564214653659"/>
    <n v="0.32609124679412882"/>
    <n v="16.61447296785953"/>
    <n v="0"/>
    <n v="1414422.2561959359"/>
    <n v="48074.865454928673"/>
    <n v="1366347.3907410072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58747.1884418358"/>
    <n v="0"/>
    <n v="0"/>
    <n v="0"/>
    <n v="0"/>
    <n v="0"/>
    <n v="0"/>
    <n v="-3858747.1884418358"/>
    <n v="0"/>
    <n v="0"/>
    <n v="0"/>
    <n v="0"/>
    <n v="0"/>
    <n v="0"/>
    <n v="0"/>
    <n v="0"/>
    <n v="0"/>
    <n v="0"/>
  </r>
  <r>
    <x v="19"/>
    <x v="1"/>
    <n v="1"/>
    <x v="1"/>
    <s v="Vestdanmark"/>
    <n v="452422.32380282454"/>
    <n v="0"/>
    <n v="0"/>
    <n v="0"/>
    <n v="503497.02738347289"/>
    <n v="0"/>
    <n v="0"/>
    <n v="0"/>
    <n v="-51074.703580648347"/>
    <n v="0"/>
    <n v="503497.02738347289"/>
    <n v="0"/>
    <n v="1.8544603631262258"/>
    <n v="1.8544603631262258"/>
    <n v="0"/>
    <n v="0"/>
    <n v="211468.75150105861"/>
    <n v="211468.75150105861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4233608.3331707381"/>
    <n v="0"/>
    <n v="295933.04302308214"/>
    <n v="2908.785048538592"/>
    <n v="0"/>
    <n v="0"/>
    <n v="0"/>
    <n v="626970.59581245575"/>
    <n v="626970.59581245575"/>
    <n v="2908.785048538592"/>
    <n v="2.1472865147742475"/>
    <n v="2.1572486963355852"/>
    <n v="9.9621815613378847E-3"/>
    <n v="2.1472865147742475"/>
    <n v="194360.88470186127"/>
    <n v="195262.60806690823"/>
    <n v="901.72336504696352"/>
    <n v="194360.88470186127"/>
  </r>
  <r>
    <x v="23"/>
    <x v="10"/>
    <n v="0"/>
    <x v="1"/>
    <s v="Vestdanmark"/>
    <n v="0"/>
    <n v="0"/>
    <n v="0"/>
    <n v="0"/>
    <n v="0"/>
    <n v="731219.85241525876"/>
    <n v="0"/>
    <n v="0"/>
    <n v="-731219.85241525876"/>
    <n v="0"/>
    <n v="0"/>
    <n v="0"/>
    <n v="0"/>
    <n v="0"/>
    <n v="0"/>
    <n v="0"/>
    <n v="0"/>
    <n v="0"/>
    <n v="0"/>
  </r>
  <r>
    <x v="24"/>
    <x v="2"/>
    <n v="1"/>
    <x v="1"/>
    <s v="Vestdanmark"/>
    <n v="10010895.588189749"/>
    <n v="0"/>
    <n v="0"/>
    <n v="0"/>
    <n v="9009806.0293707736"/>
    <n v="1001089.5588189746"/>
    <n v="0"/>
    <n v="0"/>
    <n v="0"/>
    <n v="0"/>
    <n v="9009806.0293707736"/>
    <n v="0"/>
    <n v="4.5606737140071925"/>
    <n v="4.5606737140071925"/>
    <n v="0"/>
    <n v="0"/>
    <n v="684745.25823217875"/>
    <n v="684745.25823217875"/>
    <n v="0"/>
  </r>
  <r>
    <x v="25"/>
    <x v="10"/>
    <n v="0"/>
    <x v="1"/>
    <s v="Vestdanmark"/>
    <n v="1251172.3679329483"/>
    <n v="1208383.1324071081"/>
    <n v="0"/>
    <n v="0"/>
    <n v="0"/>
    <n v="0"/>
    <n v="0"/>
    <n v="0"/>
    <n v="42789.235525840195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3994630.6402774383"/>
    <n v="0"/>
    <n v="0"/>
    <n v="254332.18283336936"/>
    <n v="0"/>
    <n v="0"/>
    <n v="0"/>
    <n v="1494860.1528211189"/>
    <n v="1494860.1528211189"/>
    <n v="254332.18283336936"/>
    <n v="5.3665479486278178"/>
    <n v="6.2796004849996141"/>
    <n v="0.91305253637179606"/>
    <n v="5.3665479486278178"/>
    <n v="448458.04584633565"/>
    <n v="524757.70069634647"/>
    <n v="76299.654850010804"/>
    <n v="448458.04584633565"/>
  </r>
  <r>
    <x v="27"/>
    <x v="10"/>
    <n v="0"/>
    <x v="1"/>
    <s v="Vestdanmark"/>
    <n v="2414113.3249857947"/>
    <n v="0"/>
    <n v="0"/>
    <n v="472406.87601849809"/>
    <n v="0"/>
    <n v="0"/>
    <n v="0"/>
    <n v="0"/>
    <n v="1941706.4489672966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79813.161636948731"/>
    <n v="0"/>
    <n v="0"/>
    <n v="60028.253038902265"/>
    <n v="0"/>
    <n v="0"/>
    <n v="0"/>
    <n v="0"/>
    <n v="19784.908598046466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759267.3773525567"/>
    <n v="0"/>
    <n v="0"/>
    <n v="0"/>
    <n v="0"/>
    <n v="0"/>
    <n v="0"/>
    <n v="0"/>
    <n v="3759267.377352556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167919.08379882065"/>
    <n v="0"/>
    <n v="0"/>
    <n v="0"/>
    <n v="0"/>
    <n v="0"/>
    <n v="0"/>
    <n v="29776.003626443649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694910.33342213533"/>
    <n v="0"/>
    <n v="0"/>
    <n v="21895.892415714086"/>
    <n v="0"/>
    <n v="0"/>
    <n v="0"/>
    <n v="1188598.6305982624"/>
    <n v="1188598.6305982624"/>
    <n v="21895.892415714086"/>
    <n v="3.225904227388908"/>
    <n v="3.2853305552408525"/>
    <n v="5.9426327851944662E-2"/>
    <n v="3.225904227388908"/>
    <n v="237719.72611965251"/>
    <n v="242098.90460279529"/>
    <n v="4379.1784831428176"/>
    <n v="237719.72611965248"/>
  </r>
  <r>
    <x v="39"/>
    <x v="10"/>
    <n v="0"/>
    <x v="1"/>
    <s v="Vestdanmark"/>
    <n v="144480.23950734286"/>
    <n v="0"/>
    <n v="0"/>
    <n v="0"/>
    <n v="0"/>
    <n v="0"/>
    <n v="0"/>
    <n v="0"/>
    <n v="144480.23950734286"/>
    <n v="0"/>
    <n v="0"/>
    <n v="0"/>
    <n v="0"/>
    <n v="0"/>
    <n v="0"/>
    <n v="0"/>
    <n v="0"/>
    <n v="0"/>
    <n v="0"/>
  </r>
  <r>
    <x v="40"/>
    <x v="10"/>
    <n v="0"/>
    <x v="1"/>
    <s v="Vestdanmark"/>
    <n v="98310.493417574442"/>
    <n v="30786.229893887998"/>
    <n v="0"/>
    <n v="0"/>
    <n v="0"/>
    <n v="0"/>
    <n v="0"/>
    <n v="0"/>
    <n v="67524.263523686444"/>
    <n v="0"/>
    <n v="0"/>
    <n v="0"/>
    <n v="0"/>
    <n v="0"/>
    <n v="0"/>
    <n v="0"/>
    <n v="0"/>
    <n v="0"/>
    <n v="0"/>
  </r>
  <r>
    <x v="41"/>
    <x v="1"/>
    <n v="1"/>
    <x v="1"/>
    <s v="Vestdanmark"/>
    <n v="3946131.8935543173"/>
    <n v="0"/>
    <n v="0"/>
    <n v="0"/>
    <n v="1496565.9593185934"/>
    <n v="0"/>
    <n v="0"/>
    <n v="0"/>
    <n v="2449565.9342357237"/>
    <n v="2449565.9342357237"/>
    <n v="1496565.9593185934"/>
    <n v="1.2223578968429687"/>
    <n v="1.9691592762025401"/>
    <n v="0.74680137935957136"/>
    <n v="1.2223578968429687"/>
    <n v="146973.9560541434"/>
    <n v="236767.91361325901"/>
    <n v="89793.957559115603"/>
    <n v="146973.9560541434"/>
  </r>
  <r>
    <x v="42"/>
    <x v="2"/>
    <n v="1"/>
    <x v="1"/>
    <s v="Vestdanmark"/>
    <n v="11086299.462621003"/>
    <n v="0"/>
    <n v="0"/>
    <n v="0"/>
    <n v="9977669.5163589027"/>
    <n v="1108629.9462621"/>
    <n v="0"/>
    <n v="0"/>
    <n v="0"/>
    <n v="0"/>
    <n v="9977669.5163589027"/>
    <n v="0"/>
    <n v="4.2983800276474158"/>
    <n v="4.2983800276474158"/>
    <n v="0"/>
    <n v="0"/>
    <n v="498883.47581794515"/>
    <n v="498883.47581794515"/>
    <n v="0"/>
  </r>
  <r>
    <x v="43"/>
    <x v="10"/>
    <n v="0"/>
    <x v="1"/>
    <s v="Vestdanmark"/>
    <n v="1045042.3768795731"/>
    <n v="0"/>
    <n v="0"/>
    <n v="121875.54404868034"/>
    <n v="0"/>
    <n v="0"/>
    <n v="0"/>
    <n v="0"/>
    <n v="923166.832830892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42874.05337188361"/>
    <n v="0"/>
    <n v="0"/>
    <n v="33849.968886444818"/>
    <n v="0"/>
    <n v="0"/>
    <n v="0"/>
    <n v="0"/>
    <n v="109024.0844854388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48843.537812418464"/>
    <n v="0"/>
    <n v="0"/>
    <n v="0"/>
    <n v="0"/>
    <n v="0"/>
    <n v="0"/>
    <n v="149270.55102203117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74124358.20372915"/>
    <n v="0"/>
    <n v="0"/>
    <n v="0"/>
    <n v="0"/>
    <n v="0"/>
    <n v="474124358.20372915"/>
    <n v="0"/>
    <n v="0"/>
    <n v="0"/>
    <n v="474124358.20372915"/>
    <n v="0"/>
    <n v="0"/>
    <n v="0"/>
    <n v="0"/>
    <n v="0"/>
    <n v="0"/>
    <n v="0"/>
    <n v="0"/>
  </r>
  <r>
    <x v="4"/>
    <x v="10"/>
    <n v="0"/>
    <x v="2"/>
    <s v="Vestdanmark"/>
    <n v="18755667.10197974"/>
    <n v="0"/>
    <n v="0"/>
    <n v="0"/>
    <n v="0"/>
    <n v="16157224.724347349"/>
    <n v="0"/>
    <n v="0"/>
    <n v="2598442.3776323907"/>
    <n v="0"/>
    <n v="0"/>
    <n v="0"/>
    <n v="0"/>
    <n v="0"/>
    <n v="0"/>
    <n v="0"/>
    <n v="0"/>
    <n v="0"/>
    <n v="0"/>
  </r>
  <r>
    <x v="5"/>
    <x v="1"/>
    <n v="1"/>
    <x v="2"/>
    <s v="Vestdanmark"/>
    <n v="584935.22653184202"/>
    <n v="0"/>
    <n v="0"/>
    <n v="0"/>
    <n v="116987.04530636841"/>
    <n v="0"/>
    <n v="0"/>
    <n v="0"/>
    <n v="467948.18122547364"/>
    <n v="467948.18122547364"/>
    <n v="116987.04530636841"/>
    <n v="0.26580676959233435"/>
    <n v="0.33225846199041792"/>
    <n v="6.6451692398083587E-2"/>
    <n v="0.26580676959233435"/>
    <n v="20011.049431027201"/>
    <n v="25013.811788784002"/>
    <n v="5002.7623577568002"/>
    <n v="20011.049431027201"/>
  </r>
  <r>
    <x v="6"/>
    <x v="2"/>
    <n v="1"/>
    <x v="2"/>
    <s v="Vestdanmark"/>
    <n v="2754695.2769849673"/>
    <n v="0"/>
    <n v="0"/>
    <n v="0"/>
    <n v="1377347.6384924836"/>
    <n v="521424.46314358304"/>
    <n v="0"/>
    <n v="0"/>
    <n v="855923.17534890072"/>
    <n v="855923.17534890072"/>
    <n v="1377347.6384924836"/>
    <n v="1.8436585197015323"/>
    <n v="4.8104653330143421"/>
    <n v="2.96680681331281"/>
    <n v="1.8436585197015321"/>
    <n v="256776.95260467019"/>
    <n v="669981.24415241531"/>
    <n v="413204.29154774506"/>
    <n v="256776.95260467025"/>
  </r>
  <r>
    <x v="7"/>
    <x v="10"/>
    <n v="0"/>
    <x v="2"/>
    <s v="Vestdanmark"/>
    <n v="411992.19416820712"/>
    <n v="410449.89758334839"/>
    <n v="0"/>
    <n v="0"/>
    <n v="0"/>
    <n v="0"/>
    <n v="0"/>
    <n v="0"/>
    <n v="1542.2965848587337"/>
    <n v="0"/>
    <n v="0"/>
    <n v="0"/>
    <n v="0"/>
    <n v="0"/>
    <n v="0"/>
    <n v="0"/>
    <n v="0"/>
    <n v="0"/>
    <n v="0"/>
  </r>
  <r>
    <x v="8"/>
    <x v="2"/>
    <n v="1"/>
    <x v="2"/>
    <s v="Vestdanmark"/>
    <n v="8053.6870265678999"/>
    <n v="0"/>
    <n v="0"/>
    <n v="0"/>
    <n v="7248.3183239111104"/>
    <n v="805.36870265678976"/>
    <n v="0"/>
    <n v="0"/>
    <n v="0"/>
    <n v="0"/>
    <n v="7248.3183239111104"/>
    <n v="0"/>
    <n v="3.4088116245521564E-3"/>
    <n v="3.4088116245521564E-3"/>
    <n v="0"/>
    <n v="0"/>
    <n v="456.64405440639996"/>
    <n v="456.64405440639996"/>
    <n v="0"/>
  </r>
  <r>
    <x v="9"/>
    <x v="10"/>
    <n v="0"/>
    <x v="2"/>
    <s v="Vestdanmark"/>
    <n v="105000.21796965669"/>
    <n v="0"/>
    <n v="0"/>
    <n v="36670.799626981883"/>
    <n v="0"/>
    <n v="0"/>
    <n v="0"/>
    <n v="0"/>
    <n v="68329.418342674806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9799278.4862896707"/>
    <n v="0"/>
    <n v="0"/>
    <n v="66036.373634957796"/>
    <n v="0"/>
    <n v="0"/>
    <n v="1197037.9150103212"/>
    <n v="15486500.167385902"/>
    <n v="15486500.167385902"/>
    <n v="66036.373634957796"/>
    <n v="28.493224495469139"/>
    <n v="28.614723168410759"/>
    <n v="0.12149867294161798"/>
    <n v="28.493224495469139"/>
    <n v="4336220.0468680533"/>
    <n v="4354710.2314858418"/>
    <n v="18490.184617788185"/>
    <n v="4336220.0468680533"/>
  </r>
  <r>
    <x v="14"/>
    <x v="10"/>
    <n v="0"/>
    <x v="2"/>
    <s v="Vestdanmark"/>
    <n v="200110.49431027201"/>
    <n v="200110.494310272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612574.40628991358"/>
    <n v="566604.69726181182"/>
    <n v="0"/>
    <n v="55700.3147395259"/>
    <n v="0"/>
    <n v="1279007.7827637468"/>
    <n v="0"/>
    <n v="0"/>
    <n v="0"/>
    <n v="1334708.0975032728"/>
    <n v="0"/>
    <n v="13.54071914153505"/>
    <n v="0.32114239264332617"/>
    <n v="13.219576748891724"/>
    <n v="0"/>
    <n v="1134501.8828777818"/>
    <n v="47345.267528597011"/>
    <n v="1087156.615349184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58747.1884418367"/>
    <n v="0"/>
    <n v="0"/>
    <n v="0"/>
    <n v="0"/>
    <n v="0"/>
    <n v="0"/>
    <n v="-3858747.1884418367"/>
    <n v="0"/>
    <n v="0"/>
    <n v="0"/>
    <n v="0"/>
    <n v="0"/>
    <n v="0"/>
    <n v="0"/>
    <n v="0"/>
    <n v="0"/>
    <n v="0"/>
  </r>
  <r>
    <x v="19"/>
    <x v="1"/>
    <n v="1"/>
    <x v="2"/>
    <s v="Vestdanmark"/>
    <n v="442221.86498214095"/>
    <n v="0"/>
    <n v="0"/>
    <n v="0"/>
    <n v="491154.87282284611"/>
    <n v="0"/>
    <n v="0"/>
    <n v="0"/>
    <n v="-48933.007840705162"/>
    <n v="0"/>
    <n v="491154.87282284611"/>
    <n v="0"/>
    <n v="1.8090022269636303"/>
    <n v="1.8090022269636303"/>
    <n v="0"/>
    <n v="0"/>
    <n v="206285.04658559535"/>
    <n v="206285.04658559535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4116008.1016937736"/>
    <n v="0"/>
    <n v="307470.55071854044"/>
    <n v="2883.6913429660071"/>
    <n v="0"/>
    <n v="0"/>
    <n v="0"/>
    <n v="474432.76171133667"/>
    <n v="474432.76171133667"/>
    <n v="2883.6913429660071"/>
    <n v="1.6248657882746889"/>
    <n v="1.6347420274075595"/>
    <n v="9.8762391328705602E-3"/>
    <n v="1.6248657882746889"/>
    <n v="147074.15613051437"/>
    <n v="147968.10044683382"/>
    <n v="893.94431631946225"/>
    <n v="147074.15613051437"/>
  </r>
  <r>
    <x v="23"/>
    <x v="10"/>
    <n v="0"/>
    <x v="2"/>
    <s v="Vestdanmark"/>
    <n v="0"/>
    <n v="0"/>
    <n v="0"/>
    <n v="0"/>
    <n v="0"/>
    <n v="661907.54022680153"/>
    <n v="0"/>
    <n v="0"/>
    <n v="-661907.54022680153"/>
    <n v="0"/>
    <n v="0"/>
    <n v="0"/>
    <n v="0"/>
    <n v="0"/>
    <n v="0"/>
    <n v="0"/>
    <n v="0"/>
    <n v="0"/>
    <n v="0"/>
  </r>
  <r>
    <x v="24"/>
    <x v="2"/>
    <n v="1"/>
    <x v="2"/>
    <s v="Vestdanmark"/>
    <n v="9132270.4192673061"/>
    <n v="0"/>
    <n v="0"/>
    <n v="0"/>
    <n v="8219043.3773405757"/>
    <n v="913227.04192673042"/>
    <n v="0"/>
    <n v="0"/>
    <n v="0"/>
    <n v="0"/>
    <n v="8219043.3773405757"/>
    <n v="0"/>
    <n v="4.1603975671760267"/>
    <n v="4.1603975671760267"/>
    <n v="0"/>
    <n v="0"/>
    <n v="624647.29667788371"/>
    <n v="624647.29667788371"/>
    <n v="0"/>
  </r>
  <r>
    <x v="25"/>
    <x v="10"/>
    <n v="0"/>
    <x v="2"/>
    <s v="Vestdanmark"/>
    <n v="1144534.7409333601"/>
    <n v="1208383.1324071086"/>
    <n v="0"/>
    <n v="0"/>
    <n v="0"/>
    <n v="0"/>
    <n v="0"/>
    <n v="0"/>
    <n v="-63848.391473748488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3994630.6402774393"/>
    <n v="0"/>
    <n v="0"/>
    <n v="252182.2278297123"/>
    <n v="0"/>
    <n v="0"/>
    <n v="0"/>
    <n v="1393850.2860622536"/>
    <n v="1393850.2860622536"/>
    <n v="252182.2278297123"/>
    <n v="5.0039225269634908"/>
    <n v="5.9092567248721579"/>
    <n v="0.9053341979086672"/>
    <n v="5.0039225269634908"/>
    <n v="418155.0858186761"/>
    <n v="493809.75416758971"/>
    <n v="75654.668348913692"/>
    <n v="418155.08581867605"/>
  </r>
  <r>
    <x v="27"/>
    <x v="10"/>
    <n v="0"/>
    <x v="2"/>
    <s v="Vestdanmark"/>
    <n v="2208358.0486685289"/>
    <n v="0"/>
    <n v="0"/>
    <n v="490824.54885344987"/>
    <n v="0"/>
    <n v="0"/>
    <n v="0"/>
    <n v="0"/>
    <n v="1717533.4998150789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67842.62430101003"/>
    <n v="0"/>
    <n v="0"/>
    <n v="62368.567673274578"/>
    <n v="0"/>
    <n v="0"/>
    <n v="0"/>
    <n v="0"/>
    <n v="5474.056627735451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438864.3995916811"/>
    <n v="0"/>
    <n v="0"/>
    <n v="0"/>
    <n v="0"/>
    <n v="0"/>
    <n v="0"/>
    <n v="0"/>
    <n v="3438864.3995916811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167919.08379882068"/>
    <n v="0"/>
    <n v="0"/>
    <n v="0"/>
    <n v="0"/>
    <n v="0"/>
    <n v="0"/>
    <n v="14721.66983609469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694910.33342213545"/>
    <n v="0"/>
    <n v="0"/>
    <n v="21696.433352533084"/>
    <n v="0"/>
    <n v="0"/>
    <n v="0"/>
    <n v="1050278.152816779"/>
    <n v="1050278.152816779"/>
    <n v="21696.433352533084"/>
    <n v="2.850496917870851"/>
    <n v="2.9093819058469599"/>
    <n v="5.8884987976108895E-2"/>
    <n v="2.850496917870851"/>
    <n v="210055.63056335581"/>
    <n v="214394.91723386242"/>
    <n v="4339.2866705066172"/>
    <n v="210055.63056335581"/>
  </r>
  <r>
    <x v="39"/>
    <x v="10"/>
    <n v="0"/>
    <x v="2"/>
    <s v="Vestdanmark"/>
    <n v="124803.65829831539"/>
    <n v="0"/>
    <n v="0"/>
    <n v="0"/>
    <n v="0"/>
    <n v="0"/>
    <n v="0"/>
    <n v="0"/>
    <n v="124803.65829831539"/>
    <n v="0"/>
    <n v="0"/>
    <n v="0"/>
    <n v="0"/>
    <n v="0"/>
    <n v="0"/>
    <n v="0"/>
    <n v="0"/>
    <n v="0"/>
    <n v="0"/>
  </r>
  <r>
    <x v="40"/>
    <x v="10"/>
    <n v="0"/>
    <x v="2"/>
    <s v="Vestdanmark"/>
    <n v="85585.404221520381"/>
    <n v="30786.229893888001"/>
    <n v="0"/>
    <n v="0"/>
    <n v="0"/>
    <n v="0"/>
    <n v="0"/>
    <n v="0"/>
    <n v="54799.174327632383"/>
    <n v="0"/>
    <n v="0"/>
    <n v="0"/>
    <n v="0"/>
    <n v="0"/>
    <n v="0"/>
    <n v="0"/>
    <n v="0"/>
    <n v="0"/>
    <n v="0"/>
  </r>
  <r>
    <x v="41"/>
    <x v="1"/>
    <n v="1"/>
    <x v="2"/>
    <s v="Vestdanmark"/>
    <n v="4088305.1586514716"/>
    <n v="0"/>
    <n v="0"/>
    <n v="0"/>
    <n v="1550485.0057694039"/>
    <n v="0"/>
    <n v="0"/>
    <n v="0"/>
    <n v="2537820.1528820675"/>
    <n v="2537820.1528820675"/>
    <n v="1550485.0057694039"/>
    <n v="1.2663976344896808"/>
    <n v="2.040105157218671"/>
    <n v="0.77370752272899035"/>
    <n v="1.2663976344896808"/>
    <n v="152269.20917292405"/>
    <n v="245298.30951908824"/>
    <n v="93029.100346164225"/>
    <n v="152269.20917292402"/>
  </r>
  <r>
    <x v="42"/>
    <x v="2"/>
    <n v="1"/>
    <x v="2"/>
    <s v="Vestdanmark"/>
    <n v="8810703.5970233846"/>
    <n v="0"/>
    <n v="0"/>
    <n v="0"/>
    <n v="7929633.2373210462"/>
    <n v="881070.35970233823"/>
    <n v="0"/>
    <n v="0"/>
    <n v="0"/>
    <n v="0"/>
    <n v="7929633.2373210462"/>
    <n v="0"/>
    <n v="3.4160859986379073"/>
    <n v="3.4160859986379073"/>
    <n v="0"/>
    <n v="0"/>
    <n v="396481.66186605231"/>
    <n v="396481.66186605231"/>
    <n v="0"/>
  </r>
  <r>
    <x v="43"/>
    <x v="10"/>
    <n v="0"/>
    <x v="2"/>
    <s v="Vestdanmark"/>
    <n v="910951.47949379648"/>
    <n v="0"/>
    <n v="0"/>
    <n v="126627.09194270898"/>
    <n v="0"/>
    <n v="0"/>
    <n v="0"/>
    <n v="0"/>
    <n v="784324.38755108754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3646.618090291478"/>
    <n v="0"/>
    <n v="0"/>
    <n v="28209.340124628539"/>
    <n v="0"/>
    <n v="0"/>
    <n v="0"/>
    <n v="0"/>
    <n v="-14562.722034337061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5995.111774486154"/>
    <n v="0"/>
    <n v="0"/>
    <n v="0"/>
    <n v="0"/>
    <n v="0"/>
    <n v="0"/>
    <n v="57816.97768096958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6280189.67437352"/>
    <n v="0"/>
    <n v="0"/>
    <n v="0"/>
    <n v="0"/>
    <n v="0"/>
    <n v="116280189.67437352"/>
    <n v="0"/>
    <n v="0"/>
    <n v="0"/>
    <n v="116280189.67437352"/>
    <n v="0"/>
    <n v="0"/>
    <n v="0"/>
    <n v="0"/>
    <n v="0"/>
    <n v="0"/>
    <n v="0"/>
    <n v="0"/>
  </r>
  <r>
    <x v="4"/>
    <x v="10"/>
    <n v="0"/>
    <x v="1"/>
    <s v="Østdanmark"/>
    <n v="3732479.1539933519"/>
    <n v="0"/>
    <n v="0"/>
    <n v="0"/>
    <n v="0"/>
    <n v="3299812.1369223767"/>
    <n v="0"/>
    <n v="0"/>
    <n v="432667.01707097515"/>
    <n v="0"/>
    <n v="0"/>
    <n v="0"/>
    <n v="0"/>
    <n v="0"/>
    <n v="0"/>
    <n v="0"/>
    <n v="0"/>
    <n v="0"/>
    <n v="0"/>
  </r>
  <r>
    <x v="5"/>
    <x v="1"/>
    <n v="1"/>
    <x v="1"/>
    <s v="Østdanmark"/>
    <n v="60750.139716873324"/>
    <n v="0"/>
    <n v="0"/>
    <n v="0"/>
    <n v="12150.027943374665"/>
    <n v="0"/>
    <n v="0"/>
    <n v="0"/>
    <n v="48600.111773498662"/>
    <n v="48600.111773498662"/>
    <n v="12150.027943374665"/>
    <n v="2.7606130829506526E-2"/>
    <n v="3.4507663536883157E-2"/>
    <n v="6.9015327073766314E-3"/>
    <n v="2.7606130829506526E-2"/>
    <n v="2078.3054151552001"/>
    <n v="2597.8817689439998"/>
    <n v="519.57635378880002"/>
    <n v="2078.3054151551996"/>
  </r>
  <r>
    <x v="6"/>
    <x v="2"/>
    <n v="1"/>
    <x v="1"/>
    <s v="Østdanmark"/>
    <n v="315237.08441717137"/>
    <n v="0"/>
    <n v="0"/>
    <n v="0"/>
    <n v="157618.54220858568"/>
    <n v="59669.876693250299"/>
    <n v="0"/>
    <n v="0"/>
    <n v="97948.665515335393"/>
    <n v="97948.665515335393"/>
    <n v="157618.54220858568"/>
    <n v="0.21098142552003243"/>
    <n v="0.55049176543732603"/>
    <n v="0.33951033991729357"/>
    <n v="0.21098142552003246"/>
    <n v="29384.599654600617"/>
    <n v="76670.16231717632"/>
    <n v="47285.562662575707"/>
    <n v="29384.599654600614"/>
  </r>
  <r>
    <x v="7"/>
    <x v="10"/>
    <n v="0"/>
    <x v="1"/>
    <s v="Østdanmark"/>
    <n v="42788.640900254119"/>
    <n v="41982.575451583703"/>
    <n v="0"/>
    <n v="0"/>
    <n v="0"/>
    <n v="0"/>
    <n v="0"/>
    <n v="0"/>
    <n v="806.06544867041521"/>
    <n v="0"/>
    <n v="0"/>
    <n v="0"/>
    <n v="0"/>
    <n v="0"/>
    <n v="0"/>
    <n v="0"/>
    <n v="0"/>
    <n v="0"/>
    <n v="0"/>
  </r>
  <r>
    <x v="8"/>
    <x v="2"/>
    <n v="1"/>
    <x v="1"/>
    <s v="Østdanmark"/>
    <n v="594.85385919381292"/>
    <n v="0"/>
    <n v="0"/>
    <n v="0"/>
    <n v="535.36847327443161"/>
    <n v="59.48538591938128"/>
    <n v="0"/>
    <n v="0"/>
    <n v="0"/>
    <n v="0"/>
    <n v="535.36847327443161"/>
    <n v="0"/>
    <n v="2.5177843929623245E-4"/>
    <n v="2.5177843929623245E-4"/>
    <n v="0"/>
    <n v="0"/>
    <n v="33.728213816289191"/>
    <n v="33.728213816289191"/>
    <n v="0"/>
  </r>
  <r>
    <x v="9"/>
    <x v="10"/>
    <n v="0"/>
    <x v="1"/>
    <s v="Østdanmark"/>
    <n v="11181.684772655934"/>
    <n v="0"/>
    <n v="0"/>
    <n v="30560.118468347584"/>
    <n v="0"/>
    <n v="0"/>
    <n v="0"/>
    <n v="0"/>
    <n v="-19378.43369569165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202774.665099862"/>
    <n v="0"/>
    <n v="0"/>
    <n v="19146.607955280237"/>
    <n v="0"/>
    <n v="0"/>
    <n v="124321.83476867944"/>
    <n v="6451565.1567847775"/>
    <n v="6451565.1567847775"/>
    <n v="19146.607955280237"/>
    <n v="11.870073442839393"/>
    <n v="11.905300808151114"/>
    <n v="3.5227365311721229E-2"/>
    <n v="11.870073442839393"/>
    <n v="1806438.243899738"/>
    <n v="1811799.2941272166"/>
    <n v="5361.0502274784667"/>
    <n v="1806438.2438997382"/>
  </r>
  <r>
    <x v="14"/>
    <x v="10"/>
    <n v="0"/>
    <x v="1"/>
    <s v="Østdanmark"/>
    <n v="20783.054151551998"/>
    <n v="20783.05415155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75188.084245687161"/>
    <n v="82122.074996657291"/>
    <n v="0"/>
    <n v="19375.334758907451"/>
    <n v="0"/>
    <n v="685332.96568755875"/>
    <n v="0"/>
    <n v="0"/>
    <n v="0"/>
    <n v="704708.30044646619"/>
    <n v="0"/>
    <n v="7.1951780787370954"/>
    <n v="0.11170926756587127"/>
    <n v="7.0834688111712243"/>
    <n v="0"/>
    <n v="599002.05537949631"/>
    <n v="16469.034545071332"/>
    <n v="582533.02083442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1"/>
    <s v="Østdanmark"/>
    <n v="194906.64001961387"/>
    <n v="0"/>
    <n v="0"/>
    <n v="0"/>
    <n v="216909.97261652708"/>
    <n v="0"/>
    <n v="0"/>
    <n v="0"/>
    <n v="-22003.332596913213"/>
    <n v="0"/>
    <n v="216909.97261652708"/>
    <n v="0"/>
    <n v="0.79891424319727433"/>
    <n v="0.79891424319727433"/>
    <n v="0"/>
    <n v="0"/>
    <n v="91102.188498941367"/>
    <n v="91102.188498941367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519637.93581515481"/>
    <n v="0"/>
    <n v="256234.83946537593"/>
    <n v="877.2149514614091"/>
    <n v="0"/>
    <n v="0"/>
    <n v="0"/>
    <n v="779198.95527111483"/>
    <n v="779198.95527111483"/>
    <n v="877.2149514614091"/>
    <n v="2.6686473339498309"/>
    <n v="2.6716516723484931"/>
    <n v="3.004338398662122E-3"/>
    <n v="2.6686473339498309"/>
    <n v="241551.67613404559"/>
    <n v="241823.61276899863"/>
    <n v="271.93663495303684"/>
    <n v="241551.67613404559"/>
  </r>
  <r>
    <x v="23"/>
    <x v="10"/>
    <n v="0"/>
    <x v="1"/>
    <s v="Østdanmark"/>
    <n v="0"/>
    <n v="0"/>
    <n v="0"/>
    <n v="0"/>
    <n v="0"/>
    <n v="343594.26713140868"/>
    <n v="0"/>
    <n v="0"/>
    <n v="-343594.26713140868"/>
    <n v="0"/>
    <n v="0"/>
    <n v="0"/>
    <n v="0"/>
    <n v="0"/>
    <n v="0"/>
    <n v="0"/>
    <n v="0"/>
    <n v="0"/>
    <n v="0"/>
  </r>
  <r>
    <x v="24"/>
    <x v="2"/>
    <n v="1"/>
    <x v="1"/>
    <s v="Østdanmark"/>
    <n v="711514.49127012491"/>
    <n v="0"/>
    <n v="0"/>
    <n v="0"/>
    <n v="640363.0421431124"/>
    <n v="71151.449127012471"/>
    <n v="0"/>
    <n v="0"/>
    <n v="0"/>
    <n v="0"/>
    <n v="640363.0421431124"/>
    <n v="0"/>
    <n v="0.32414536830242208"/>
    <n v="0.32414536830242208"/>
    <n v="0"/>
    <n v="0"/>
    <n v="48667.591202876538"/>
    <n v="48667.591202876538"/>
    <n v="0"/>
  </r>
  <r>
    <x v="25"/>
    <x v="10"/>
    <n v="0"/>
    <x v="1"/>
    <s v="Østdanmark"/>
    <n v="88925.837155996895"/>
    <n v="148318.32970425067"/>
    <n v="0"/>
    <n v="0"/>
    <n v="0"/>
    <n v="0"/>
    <n v="0"/>
    <n v="0"/>
    <n v="-59392.49254825378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490305.54007415898"/>
    <n v="0"/>
    <n v="0"/>
    <n v="75693.817166630659"/>
    <n v="0"/>
    <n v="0"/>
    <n v="0"/>
    <n v="1143465.333126504"/>
    <n v="1143465.333126504"/>
    <n v="75693.817166630659"/>
    <n v="4.1050405459241492"/>
    <n v="4.3767813495523535"/>
    <n v="0.27174080362820408"/>
    <n v="4.1050405459241492"/>
    <n v="343039.59993795119"/>
    <n v="365747.74508794036"/>
    <n v="22708.145149989195"/>
    <n v="343039.59993795119"/>
  </r>
  <r>
    <x v="27"/>
    <x v="10"/>
    <n v="0"/>
    <x v="1"/>
    <s v="Østdanmark"/>
    <n v="171580.71414930237"/>
    <n v="0"/>
    <n v="0"/>
    <n v="409035.43180711387"/>
    <n v="0"/>
    <n v="0"/>
    <n v="0"/>
    <n v="0"/>
    <n v="-237454.7176578115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5672.6414333767643"/>
    <n v="0"/>
    <n v="0"/>
    <n v="51975.70917962808"/>
    <n v="0"/>
    <n v="0"/>
    <n v="0"/>
    <n v="0"/>
    <n v="-46303.06774625131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67186.20646697358"/>
    <n v="0"/>
    <n v="0"/>
    <n v="0"/>
    <n v="0"/>
    <n v="0"/>
    <n v="0"/>
    <n v="0"/>
    <n v="267186.20646697358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0610.580673115885"/>
    <n v="0"/>
    <n v="0"/>
    <n v="0"/>
    <n v="0"/>
    <n v="0"/>
    <n v="0"/>
    <n v="39358.8988177703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85294.090246098451"/>
    <n v="0"/>
    <n v="0"/>
    <n v="6749.1075842859182"/>
    <n v="0"/>
    <n v="0"/>
    <n v="0"/>
    <n v="495271.63380804064"/>
    <n v="495271.63380804064"/>
    <n v="6749.1075842859182"/>
    <n v="1.3441870250203747"/>
    <n v="1.3625043729684301"/>
    <n v="1.8317347948055354E-2"/>
    <n v="1.3441870250203747"/>
    <n v="99054.326761608128"/>
    <n v="100404.14827846532"/>
    <n v="1349.8215168571837"/>
    <n v="99054.326761608143"/>
  </r>
  <r>
    <x v="39"/>
    <x v="10"/>
    <n v="0"/>
    <x v="1"/>
    <s v="Østdanmark"/>
    <n v="17057.663725626528"/>
    <n v="0"/>
    <n v="0"/>
    <n v="0"/>
    <n v="0"/>
    <n v="0"/>
    <n v="0"/>
    <n v="0"/>
    <n v="17057.663725626528"/>
    <n v="0"/>
    <n v="0"/>
    <n v="0"/>
    <n v="0"/>
    <n v="0"/>
    <n v="0"/>
    <n v="0"/>
    <n v="0"/>
    <n v="0"/>
    <n v="0"/>
  </r>
  <r>
    <x v="40"/>
    <x v="10"/>
    <n v="0"/>
    <x v="1"/>
    <s v="Østdanmark"/>
    <n v="13867.700739672095"/>
    <n v="3778.7371184639996"/>
    <n v="0"/>
    <n v="0"/>
    <n v="0"/>
    <n v="0"/>
    <n v="0"/>
    <n v="0"/>
    <n v="10088.963621208095"/>
    <n v="0"/>
    <n v="0"/>
    <n v="0"/>
    <n v="0"/>
    <n v="0"/>
    <n v="0"/>
    <n v="0"/>
    <n v="0"/>
    <n v="0"/>
    <n v="0"/>
  </r>
  <r>
    <x v="41"/>
    <x v="1"/>
    <n v="1"/>
    <x v="1"/>
    <s v="Østdanmark"/>
    <n v="3342079.7184574725"/>
    <n v="0"/>
    <n v="0"/>
    <n v="0"/>
    <n v="1267479.8701336605"/>
    <n v="0"/>
    <n v="0"/>
    <n v="0"/>
    <n v="2074599.848323812"/>
    <n v="2074599.848323812"/>
    <n v="1267479.8701336605"/>
    <n v="1.0352460703120656"/>
    <n v="1.6677312003074636"/>
    <n v="0.63248512999539797"/>
    <n v="1.0352460703120656"/>
    <n v="124475.99089942871"/>
    <n v="200524.78310744834"/>
    <n v="76048.792208019629"/>
    <n v="124475.99089942871"/>
  </r>
  <r>
    <x v="42"/>
    <x v="2"/>
    <n v="1"/>
    <x v="1"/>
    <s v="Østdanmark"/>
    <n v="1606372.8094478375"/>
    <n v="0"/>
    <n v="0"/>
    <n v="0"/>
    <n v="1445735.5285030538"/>
    <n v="160637.28094478371"/>
    <n v="0"/>
    <n v="0"/>
    <n v="0"/>
    <n v="0"/>
    <n v="1445735.5285030538"/>
    <n v="0"/>
    <n v="0.62282286567911571"/>
    <n v="0.62282286567911571"/>
    <n v="0"/>
    <n v="0"/>
    <n v="72286.776425152697"/>
    <n v="72286.776425152697"/>
    <n v="0"/>
  </r>
  <r>
    <x v="43"/>
    <x v="10"/>
    <n v="0"/>
    <x v="1"/>
    <s v="Østdanmark"/>
    <n v="151423.62558400567"/>
    <n v="0"/>
    <n v="0"/>
    <n v="105526.43984954793"/>
    <n v="0"/>
    <n v="0"/>
    <n v="0"/>
    <n v="0"/>
    <n v="45897.18573445774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1991.366562920688"/>
    <n v="0"/>
    <n v="0"/>
    <n v="29532.002020101954"/>
    <n v="0"/>
    <n v="0"/>
    <n v="0"/>
    <n v="0"/>
    <n v="-17540.63545718126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5995.111774486154"/>
    <n v="0"/>
    <n v="0"/>
    <n v="0"/>
    <n v="0"/>
    <n v="0"/>
    <n v="0"/>
    <n v="55479.67927638783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451916.01673454"/>
    <n v="0"/>
    <n v="0"/>
    <n v="0"/>
    <n v="0"/>
    <n v="0"/>
    <n v="115451916.01673454"/>
    <n v="0"/>
    <n v="0"/>
    <n v="0"/>
    <n v="115451916.01673454"/>
    <n v="0"/>
    <n v="0"/>
    <n v="0"/>
    <n v="0"/>
    <n v="0"/>
    <n v="0"/>
    <n v="0"/>
    <n v="0"/>
  </r>
  <r>
    <x v="4"/>
    <x v="10"/>
    <n v="0"/>
    <x v="2"/>
    <s v="Østdanmark"/>
    <n v="3501291.9716861537"/>
    <n v="0"/>
    <n v="0"/>
    <n v="0"/>
    <n v="0"/>
    <n v="3016216.9601589413"/>
    <n v="0"/>
    <n v="0"/>
    <n v="485075.01152721234"/>
    <n v="0"/>
    <n v="0"/>
    <n v="0"/>
    <n v="0"/>
    <n v="0"/>
    <n v="0"/>
    <n v="0"/>
    <n v="0"/>
    <n v="0"/>
    <n v="0"/>
  </r>
  <r>
    <x v="5"/>
    <x v="1"/>
    <n v="1"/>
    <x v="2"/>
    <s v="Østdanmark"/>
    <n v="71795.619665395745"/>
    <n v="0"/>
    <n v="0"/>
    <n v="0"/>
    <n v="14359.12393307915"/>
    <n v="0"/>
    <n v="0"/>
    <n v="0"/>
    <n v="57436.495732316595"/>
    <n v="57436.495732316595"/>
    <n v="14359.12393307915"/>
    <n v="3.2625427343962253E-2"/>
    <n v="4.0781784179952818E-2"/>
    <n v="8.156356835990565E-3"/>
    <n v="3.2625427343962253E-2"/>
    <n v="2456.1791270015997"/>
    <n v="3070.2239087519997"/>
    <n v="614.04478175040003"/>
    <n v="2456.1791270015997"/>
  </r>
  <r>
    <x v="6"/>
    <x v="2"/>
    <n v="1"/>
    <x v="2"/>
    <s v="Østdanmark"/>
    <n v="382537.24875352421"/>
    <n v="0"/>
    <n v="0"/>
    <n v="0"/>
    <n v="191268.62437676211"/>
    <n v="72408.836371202793"/>
    <n v="0"/>
    <n v="0"/>
    <n v="118859.7880055593"/>
    <n v="118859.7880055593"/>
    <n v="191268.62437676211"/>
    <n v="0.25602398336397475"/>
    <n v="0.66801660027152032"/>
    <n v="0.41199261690754557"/>
    <n v="0.25602398336397475"/>
    <n v="35657.936401667786"/>
    <n v="93038.523714696421"/>
    <n v="57380.587313028627"/>
    <n v="35657.936401667794"/>
  </r>
  <r>
    <x v="7"/>
    <x v="10"/>
    <n v="0"/>
    <x v="2"/>
    <s v="Østdanmark"/>
    <n v="50568.393791209412"/>
    <n v="50379.090541900448"/>
    <n v="0"/>
    <n v="0"/>
    <n v="0"/>
    <n v="0"/>
    <n v="0"/>
    <n v="0"/>
    <n v="189.30324930896313"/>
    <n v="0"/>
    <n v="0"/>
    <n v="0"/>
    <n v="0"/>
    <n v="0"/>
    <n v="0"/>
    <n v="0"/>
    <n v="0"/>
    <n v="0"/>
    <n v="0"/>
  </r>
  <r>
    <x v="8"/>
    <x v="2"/>
    <n v="1"/>
    <x v="2"/>
    <s v="Østdanmark"/>
    <n v="675.94297942427897"/>
    <n v="0"/>
    <n v="0"/>
    <n v="0"/>
    <n v="608.34868148185114"/>
    <n v="67.594297942427886"/>
    <n v="0"/>
    <n v="0"/>
    <n v="0"/>
    <n v="0"/>
    <n v="608.34868148185114"/>
    <n v="0"/>
    <n v="2.861003014140998E-4"/>
    <n v="2.861003014140998E-4"/>
    <n v="0"/>
    <n v="0"/>
    <n v="38.325966933356625"/>
    <n v="38.325966933356625"/>
    <n v="0"/>
  </r>
  <r>
    <x v="9"/>
    <x v="10"/>
    <n v="0"/>
    <x v="2"/>
    <s v="Østdanmark"/>
    <n v="8812.629537313207"/>
    <n v="0"/>
    <n v="0"/>
    <n v="31993.002188443785"/>
    <n v="0"/>
    <n v="0"/>
    <n v="0"/>
    <n v="0"/>
    <n v="-23180.3726511305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202774.665099862"/>
    <n v="0"/>
    <n v="0"/>
    <n v="19640.626365042219"/>
    <n v="0"/>
    <n v="0"/>
    <n v="146925.80472662117"/>
    <n v="6526854.1725405259"/>
    <n v="6526854.1725405259"/>
    <n v="19640.626365042219"/>
    <n v="12.008595820703"/>
    <n v="12.044732118136382"/>
    <n v="3.6136297433382057E-2"/>
    <n v="12.008595820703"/>
    <n v="1827519.1683113475"/>
    <n v="1833018.5436935592"/>
    <n v="5499.3753822118215"/>
    <n v="1827519.1683113475"/>
  </r>
  <r>
    <x v="14"/>
    <x v="10"/>
    <n v="0"/>
    <x v="2"/>
    <s v="Østdanmark"/>
    <n v="24561.791270015998"/>
    <n v="24561.791270015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75188.084245687161"/>
    <n v="80498.501450059382"/>
    <n v="0"/>
    <n v="20233.685260474089"/>
    <n v="0"/>
    <n v="611947.68575150997"/>
    <n v="0"/>
    <n v="0"/>
    <n v="0"/>
    <n v="632181.37101198407"/>
    <n v="0"/>
    <n v="6.441630891325735"/>
    <n v="0.11665812171667378"/>
    <n v="6.3249727696090616"/>
    <n v="0"/>
    <n v="537354.16536018648"/>
    <n v="17198.632471402976"/>
    <n v="520155.5328887834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3627.04956051067"/>
    <n v="0"/>
    <n v="0"/>
    <n v="0"/>
    <n v="0"/>
    <n v="0"/>
    <n v="0"/>
    <n v="-473627.04956051067"/>
    <n v="0"/>
    <n v="0"/>
    <n v="0"/>
    <n v="0"/>
    <n v="0"/>
    <n v="0"/>
    <n v="0"/>
    <n v="0"/>
    <n v="0"/>
    <n v="0"/>
  </r>
  <r>
    <x v="19"/>
    <x v="1"/>
    <n v="1"/>
    <x v="2"/>
    <s v="Østdanmark"/>
    <n v="194707.25890798459"/>
    <n v="0"/>
    <n v="0"/>
    <n v="0"/>
    <n v="216252.12717715395"/>
    <n v="0"/>
    <n v="0"/>
    <n v="0"/>
    <n v="-21544.868269169354"/>
    <n v="0"/>
    <n v="216252.12717715395"/>
    <n v="0"/>
    <n v="0.79649129285986997"/>
    <n v="0.79649129285986997"/>
    <n v="0"/>
    <n v="0"/>
    <n v="90825.893414404651"/>
    <n v="90825.893414404651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505203.54870917829"/>
    <n v="0"/>
    <n v="268249.01834925939"/>
    <n v="902.30865703399286"/>
    <n v="0"/>
    <n v="0"/>
    <n v="0"/>
    <n v="759106.69283925777"/>
    <n v="759106.69283925777"/>
    <n v="902.30865703399286"/>
    <n v="2.5998341480374609"/>
    <n v="2.6029244288645903"/>
    <n v="3.0902808271294413E-3"/>
    <n v="2.5998341480374609"/>
    <n v="235323.0747801699"/>
    <n v="235602.79046385043"/>
    <n v="279.71568368053778"/>
    <n v="235323.07478016987"/>
  </r>
  <r>
    <x v="23"/>
    <x v="10"/>
    <n v="0"/>
    <x v="2"/>
    <s v="Østdanmark"/>
    <n v="0"/>
    <n v="0"/>
    <n v="0"/>
    <n v="0"/>
    <n v="0"/>
    <n v="317678.20362080808"/>
    <n v="0"/>
    <n v="0"/>
    <n v="-317678.20362080808"/>
    <n v="0"/>
    <n v="0"/>
    <n v="0"/>
    <n v="0"/>
    <n v="0"/>
    <n v="0"/>
    <n v="0"/>
    <n v="0"/>
    <n v="0"/>
    <n v="0"/>
  </r>
  <r>
    <x v="24"/>
    <x v="2"/>
    <n v="1"/>
    <x v="2"/>
    <s v="Østdanmark"/>
    <n v="649067.07739233959"/>
    <n v="0"/>
    <n v="0"/>
    <n v="0"/>
    <n v="584160.36965310562"/>
    <n v="64906.707739233942"/>
    <n v="0"/>
    <n v="0"/>
    <n v="0"/>
    <n v="0"/>
    <n v="584160.36965310562"/>
    <n v="0"/>
    <n v="0.29569613751470558"/>
    <n v="0.29569613751470558"/>
    <n v="0"/>
    <n v="0"/>
    <n v="44396.188093636025"/>
    <n v="44396.188093636025"/>
    <n v="0"/>
  </r>
  <r>
    <x v="25"/>
    <x v="10"/>
    <n v="0"/>
    <x v="2"/>
    <s v="Østdanmark"/>
    <n v="81346.673408212213"/>
    <n v="148318.32970425067"/>
    <n v="0"/>
    <n v="0"/>
    <n v="0"/>
    <n v="0"/>
    <n v="0"/>
    <n v="0"/>
    <n v="-66971.656296038462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490305.54007415898"/>
    <n v="0"/>
    <n v="0"/>
    <n v="77843.772170287746"/>
    <n v="0"/>
    <n v="0"/>
    <n v="0"/>
    <n v="1173014.2155795621"/>
    <n v="1173014.2155795621"/>
    <n v="77843.772170287746"/>
    <n v="4.2111210339306284"/>
    <n v="4.490580176021961"/>
    <n v="0.27945914209133305"/>
    <n v="4.2111210339306275"/>
    <n v="351904.2646738686"/>
    <n v="375257.39632495499"/>
    <n v="23353.131651086322"/>
    <n v="351904.26467386866"/>
  </r>
  <r>
    <x v="27"/>
    <x v="10"/>
    <n v="0"/>
    <x v="2"/>
    <s v="Østdanmark"/>
    <n v="156956.86162128934"/>
    <n v="0"/>
    <n v="0"/>
    <n v="428214.02929147833"/>
    <n v="0"/>
    <n v="0"/>
    <n v="0"/>
    <n v="0"/>
    <n v="-271257.167670189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4821.8473452975177"/>
    <n v="0"/>
    <n v="0"/>
    <n v="54412.71372203785"/>
    <n v="0"/>
    <n v="0"/>
    <n v="0"/>
    <n v="0"/>
    <n v="-49590.866376740334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44413.88208154004"/>
    <n v="0"/>
    <n v="0"/>
    <n v="0"/>
    <n v="0"/>
    <n v="0"/>
    <n v="0"/>
    <n v="0"/>
    <n v="244413.88208154004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0610.580673115885"/>
    <n v="0"/>
    <n v="0"/>
    <n v="0"/>
    <n v="0"/>
    <n v="0"/>
    <n v="0"/>
    <n v="36898.213866583348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85294.090246098451"/>
    <n v="0"/>
    <n v="0"/>
    <n v="6948.5666474669151"/>
    <n v="0"/>
    <n v="0"/>
    <n v="0"/>
    <n v="473625.35572851851"/>
    <n v="473625.35572851851"/>
    <n v="6948.5666474669151"/>
    <n v="1.2854381604614284"/>
    <n v="1.3042968482853197"/>
    <n v="1.8858687823891107E-2"/>
    <n v="1.2854381604614287"/>
    <n v="94725.07114570371"/>
    <n v="96114.784475197084"/>
    <n v="1389.7133294933831"/>
    <n v="94725.071145703696"/>
  </r>
  <r>
    <x v="39"/>
    <x v="10"/>
    <n v="0"/>
    <x v="2"/>
    <s v="Østdanmark"/>
    <n v="14788.079997473731"/>
    <n v="0"/>
    <n v="0"/>
    <n v="0"/>
    <n v="0"/>
    <n v="0"/>
    <n v="0"/>
    <n v="0"/>
    <n v="14788.079997473731"/>
    <n v="0"/>
    <n v="0"/>
    <n v="0"/>
    <n v="0"/>
    <n v="0"/>
    <n v="0"/>
    <n v="0"/>
    <n v="0"/>
    <n v="0"/>
    <n v="0"/>
  </r>
  <r>
    <x v="40"/>
    <x v="10"/>
    <n v="0"/>
    <x v="2"/>
    <s v="Østdanmark"/>
    <n v="12080.446155895848"/>
    <n v="3778.7371184639996"/>
    <n v="0"/>
    <n v="0"/>
    <n v="0"/>
    <n v="0"/>
    <n v="0"/>
    <n v="0"/>
    <n v="8301.7090374318486"/>
    <n v="0"/>
    <n v="0"/>
    <n v="0"/>
    <n v="0"/>
    <n v="0"/>
    <n v="0"/>
    <n v="0"/>
    <n v="0"/>
    <n v="0"/>
    <n v="0"/>
  </r>
  <r>
    <x v="41"/>
    <x v="1"/>
    <n v="1"/>
    <x v="2"/>
    <s v="Østdanmark"/>
    <n v="3497898.5623000106"/>
    <n v="0"/>
    <n v="0"/>
    <n v="0"/>
    <n v="1326573.9865508091"/>
    <n v="0"/>
    <n v="0"/>
    <n v="0"/>
    <n v="2171324.5757492017"/>
    <n v="2171324.5757492017"/>
    <n v="1326573.9865508091"/>
    <n v="1.0835126765446093"/>
    <n v="1.7454863615733287"/>
    <n v="0.66197368502871934"/>
    <n v="1.0835126765446095"/>
    <n v="130279.4745449521"/>
    <n v="209873.91373800061"/>
    <n v="79594.439193048544"/>
    <n v="130279.47454495207"/>
  </r>
  <r>
    <x v="42"/>
    <x v="2"/>
    <n v="1"/>
    <x v="2"/>
    <s v="Østdanmark"/>
    <n v="1276645.533352437"/>
    <n v="0"/>
    <n v="0"/>
    <n v="0"/>
    <n v="1148980.9800171934"/>
    <n v="127664.55333524366"/>
    <n v="0"/>
    <n v="0"/>
    <n v="0"/>
    <n v="0"/>
    <n v="1148980.9800171934"/>
    <n v="0"/>
    <n v="0.494981006191407"/>
    <n v="0.494981006191407"/>
    <n v="0"/>
    <n v="0"/>
    <n v="57449.049000859668"/>
    <n v="57449.049000859668"/>
    <n v="0"/>
  </r>
  <r>
    <x v="43"/>
    <x v="10"/>
    <n v="0"/>
    <x v="2"/>
    <s v="Østdanmark"/>
    <n v="131994.24138946694"/>
    <n v="0"/>
    <n v="0"/>
    <n v="110474.29755686472"/>
    <n v="0"/>
    <n v="0"/>
    <n v="0"/>
    <n v="0"/>
    <n v="21519.943832602221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10030039.4981656</v>
      </c>
      <c r="R37" s="342">
        <f t="shared" ref="R37:R38" si="0">1-Q37/$Q$35</f>
        <v>0.49849802509172003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8511278.5737313814</v>
      </c>
      <c r="R38" s="342">
        <f t="shared" si="0"/>
        <v>0.57443607131343088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/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222227.8547685589</v>
      </c>
      <c r="J5" s="10">
        <f>SUMIFS('Resultat-Produktion &amp; forbrug'!$N$3:$N$1000,'Resultat-Produktion &amp; forbrug'!$A$3:$A$1000,Adfærd!$G5,'Resultat-Produktion &amp; forbrug'!$D$3:$D$1000,Adfærd!J$4)</f>
        <v>204668.18907463469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0.8840805268508819</v>
      </c>
      <c r="AC3" s="230">
        <f>SUM(E12:E14)/SUM(E12:E15)</f>
        <v>0.86145828012920345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0.42276823818042242</v>
      </c>
      <c r="AC5" s="346">
        <f t="shared" si="1"/>
        <v>0.37498249524454919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0.35714263483479858</v>
      </c>
      <c r="AC6" s="346">
        <f t="shared" si="1"/>
        <v>0.36360695896622097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11423405.044861957</v>
      </c>
      <c r="E12" s="130">
        <f>SUMIFS('Resultater - Danmark'!J$3:J$504,'Resultater - Danmark'!$F$3:$F$504,$A12)*D3</f>
        <v>9078614.2173382398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1269267.227206884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1008734.9130375814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0.42276823818042242</v>
      </c>
      <c r="L12" s="131">
        <f t="shared" ref="L12:L28" si="5">E12/E$29</f>
        <v>0.37498249524454919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9650169.0715138894</v>
      </c>
      <c r="E13" s="133">
        <f>SUMIFS('Resultater - Danmark'!J$3:J$504,'Resultater - Danmark'!$F$3:$F$504,$A13)*D4</f>
        <v>8803203.7469936814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1072241.0079459883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978133.74966596439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0.35714263483479858</v>
      </c>
      <c r="L13" s="134">
        <f t="shared" si="5"/>
        <v>0.36360695896622097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6914.1463567523415</v>
      </c>
      <c r="E14" s="133">
        <f>SUMIFS('Resultater - Danmark'!J$3:J$504,'Resultater - Danmark'!$F$3:$F$504,$A14)*D5</f>
        <v>7856.667005392962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768.2384840835939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872.9630005992185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2.5588530410033245E-4</v>
      </c>
      <c r="L14" s="134">
        <f t="shared" si="5"/>
        <v>3.2451126652802565E-4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2764045.8294522539</v>
      </c>
      <c r="E15" s="133">
        <f>SUMIFS('Resultater - Danmark'!J$3:J$504,'Resultater - Danmark'!$F$3:$F$504,$A15)*D6</f>
        <v>2877058.992320213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4524165.7825595364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4709144.7286312692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0.10229443681444762</v>
      </c>
      <c r="L15" s="134">
        <f t="shared" si="5"/>
        <v>0.11883385878933282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1313527.0610181196</v>
      </c>
      <c r="E16" s="133">
        <f>SUMIFS('Resultater - Danmark'!J$3:J$504,'Resultater - Danmark'!$F$3:$F$504,$A16)*D7</f>
        <v>1568616.2628692461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1313527.0610181193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1568616.2628692458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4.8612258709911586E-2</v>
      </c>
      <c r="L16" s="134">
        <f t="shared" si="5"/>
        <v>6.4790024804506463E-2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111139.0662795325</v>
      </c>
      <c r="E17" s="133">
        <f>SUMIFS('Resultater - Danmark'!J$3:J$504,'Resultater - Danmark'!$F$3:$F$504,$A17)*D8</f>
        <v>131346.16923944754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444556.26511813002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525384.67695779016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4.1131402641761917E-3</v>
      </c>
      <c r="L17" s="134">
        <f t="shared" si="5"/>
        <v>5.4251136906069836E-3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1.3471073139063542E-2</v>
      </c>
      <c r="L18" s="134">
        <f t="shared" si="5"/>
        <v>1.5273245324075172E-2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-73078.036177561618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-70477.876109874458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2.6661507402281209E-2</v>
      </c>
      <c r="L19" s="134">
        <f t="shared" si="5"/>
        <v>2.9218693036527545E-2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2294929.8001916967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1892929.8820462902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2.8102376893684006E-3</v>
      </c>
      <c r="L20" s="134">
        <f t="shared" si="5"/>
        <v>3.1363730314171085E-3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1408804.9489827692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1236189.051535836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1.4011588869213744E-4</v>
      </c>
      <c r="L21" s="134">
        <f t="shared" si="5"/>
        <v>1.5637669946196926E-4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22652457.47850439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21996754.398840792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3.1708158994918807E-3</v>
      </c>
      <c r="L22" s="134">
        <f t="shared" si="5"/>
        <v>3.5387972741159905E-3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2634266.2017766619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2562645.8191862721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1.2213916080695022E-2</v>
      </c>
      <c r="L23" s="134">
        <f t="shared" si="5"/>
        <v>1.3631372587595315E-2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1686089.1386568123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1526084.5222070476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1.0601214029546425E-3</v>
      </c>
      <c r="L24" s="134">
        <f t="shared" si="5"/>
        <v>1.1831512298172502E-3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2.8866981822468887E-6</v>
      </c>
      <c r="L25" s="134">
        <f t="shared" si="5"/>
        <v>3.2217069619740101E-6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5.2827316914139154E-3</v>
      </c>
      <c r="L26" s="134">
        <f t="shared" si="5"/>
        <v>5.8958063482832581E-3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27020490.219482511</v>
      </c>
      <c r="E29" s="142">
        <f>SUM(E12:E28)</f>
        <v>24210768.055766221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9.6115832201401741E-2</v>
      </c>
      <c r="E30" s="146">
        <f>SUMPRODUCT(E12:E28,$H$12:$H$28)/E29</f>
        <v>0.10308958416562204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1.6584969271833682E-2</v>
      </c>
      <c r="E31" s="146">
        <f>SUM(E21:E24)/E29</f>
        <v>1.8509697790990525E-2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613232690.3861897</v>
      </c>
      <c r="E32" s="123">
        <f>SUMPRODUCT(E12:E28,$I$12:$I$28)</f>
        <v>589576274.22046375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22.015053584864212</v>
      </c>
      <c r="E33" s="123">
        <f>E32*[1]Energiindhold!$C$10</f>
        <v>21.165788244514651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9977669.5163589027</v>
      </c>
      <c r="E39" s="130">
        <f>SUMIFS('Resultater - Vestdanmark'!J$3:J$504,'Resultater - Vestdanmark'!$F$3:$F$504,$A39)*D3</f>
        <v>7929633.2373210462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1445735.5285030538</v>
      </c>
      <c r="M39" s="130">
        <f>SUMIFS('Resultater - Østdanmark'!J$3:J$504,'Resultater - Østdanmark'!$F$3:$F$504,$A39)*D3</f>
        <v>1148980.9800171934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9009806.0293707736</v>
      </c>
      <c r="E40" s="133">
        <f>SUMIFS('Resultater - Vestdanmark'!J$3:J$504,'Resultater - Vestdanmark'!$F$3:$F$504,$A40)*D4</f>
        <v>8219043.3773405757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640363.0421431124</v>
      </c>
      <c r="M40" s="133">
        <f>SUMIFS('Resultater - Østdanmark'!J$3:J$504,'Resultater - Østdanmark'!$F$3:$F$504,$A40)*D4</f>
        <v>584160.36965310562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6378.7778834779092</v>
      </c>
      <c r="E41" s="133">
        <f>SUMIFS('Resultater - Vestdanmark'!J$3:J$504,'Resultater - Vestdanmark'!$F$3:$F$504,$A41)*D5</f>
        <v>7248.3183239111104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535.36847327443161</v>
      </c>
      <c r="M41" s="133">
        <f>SUMIFS('Resultater - Østdanmark'!J$3:J$504,'Resultater - Østdanmark'!$F$3:$F$504,$A41)*D5</f>
        <v>608.34868148185114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1496565.9593185934</v>
      </c>
      <c r="E42" s="133">
        <f>SUMIFS('Resultater - Vestdanmark'!J$3:J$504,'Resultater - Vestdanmark'!$F$3:$F$504,$A42)*D6</f>
        <v>1550485.0057694039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1267479.8701336605</v>
      </c>
      <c r="M42" s="133">
        <f>SUMIFS('Resultater - Østdanmark'!J$3:J$504,'Resultater - Østdanmark'!$F$3:$F$504,$A42)*D6</f>
        <v>1326573.9865508091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1155908.5188095337</v>
      </c>
      <c r="E43" s="133">
        <f>SUMIFS('Resultater - Vestdanmark'!J$3:J$504,'Resultater - Vestdanmark'!$F$3:$F$504,$A43)*D7</f>
        <v>1377347.6384924836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157618.54220858568</v>
      </c>
      <c r="M43" s="133">
        <f>SUMIFS('Resultater - Østdanmark'!J$3:J$504,'Resultater - Østdanmark'!$F$3:$F$504,$A43)*D7</f>
        <v>191268.62437676211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98989.038336157857</v>
      </c>
      <c r="E44" s="133">
        <f>SUMIFS('Resultater - Vestdanmark'!J$3:J$504,'Resultater - Vestdanmark'!$F$3:$F$504,$A44)*D8</f>
        <v>116987.04530636841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12150.027943374665</v>
      </c>
      <c r="M44" s="133">
        <f>SUMIFS('Resultater - Østdanmark'!J$3:J$504,'Resultater - Østdanmark'!$F$3:$F$504,$A44)*D8</f>
        <v>14359.12393307915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503497.02738347289</v>
      </c>
      <c r="E46" s="133">
        <f>SUMIFS('Resultater - Vestdanmark'!J$3:J$504,'Resultater - Vestdanmark'!$F$3:$F$504,$A46)/SUMIFS('Resultater - Danmark'!J$3:J$504,'Resultater - Danmark'!$F$3:$F$504,$A46)*E19</f>
        <v>491154.87282284611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216909.97261652708</v>
      </c>
      <c r="M46" s="133">
        <f>SUMIFS('Resultater - Østdanmark'!J$3:J$504,'Resultater - Østdanmark'!$F$3:$F$504,$A46)/SUMIFS('Resultater - Danmark'!J$3:J$504,'Resultater - Danmark'!$F$3:$F$504,$A46)*E19</f>
        <v>216252.12717715395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56789.135862975141</v>
      </c>
      <c r="E47" s="133">
        <f>SUMIFS('Resultater - Vestdanmark'!J$3:J$504,'Resultater - Vestdanmark'!$F$3:$F$504,$A47)/SUMIFS('Resultater - Danmark'!J$3:J$504,'Resultater - Danmark'!$F$3:$F$504,$A47)*E20</f>
        <v>56109.242929260465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19144.864137024841</v>
      </c>
      <c r="M47" s="133">
        <f>SUMIFS('Resultater - Østdanmark'!J$3:J$504,'Resultater - Østdanmark'!$F$3:$F$504,$A47)/SUMIFS('Resultater - Danmark'!J$3:J$504,'Resultater - Danmark'!$F$3:$F$504,$A47)*E20</f>
        <v>19824.75707073955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22961905.479225729</v>
      </c>
      <c r="E56" s="142">
        <f ca="1">SUM(E39:E55)</f>
        <v>20404661.14500346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4058584.7402567738</v>
      </c>
      <c r="M56" s="142">
        <f ca="1">SUM(M39:M55)</f>
        <v>3806106.9107627654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9.3309864317310295E-2</v>
      </c>
      <c r="E57" s="146">
        <f ca="1">SUMPRODUCT(E39:E55,$F$39:$F$55)/E56</f>
        <v>0.10021635860319138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0.11199091513195446</v>
      </c>
      <c r="M57" s="146">
        <f ca="1">SUMPRODUCT(M39:M55,$N$39:$N$55)/M56</f>
        <v>0.11849303850075255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1.5111282083072832E-2</v>
      </c>
      <c r="E58" s="146">
        <f ca="1">SUM(E48:E51)/E56</f>
        <v>1.6904613793153361E-2</v>
      </c>
      <c r="I58" s="145" t="s">
        <v>160</v>
      </c>
      <c r="K58" s="146">
        <f ca="1">SUM(K48:K51)/K56</f>
        <v>1.898804560837036E-2</v>
      </c>
      <c r="L58" s="146">
        <f ca="1">SUM(L48:L51)/L56</f>
        <v>2.4922522409169891E-2</v>
      </c>
      <c r="M58" s="146">
        <f ca="1">SUM(M48:M51)/M56</f>
        <v>2.7114604550840644E-2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497112590.01230407</v>
      </c>
      <c r="E59" s="123">
        <f ca="1">SUMPRODUCT(E39:E55,$I$12:$I$28)</f>
        <v>474386641.36319071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116120100.3738855</v>
      </c>
      <c r="M59" s="123">
        <f ca="1">SUMPRODUCT(M39:M55,$I$12:$I$28)</f>
        <v>115189632.85727306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17.846341981441718</v>
      </c>
      <c r="E60" s="123">
        <f ca="1">E59*[1]Energiindhold!$C$10</f>
        <v>17.030480424938549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4.1687116034224898</v>
      </c>
      <c r="M60" s="123">
        <f ca="1">M59*[1]Energiindhold!$C$10</f>
        <v>4.135307819576103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7413930.9012285359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5892132.706660063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1074257.1992587138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853753.03107673128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1180023.4987714642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2701821.6933399374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170982.00074128609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391486.16892326873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837909.83552613179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640650.31074190955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59553.611872443544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45533.586472257317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276061.36447386816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473320.88925809035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19620.788127556465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33640.813527742685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12943075.16659298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9929306.0386723876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1086307.5212829036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833362.99079601595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4076392.0334070176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7090161.1613276098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342130.07871709642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595074.60920398415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9977669.5163589027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9009806.0293707736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6378.7778834779092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1496565.9593185934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503497.02738347289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1155908.5188095337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98989.038336157857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56789.135862975141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7929633.2373210462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8219043.3773405757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7248.3183239111104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1550485.0057694039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491154.87282284611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1377347.6384924836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116987.04530636841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56109.242929260465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1445735.5285030538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640363.0421431124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535.36847327443161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1267479.8701336605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216909.97261652708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157618.54220858568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12150.027943374665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19144.864137024841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1148980.9800171934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584160.36965310562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608.34868148185114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1326573.9865508091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216252.12717715395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191268.62437676211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14359.12393307915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19824.75707073955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4233608.3331707381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612574.40628991346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48843.537812418457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694910.33342213533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3994630.6402774383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167919.08379882065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9799278.4862896688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1208383.1324071081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342041.58131945692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169324.26441638396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30786.229893887998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3858747.1884418358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4116008.1016937736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612574.40628991358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48843.537812418464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694910.33342213545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3994630.6402774393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167919.08379882068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9799278.4862896707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1208383.1324071086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410449.89758334839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200110.49431027201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30786.229893888001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3858747.1884418367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519637.93581515481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75188.084245687161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5995.111774486154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85294.090246098451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490305.54007415898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20610.580673115885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1202774.665099862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148318.32970425067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41982.575451583703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20783.054151551998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3778.7371184639996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473627.04956051067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505203.54870917829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75188.084245687161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5995.111774486154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85294.090246098451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490305.54007415898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20610.580673115885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1202774.665099862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148318.32970425067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50379.090541900448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24561.791270015998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3778.7371184639996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473627.04956051067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1618106.4183151526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676823.38187654421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1294353.9164493973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598575.96559689264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1108629.9462621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1001089.5588189746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708.75309816421202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437593.93926360918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18661949.492642611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737405.52785202547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881070.35970233823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913227.04192673042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805.36870265678976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521424.46314358304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16159238.717858737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670973.90228404361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160637.28094478371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71151.449127012471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59.48538591938128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59669.876693250299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3298554.7955855415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337725.32998323761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127664.55333524366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64906.707739233942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67.594297942427886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72408.836371202793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3014202.9666475481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308898.99211481115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1012878.2357779638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1197037.9150103212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124321.83476867944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146925.80472662117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669363.54215288861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2287469.9604680412</v>
      </c>
      <c r="F14">
        <f>E14-D14</f>
        <v>1618106.4183151526</v>
      </c>
      <c r="G14">
        <f t="shared" si="3"/>
        <v>1618106.4183151526</v>
      </c>
      <c r="H14">
        <f t="shared" si="1"/>
        <v>676823.38187654421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94332.948382711998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771156.33025925618</v>
      </c>
      <c r="F20">
        <f t="shared" si="2"/>
        <v>676823.38187654421</v>
      </c>
      <c r="G20">
        <f t="shared" si="3"/>
        <v>676823.38187654421</v>
      </c>
      <c r="H20">
        <f t="shared" si="1"/>
        <v>1618106.4183151526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668683.64921917405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1963037.5656685715</v>
      </c>
      <c r="F26">
        <f t="shared" si="2"/>
        <v>1294353.9164493973</v>
      </c>
      <c r="G26">
        <f t="shared" si="3"/>
        <v>1294353.9164493973</v>
      </c>
      <c r="H26">
        <f t="shared" si="1"/>
        <v>598575.96559689264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95012.841316426711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693588.80691331939</v>
      </c>
      <c r="F32">
        <f t="shared" si="2"/>
        <v>598575.96559689264</v>
      </c>
      <c r="G32">
        <f t="shared" si="3"/>
        <v>598575.96559689264</v>
      </c>
      <c r="H32">
        <f t="shared" si="1"/>
        <v>1294353.9164493973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10276957.534563947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8167488.8019696474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11086299.462621003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8810703.5970233846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1421183.6004781469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1129468.6295442281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116162.97477941739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92319.131661628489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-6342395468.0739756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-5040542766.5664845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-487095.26021071477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-387113.1188275661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830541.83794744371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660063.16929778561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557720.7314634145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1276976.2404410439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604525.16059720702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1384141.2436038863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18488.847785753605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42332.690903542505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-1009474702.4940245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-2311327404.0015163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-68146.35705405206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-156030.20279038139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145410.68542482171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332937.22093944572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291364.32433273067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222771.75539497408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8454921.8537361044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6464476.3472592859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165692.79415526325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126685.63556914369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3164933.4004912595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2419849.3448033272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36054.946190214847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27566.942767821944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-2193647949.407413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-1677222513.5223191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-9175.1126990111425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-7015.1209026239094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2372724.3087736503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1814140.9746864284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28793.819997006951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49368.431225771186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1555973.7344536448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2667794.0720080198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12846.473537126178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22025.915469959455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594333.97686129727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1019015.0547883539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11878.817050825979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20366.820473218886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-722728652.1925869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-1239154088.0776806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-3644.0100110550597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-6247.8357382067925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653718.88720650598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1120833.4263184522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69068880.254617825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52986329.830381587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4396.1584994683872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3372.5217982507202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97434.911700979617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74747.387670832293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143938.4813058619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110422.69423857788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6079.0998913831481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4663.5936579430609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-239188029.07863829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-183493575.59466574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-5669.0669229677251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-4349.0360449385053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9235.9270479744009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7085.3599341592808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1523328.8564772657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2649560.4460048978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2691.3724821737342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4681.1652283171798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10134.097150344529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17626.465126917614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18657.468967809429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32451.35913330573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1914.5986597899678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3330.104893230055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-75331724.777361691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-131026178.26133423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-3363.0234275607895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-5849.3829580952779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3199.7175980506859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5565.3414232473178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2414113.3249857947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2208358.0486685289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93981.68443381392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85971.609989792036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12349.193334603149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11296.669552658674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1251172.3679329483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1144534.7409333601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1045042.3768795731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910951.47949379648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20021.371038551322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17452.399991205632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93200.898790897816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81242.156798684242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91961.368154666736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80161.672129417377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79813.161636948731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67842.62430101003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38710.030178050103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32904.222564144664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5109.5946266766214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4343.247422836137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52518.871352676142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44641.986168898009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133226.90275652017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105000.21796965669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491.40523418261427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387.29157274565159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3809795949.3686395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3703968284.1083999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116410431.78626397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116410431.78626399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52913832.630119994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52913832.630120002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105827665.26023999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105827665.26024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1058276652.6023998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1058276652.6024001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169324264.41638398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169324264.41638401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1629746045.0076957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1629746045.0076959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116410431.78626396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116410431.786264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105827665.26023999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126993198.312288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465641727.14505589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550303859.353248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84662132.208191991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84662132.208192006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2867929728.5525036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2867929728.5525041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9120335.2195938081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9011144.4144392312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119732034.19630682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95155598.847852558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-126991.78698678248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-100925.20034925581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127038265.01412791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115888511.62050211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-265125.74840273446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-241856.48608509952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83561.990273560601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94952.970043235546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69354511.128572017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82640858.309549019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51656277.524407402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50390034.177259892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1566249.4458515516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1851022.072370016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20802266.83452845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21551741.580194715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21108879.707052212</v>
      </c>
      <c r="J474" s="283">
        <f ca="1">SUMIFS('Forbrug af biomasse'!$E$1:$E$425,'Forbrug af biomasse'!$A$1:$A$425,"Biogas",'Forbrug af biomasse'!$B$1:$B$425,$A$1,'Forbrug af biomasse'!$D$1:$D$425,J$2)*'[1]Processer - data'!J474</f>
        <v>18758004.990601681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5875738.71518913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4669672.9064223925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8008716.4705517972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7305816.3354138434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4961.271687149484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5637.5809185975286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6126315.1496905284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7299942.4840101628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130633646.44849828</v>
      </c>
      <c r="J479" s="283">
        <f ca="1">J474*'[1]Processer - data'!J$479*Biogasanlæg!AC$3</f>
        <v>113114671.02501117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117984884.45632407</v>
      </c>
      <c r="J480" s="283">
        <f ca="1">-SUMIFS('Resultater - Vestdanmark'!J$3:J$504,'Resultater - Vestdanmark'!$F$3:$F$504,"Gødning",'Resultater - Vestdanmark'!$A$3:$A$504,"&lt;&gt;Gødning")-SUM(J475:J479)</f>
        <v>107355824.36544697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16.724434575815756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13.378191414721073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17.832264961921236</v>
      </c>
      <c r="J489" s="283">
        <f ca="1">SUM(J455:J473)*'[1]Processer - data'!$H$489</f>
        <v>17.018174562395554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169324.26441638396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200110.49431027201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348608.7796807905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411992.19416820712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494945.19168078923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584935.22653184202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1489101.4989298035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1183445.5651491056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1606372.8094478375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1276645.533352437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205925.40375970895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163656.74603518387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16831.679928851132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13376.775847800744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-918994806.24985182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-730360105.49521136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-70578.697991297493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-56091.574141741243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120343.1163018743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95641.249025691723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80812.125029534363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185030.17331181242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87593.951785680576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200558.07311152457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2678.9807059778659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6133.8847870282552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-146269972.17414802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-334904672.92878872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-9874.2105428092727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-22608.326255318771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21069.588825122995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48241.642828923854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20708.430846730465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15833.281928961755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600925.19879907486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459456.25533985585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11776.451277704915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9004.0561055847866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224944.5075634408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171988.39607810022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2562.5695993240643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1959.2931607896521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-155911355.88205719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-119206929.38436966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-652.11205000325674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-498.59277187121762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168639.03080489743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128938.27343670391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2046.492245015874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3508.8123653840412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110589.29247105011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189610.82205248377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913.05038623785151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1565.4701322482645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42241.698903532779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72425.486003439815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844.27515963511121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1447.551598169523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-51367223.317942828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-88071649.815630347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-258.99440328374533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-444.05873856620343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46462.42260414164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79662.125940695478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5796925.6255914811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4447123.104753755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368.96796018386669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283.05450968764427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8177.6761746313223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6273.5206570269893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12080.70360652596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9267.7359690606554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510.21661001277448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391.41369432101897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-20074962.99330806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-15400548.069910375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-475.80269432191176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-365.01298996865495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775.16794804150163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594.67164397993861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127852.42864460117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222376.63024763588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225.8858990099462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392.88846973663465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850.55103320772457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1479.3827119557479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1565.9144837655188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2723.6305938600317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160.69155881410896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279.4944745058645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-6322563.8546919422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-10996978.778089628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-282.25731494160453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-490.93655259328693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268.5511169490245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467.09705141674385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171580.71414930237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156956.86162128934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6679.65516167434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6110.3470520385017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877.70668824400832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802.89960263785906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88925.837155996895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81346.673408212213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151423.62558400567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131994.24138946694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2901.0389041567191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2528.8024105793384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13504.541361036143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11771.754145945682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13324.936947748138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11615.195034441655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5672.6414333767643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4821.8473452975177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2751.2770647293305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2338.6350374072649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363.15937863595173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308.69200995016524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3732.7267778783889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3172.8849630320774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11181.684772655934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8812.629537313207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41.243459921192581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32.505238746429391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467618718.40991992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454629309.56519991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14288349.729191998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14288349.729191998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6494704.4223599993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6494704.4223599993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12989408.844719999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12989408.844719999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129894088.4472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129894088.4472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20783054.151551999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20783054.151551999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200036896.20868799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200036896.20868799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14288349.729191998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14288349.729191998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12989408.844719999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15587290.613664001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57153398.916767992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67544925.992543995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10391527.075776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10391527.075776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352012979.691912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352012979.691912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3074665.1804061895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3183855.9855607715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17348826.342036646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13787771.760206319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-18400.743577833204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-14623.770373129633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9029118.8942178842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8236661.212108789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-18843.550043607465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-17189.71026530677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7013.3269998950536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7969.3677274122501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9457112.5325151403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11476117.462605726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22253878.640592597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22186386.987740107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192243.25090185599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227196.569247648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17617970.19485788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18439378.413056247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3731056.9517180524</v>
      </c>
      <c r="J474" s="283">
        <f ca="1">SUMIFS('Forbrug af biomasse'!$E$1:$E$425,'Forbrug af biomasse'!$A$1:$A$425,"Biogas",'Forbrug af biomasse'!$B$1:$B$425,$A$1,'Forbrug af biomasse'!$D$1:$D$425,J$2)*'[1]Processer - data'!J474</f>
        <v>3498954.0830642101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851377.58900735364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676622.1326767914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569211.59301609977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519253.66191387153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416.39770143566898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473.1600855969952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835378.27370550414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1013723.7091968391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23089883.569098789</v>
      </c>
      <c r="J479" s="283">
        <f ca="1">J474*'[1]Processer - data'!J$479*Biogasanlæg!AC$3</f>
        <v>21099420.766532838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54036052.797318019</v>
      </c>
      <c r="J480" s="283">
        <f ca="1">-SUMIFS('Resultater - Østdanmark'!J$3:J$504,'Resultater - Østdanmark'!$F$3:$F$504,"Gødning",'Resultater - Østdanmark'!$A$3:$A$504,"&lt;&gt;Gødning")-SUM(J475:J479)</f>
        <v>49423838.738369785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6.9955154008739449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6.186765259669837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4.1673745332814809</v>
      </c>
      <c r="J489" s="283">
        <f ca="1">SUM(J455:J473)*'[1]Processer - data'!$H$489</f>
        <v>4.134165715621184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20783.054151551998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24561.791270015998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42788.640900254119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50568.393791209412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60750.139716873324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71795.619665395745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10093627.424202941</v>
      </c>
      <c r="O3" s="98">
        <f ca="1">SUMIF($F$3:$F$509,$L$3,J$3:J$509)</f>
        <v>8878440.9837988392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1117365.2284992626</v>
      </c>
      <c r="O4" s="98">
        <f t="shared" si="0"/>
        <v>1136883.2820918469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3241544.6493891953</v>
      </c>
      <c r="O5" s="98">
        <f t="shared" si="0"/>
        <v>3143574.8003822798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13479.363711015614</v>
      </c>
      <c r="O6" s="98">
        <f t="shared" si="0"/>
        <v>13712.470052803281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11766059.033493752</v>
      </c>
      <c r="J95" s="277">
        <f>'Resultater - Vestdanmark'!J95+'Resultater - Østdanmark'!J95</f>
        <v>9350934.3671187535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12692672.272068841</v>
      </c>
      <c r="J96" s="277">
        <f>'Resultater - Vestdanmark'!J96+'Resultater - Østdanmark'!J96</f>
        <v>10087349.130375821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1627109.0042378558</v>
      </c>
      <c r="J97" s="277">
        <f>'Resultater - Vestdanmark'!J97+'Resultater - Østdanmark'!J97</f>
        <v>1293125.3755794119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132994.65470826853</v>
      </c>
      <c r="J98" s="277">
        <f>'Resultater - Vestdanmark'!J98+'Resultater - Østdanmark'!J98</f>
        <v>105695.90750942923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-7261390274.3238277</v>
      </c>
      <c r="J99" s="277">
        <f>'Resultater - Vestdanmark'!J99+'Resultater - Østdanmark'!J99</f>
        <v>-5770902872.0616961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-557673.95820201223</v>
      </c>
      <c r="J100" s="277">
        <f>'Resultater - Vestdanmark'!J100+'Resultater - Østdanmark'!J100</f>
        <v>-443204.69296930736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950884.95424931799</v>
      </c>
      <c r="J101" s="277">
        <f>'Resultater - Vestdanmark'!J101+'Resultater - Østdanmark'!J101</f>
        <v>755704.41832347738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638532.85649294883</v>
      </c>
      <c r="J102" s="277">
        <f>'Resultater - Vestdanmark'!J102+'Resultater - Østdanmark'!J102</f>
        <v>1462006.4137528562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692119.11238288763</v>
      </c>
      <c r="J104" s="277">
        <f>'Resultater - Vestdanmark'!J104+'Resultater - Østdanmark'!J104</f>
        <v>1584699.3167154109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21167.82849173147</v>
      </c>
      <c r="J105" s="277">
        <f>'Resultater - Vestdanmark'!J105+'Resultater - Østdanmark'!J105</f>
        <v>48466.57569057076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-1155744674.6681726</v>
      </c>
      <c r="J106" s="277">
        <f>'Resultater - Vestdanmark'!J106+'Resultater - Østdanmark'!J106</f>
        <v>-2646232076.930305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-78020.567596861336</v>
      </c>
      <c r="J107" s="277">
        <f>'Resultater - Vestdanmark'!J107+'Resultater - Østdanmark'!J107</f>
        <v>-178638.52904570015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166480.27424994472</v>
      </c>
      <c r="J108" s="277">
        <f>'Resultater - Vestdanmark'!J108+'Resultater - Østdanmark'!J108</f>
        <v>381178.86376836954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312072.75517946115</v>
      </c>
      <c r="J109" s="277">
        <f>'Resultater - Vestdanmark'!J109+'Resultater - Østdanmark'!J109</f>
        <v>238605.03732393583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9055847.05253518</v>
      </c>
      <c r="J110" s="277">
        <f>'Resultater - Vestdanmark'!J110+'Resultater - Østdanmark'!J110</f>
        <v>6923932.6025991421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177469.24543296816</v>
      </c>
      <c r="J111" s="277">
        <f>'Resultater - Vestdanmark'!J111+'Resultater - Østdanmark'!J111</f>
        <v>135689.69167472847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3389877.9080547001</v>
      </c>
      <c r="J112" s="277">
        <f>'Resultater - Vestdanmark'!J112+'Resultater - Østdanmark'!J112</f>
        <v>2591837.7408814277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38617.515789538913</v>
      </c>
      <c r="J113" s="277">
        <f>'Resultater - Vestdanmark'!J113+'Resultater - Østdanmark'!J113</f>
        <v>29526.235928611597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-2349559305.2894702</v>
      </c>
      <c r="J114" s="277">
        <f>'Resultater - Vestdanmark'!J114+'Resultater - Østdanmark'!J114</f>
        <v>-1796429442.9066887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-9827.2247490144</v>
      </c>
      <c r="J115" s="277">
        <f>'Resultater - Vestdanmark'!J115+'Resultater - Østdanmark'!J115</f>
        <v>-7513.7136744951267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2541363.3395785475</v>
      </c>
      <c r="J116" s="277">
        <f>'Resultater - Vestdanmark'!J116+'Resultater - Østdanmark'!J116</f>
        <v>1943079.2481231324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30840.312242022825</v>
      </c>
      <c r="J117" s="277">
        <f>'Resultater - Vestdanmark'!J117+'Resultater - Østdanmark'!J117</f>
        <v>52877.243591155231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1666563.0269246949</v>
      </c>
      <c r="J118" s="277">
        <f>'Resultater - Vestdanmark'!J118+'Resultater - Østdanmark'!J118</f>
        <v>2857404.8940605037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13759.52392336403</v>
      </c>
      <c r="J119" s="277">
        <f>'Resultater - Vestdanmark'!J119+'Resultater - Østdanmark'!J119</f>
        <v>23591.38560220772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636575.67576483008</v>
      </c>
      <c r="J120" s="277">
        <f>'Resultater - Vestdanmark'!J120+'Resultater - Østdanmark'!J120</f>
        <v>1091440.5407917937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12723.092210461091</v>
      </c>
      <c r="J121" s="277">
        <f>'Resultater - Vestdanmark'!J121+'Resultater - Østdanmark'!J121</f>
        <v>21814.37207138841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-774095875.51052976</v>
      </c>
      <c r="J122" s="277">
        <f>'Resultater - Vestdanmark'!J122+'Resultater - Østdanmark'!J122</f>
        <v>-1327225737.893311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-3903.004414338805</v>
      </c>
      <c r="J123" s="277">
        <f>'Resultater - Vestdanmark'!J123+'Resultater - Østdanmark'!J123</f>
        <v>-6691.8944767729963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700181.30981064762</v>
      </c>
      <c r="J124" s="277">
        <f>'Resultater - Vestdanmark'!J124+'Resultater - Østdanmark'!J124</f>
        <v>1200495.5522591476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74865805.880209312</v>
      </c>
      <c r="J125" s="277">
        <f>'Resultater - Vestdanmark'!J125+'Resultater - Østdanmark'!J125</f>
        <v>57433452.935135342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4765.1264596522542</v>
      </c>
      <c r="J126" s="277">
        <f>'Resultater - Vestdanmark'!J126+'Resultater - Østdanmark'!J126</f>
        <v>3655.5763079383646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105612.58787561095</v>
      </c>
      <c r="J127" s="277">
        <f>'Resultater - Vestdanmark'!J127+'Resultater - Østdanmark'!J127</f>
        <v>81020.908327859288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156019.18491238786</v>
      </c>
      <c r="J128" s="277">
        <f>'Resultater - Vestdanmark'!J128+'Resultater - Østdanmark'!J128</f>
        <v>119690.43020763854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6589.3165013959224</v>
      </c>
      <c r="J129" s="277">
        <f>'Resultater - Vestdanmark'!J129+'Resultater - Østdanmark'!J129</f>
        <v>5055.0073522640796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-259262992.07194635</v>
      </c>
      <c r="J130" s="277">
        <f>'Resultater - Vestdanmark'!J130+'Resultater - Østdanmark'!J130</f>
        <v>-198894123.66457611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-6144.8696172896371</v>
      </c>
      <c r="J131" s="277">
        <f>'Resultater - Vestdanmark'!J131+'Resultater - Østdanmark'!J131</f>
        <v>-4714.0490349071606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10011.094996015903</v>
      </c>
      <c r="J132" s="277">
        <f>'Resultater - Vestdanmark'!J132+'Resultater - Østdanmark'!J132</f>
        <v>7680.0315781392192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1651181.285121867</v>
      </c>
      <c r="J133" s="277">
        <f>'Resultater - Vestdanmark'!J133+'Resultater - Østdanmark'!J133</f>
        <v>2871937.0762525336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2917.2583811836803</v>
      </c>
      <c r="J134" s="277">
        <f>'Resultater - Vestdanmark'!J134+'Resultater - Østdanmark'!J134</f>
        <v>5074.0536980538145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10984.648183552254</v>
      </c>
      <c r="J135" s="277">
        <f>'Resultater - Vestdanmark'!J135+'Resultater - Østdanmark'!J135</f>
        <v>19105.84783887336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20223.383451574948</v>
      </c>
      <c r="J136" s="277">
        <f>'Resultater - Vestdanmark'!J136+'Resultater - Østdanmark'!J136</f>
        <v>35174.989727165761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2075.2902186040769</v>
      </c>
      <c r="J137" s="277">
        <f>'Resultater - Vestdanmark'!J137+'Resultater - Østdanmark'!J137</f>
        <v>3609.5993677359197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-81654288.632053629</v>
      </c>
      <c r="J138" s="277">
        <f>'Resultater - Vestdanmark'!J138+'Resultater - Østdanmark'!J138</f>
        <v>-142023157.03942385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-3645.2807425023939</v>
      </c>
      <c r="J139" s="277">
        <f>'Resultater - Vestdanmark'!J139+'Resultater - Østdanmark'!J139</f>
        <v>-6340.3195106885651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3468.2687149997105</v>
      </c>
      <c r="J140" s="277">
        <f>'Resultater - Vestdanmark'!J140+'Resultater - Østdanmark'!J140</f>
        <v>6032.4384746640617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2585694.0391350971</v>
      </c>
      <c r="J426" s="277">
        <f>'Resultater - Vestdanmark'!J426+'Resultater - Østdanmark'!J426</f>
        <v>2365314.9102898184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100661.33959548826</v>
      </c>
      <c r="J427" s="277">
        <f>'Resultater - Vestdanmark'!J427+'Resultater - Østdanmark'!J427</f>
        <v>92081.957041830537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13226.900022847158</v>
      </c>
      <c r="J428" s="277">
        <f>'Resultater - Vestdanmark'!J428+'Resultater - Østdanmark'!J428</f>
        <v>12099.569155296533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1340098.2050889451</v>
      </c>
      <c r="J429" s="277">
        <f>'Resultater - Vestdanmark'!J429+'Resultater - Østdanmark'!J429</f>
        <v>1225881.4143415722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1196466.0024635787</v>
      </c>
      <c r="J430" s="277">
        <f>'Resultater - Vestdanmark'!J430+'Resultater - Østdanmark'!J430</f>
        <v>1042945.7208832634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22922.40994270804</v>
      </c>
      <c r="J431" s="277">
        <f>'Resultater - Vestdanmark'!J431+'Resultater - Østdanmark'!J431</f>
        <v>19981.202401784969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106705.44015193396</v>
      </c>
      <c r="J432" s="277">
        <f>'Resultater - Vestdanmark'!J432+'Resultater - Østdanmark'!J432</f>
        <v>93013.910944629926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105286.30510241487</v>
      </c>
      <c r="J433" s="277">
        <f>'Resultater - Vestdanmark'!J433+'Resultater - Østdanmark'!J433</f>
        <v>91776.867163859031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85485.803070325492</v>
      </c>
      <c r="J434" s="277">
        <f>'Resultater - Vestdanmark'!J434+'Resultater - Østdanmark'!J434</f>
        <v>72664.471646307546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41461.307242779432</v>
      </c>
      <c r="J435" s="277">
        <f>'Resultater - Vestdanmark'!J435+'Resultater - Østdanmark'!J435</f>
        <v>35242.857601551928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5472.7540053125731</v>
      </c>
      <c r="J436" s="277">
        <f>'Resultater - Vestdanmark'!J436+'Resultater - Østdanmark'!J436</f>
        <v>4651.9394327863019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56251.598130554528</v>
      </c>
      <c r="J437" s="277">
        <f>'Resultater - Vestdanmark'!J437+'Resultater - Østdanmark'!J437</f>
        <v>47814.871131930086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144408.58752917609</v>
      </c>
      <c r="J438" s="277">
        <f>'Resultater - Vestdanmark'!J438+'Resultater - Østdanmark'!J438</f>
        <v>113812.84750696989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532.64869410380686</v>
      </c>
      <c r="J439" s="280">
        <f>'Resultater - Vestdanmark'!J439+'Resultater - Østdanmark'!J439</f>
        <v>419.79681149208096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4277414667.7785592</v>
      </c>
      <c r="J440" s="274">
        <f>'Resultater - Vestdanmark'!J440+'Resultater - Østdanmark'!J440</f>
        <v>4158597593.6735997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130698781.51545598</v>
      </c>
      <c r="J441" s="277">
        <f>'Resultater - Vestdanmark'!J441+'Resultater - Østdanmark'!J441</f>
        <v>130698781.51545599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59408537.052479997</v>
      </c>
      <c r="J443" s="277">
        <f>'Resultater - Vestdanmark'!J443+'Resultater - Østdanmark'!J443</f>
        <v>59408537.052479997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118817074.10495999</v>
      </c>
      <c r="J444" s="277">
        <f>'Resultater - Vestdanmark'!J444+'Resultater - Østdanmark'!J444</f>
        <v>118817074.10495999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1188170741.0495999</v>
      </c>
      <c r="J445" s="277">
        <f>'Resultater - Vestdanmark'!J445+'Resultater - Østdanmark'!J445</f>
        <v>1188170741.0496001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190107318.56793597</v>
      </c>
      <c r="J446" s="277">
        <f>'Resultater - Vestdanmark'!J446+'Resultater - Østdanmark'!J446</f>
        <v>190107318.567936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1829782941.2163837</v>
      </c>
      <c r="J449" s="277">
        <f>'Resultater - Vestdanmark'!J449+'Resultater - Østdanmark'!J449</f>
        <v>1829782941.2163839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130698781.51545596</v>
      </c>
      <c r="J450" s="277">
        <f>'Resultater - Vestdanmark'!J450+'Resultater - Østdanmark'!J450</f>
        <v>130698781.51545601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142580488.92595202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617848785.34579206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95053659.283967987</v>
      </c>
      <c r="J453" s="277">
        <f>'Resultater - Vestdanmark'!J453+'Resultater - Østdanmark'!J453</f>
        <v>95053659.283968002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3219942708.2444158</v>
      </c>
      <c r="J454" s="277">
        <f>'Resultater - Vestdanmark'!J454+'Resultater - Østdanmark'!J454</f>
        <v>3219942708.2444162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137080860.53834346</v>
      </c>
      <c r="J458" s="277">
        <f>'Resultater - Vestdanmark'!J458+'Resultater - Østdanmark'!J458</f>
        <v>108943370.60805887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-145392.53056461568</v>
      </c>
      <c r="J459" s="283">
        <f>'Resultater - Vestdanmark'!J459+'Resultater - Østdanmark'!J459</f>
        <v>-115548.97072238545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136067383.90834579</v>
      </c>
      <c r="J460" s="277">
        <f>'Resultater - Vestdanmark'!J460+'Resultater - Østdanmark'!J460</f>
        <v>124125172.83261091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-283969.29844634194</v>
      </c>
      <c r="J461" s="283">
        <f>'Resultater - Vestdanmark'!J461+'Resultater - Østdanmark'!J461</f>
        <v>-259046.19635040627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90575.317273455657</v>
      </c>
      <c r="J462" s="277">
        <f>'Resultater - Vestdanmark'!J462+'Resultater - Østdanmark'!J462</f>
        <v>102922.33777064779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78811623.661087155</v>
      </c>
      <c r="J463" s="277">
        <f>'Resultater - Vestdanmark'!J463+'Resultater - Østdanmark'!J463</f>
        <v>94116975.772154748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72576421.164999992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1758492.6967534076</v>
      </c>
      <c r="J471" s="277">
        <f>'Resultater - Vestdanmark'!J471+'Resultater - Østdanmark'!J471</f>
        <v>2078218.6416176641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38420237.029386327</v>
      </c>
      <c r="J473" s="277">
        <f>'Resultater - Vestdanmark'!J473+'Resultater - Østdanmark'!J473</f>
        <v>39991119.993250966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24839936.658770263</v>
      </c>
      <c r="J474" s="283">
        <f ca="1">'Resultater - Vestdanmark'!J474+'Resultater - Østdanmark'!J474</f>
        <v>22256959.073665891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6727116.3041964835</v>
      </c>
      <c r="J475" s="283">
        <f>'Resultater - Vestdanmark'!J475+'Resultater - Østdanmark'!J475</f>
        <v>5346295.0390991839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8577928.0635678973</v>
      </c>
      <c r="J476" s="283">
        <f>'Resultater - Vestdanmark'!J476+'Resultater - Østdanmark'!J476</f>
        <v>7825069.9973277152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5377.6693885851528</v>
      </c>
      <c r="J477" s="283">
        <f>'Resultater - Vestdanmark'!J477+'Resultater - Østdanmark'!J477</f>
        <v>6110.7410041945241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6961693.4233960323</v>
      </c>
      <c r="J478" s="283">
        <f>'Resultater - Vestdanmark'!J478+'Resultater - Østdanmark'!J478</f>
        <v>8313666.1932070022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153723530.01759708</v>
      </c>
      <c r="J479" s="283">
        <f ca="1">'Resultater - Vestdanmark'!J479+'Resultater - Østdanmark'!J479</f>
        <v>134214091.79154401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172020937.25364208</v>
      </c>
      <c r="J480" s="283">
        <f ca="1">'Resultater - Vestdanmark'!J480+'Resultater - Østdanmark'!J480</f>
        <v>156779663.10381675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23.719949976689701</v>
      </c>
      <c r="J481" s="287">
        <f>'Resultater - Vestdanmark'!J481+'Resultater - Østdanmark'!J481</f>
        <v>19.56495667439091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21.999639495202718</v>
      </c>
      <c r="J489" s="290">
        <f ca="1">'Resultater - Vestdanmark'!J489+'Resultater - Østdanmark'!J489</f>
        <v>21.152340278016737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190107.31856793596</v>
      </c>
      <c r="J490" s="293">
        <f>'Resultater - Vestdanmark'!J490+'Resultater - Østdanmark'!J490</f>
        <v>224672.28558028801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391397.42058104463</v>
      </c>
      <c r="J491" s="293">
        <f>'Resultater - Vestdanmark'!J491+'Resultater - Østdanmark'!J491</f>
        <v>462560.58795941656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555695.33139766252</v>
      </c>
      <c r="J492" s="293">
        <f>'Resultater - Vestdanmark'!J492+'Resultater - Østdanmark'!J492</f>
        <v>656730.84619723773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162595.95027367133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130016.16572067147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48843.537812418457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165318.30982246876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497112590.01230407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497112590.01230407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497112590.01230407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21108879.707052212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18661949.492642611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2446930.2144096009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494945.19168078923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98989.038336157857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395956.15334463137</v>
      </c>
      <c r="O56" s="190">
        <f t="shared" si="1"/>
        <v>395956.15334463137</v>
      </c>
      <c r="P56" s="200">
        <f t="shared" si="10"/>
        <v>98989.038336157857</v>
      </c>
      <c r="Q56" s="187">
        <f>IFERROR(VLOOKUP(A56,[1]Energiindhold!$A$2:$C$11,3,FALSE),IFERROR(VLOOKUP(A56,[1]Biogasudbytte!$A$2:$B$18,2,FALSE)*[1]Energiindhold!$C$10,0))*O56</f>
        <v>0.22491342042428281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0.28114177553035352</v>
      </c>
      <c r="S56" s="187">
        <f>IFERROR(VLOOKUP(A56,[1]Biogasudbytte!$A$2:$B$18,2,FALSE)*[1]Energiindhold!$C$10,0)*J56*IFERROR(VLOOKUP(A56,Biogasanlæg!$F$3:$G$8,2,FALSE),1)</f>
        <v>5.6228355106070715E-2</v>
      </c>
      <c r="T56" s="188">
        <f t="shared" si="11"/>
        <v>0.22491342042428281</v>
      </c>
      <c r="U56" s="186">
        <f>O56*IFERROR(VLOOKUP(A56,[1]Tørstofindhold!A$2:B$24,2,FALSE),0)</f>
        <v>16932.426441638392</v>
      </c>
      <c r="V56" s="187">
        <f>IF(D56=År1,P56,SUM(O56,P56))*IFERROR(VLOOKUP(A56,[1]Tørstofindhold!A$2:B$24,2,FALSE),0)</f>
        <v>21165.533052047991</v>
      </c>
      <c r="W56" s="187">
        <f>J56*IFERROR(VLOOKUP(A56,[1]Tørstofindhold!A$2:B$24,2,FALSE),0)</f>
        <v>4233.1066104095989</v>
      </c>
      <c r="X56" s="188">
        <f t="shared" si="12"/>
        <v>16932.426441638392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2311817.0376190674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1155908.5188095337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437593.93926360918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718314.57954592444</v>
      </c>
      <c r="O57" s="190">
        <f t="shared" si="1"/>
        <v>718314.57954592444</v>
      </c>
      <c r="P57" s="200">
        <f t="shared" si="10"/>
        <v>1155908.5188095337</v>
      </c>
      <c r="Q57" s="187">
        <f>IFERROR(VLOOKUP(A57,[1]Energiindhold!$A$2:$C$11,3,FALSE),IFERROR(VLOOKUP(A57,[1]Biogasudbytte!$A$2:$B$18,2,FALSE)*[1]Energiindhold!$C$10,0))*O57</f>
        <v>1.5472496043419213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4.0370765538576574</v>
      </c>
      <c r="S57" s="187">
        <f>IFERROR(VLOOKUP(A57,[1]Biogasudbytte!$A$2:$B$18,2,FALSE)*[1]Energiindhold!$C$10,0)*J57*IFERROR(VLOOKUP(A57,Biogasanlæg!$F$3:$G$8,2,FALSE),1)</f>
        <v>2.4898269495157357</v>
      </c>
      <c r="T57" s="188">
        <f t="shared" si="11"/>
        <v>1.5472496043419217</v>
      </c>
      <c r="U57" s="186">
        <f>O57*IFERROR(VLOOKUP(A57,[1]Tørstofindhold!A$2:B$24,2,FALSE),0)</f>
        <v>215494.37386377732</v>
      </c>
      <c r="V57" s="187">
        <f>IF(D57=År1,P57,SUM(O57,P57))*IFERROR(VLOOKUP(A57,[1]Tørstofindhold!A$2:B$24,2,FALSE),0)</f>
        <v>562266.92950663739</v>
      </c>
      <c r="W57" s="187">
        <f>J57*IFERROR(VLOOKUP(A57,[1]Tørstofindhold!A$2:B$24,2,FALSE),0)</f>
        <v>346772.55564286007</v>
      </c>
      <c r="X57" s="188">
        <f t="shared" si="12"/>
        <v>215494.37386377732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348608.7796807905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342041.58131945692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6567.198361333576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7087.5309816421213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6378.7778834779092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708.75309816421202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6378.7778834779092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2.9998754508208259E-3</v>
      </c>
      <c r="S59" s="187">
        <f>IFERROR(VLOOKUP(A59,[1]Biogasudbytte!$A$2:$B$18,2,FALSE)*[1]Energiindhold!$C$10,0)*J59*IFERROR(VLOOKUP(A59,Biogasanlæg!$F$3:$G$8,2,FALSE),1)</f>
        <v>2.9998754508208259E-3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401.86300665910829</v>
      </c>
      <c r="W59" s="187">
        <f>J59*IFERROR(VLOOKUP(A59,[1]Tørstofindhold!A$2:B$24,2,FALSE),0)</f>
        <v>401.86300665910829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133226.90275652017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97932.13615743698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9799278.4862896688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1012878.2357779638</v>
      </c>
      <c r="N64" s="199">
        <f t="shared" si="9"/>
        <v>16257769.44157272</v>
      </c>
      <c r="O64" s="190">
        <f t="shared" si="1"/>
        <v>16257769.44157272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29.912263551313611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30.034912507715884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29.912263551313611</v>
      </c>
      <c r="U64" s="186">
        <f>O64*IFERROR(VLOOKUP(A64,[1]Tørstofindhold!A$2:B$24,2,FALSE),0)</f>
        <v>4552175.4436403625</v>
      </c>
      <c r="V64" s="187">
        <f>IF(D64=År1,P64,SUM(O64,P64))*IFERROR(VLOOKUP(A64,[1]Tørstofindhold!A$2:B$24,2,FALSE),0)</f>
        <v>4570840.6832857933</v>
      </c>
      <c r="W64" s="187">
        <f>J64*IFERROR(VLOOKUP(A64,[1]Tørstofindhold!A$2:B$24,2,FALSE),0)</f>
        <v>18665.239645430738</v>
      </c>
      <c r="X64" s="188">
        <f t="shared" si="12"/>
        <v>4552175.4436403625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169324.26441638396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169324.26441638396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612574.40628991346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577092.83032536146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56789.135862975141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1618106.4183151526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1674895.5541781278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17.051854610199175</v>
      </c>
      <c r="S67" s="187">
        <f>IFERROR(VLOOKUP(A67,[1]Biogasudbytte!$A$2:$B$18,2,FALSE)*[1]Energiindhold!$C$10,0)*J67*IFERROR(VLOOKUP(A67,Biogasanlæg!$F$3:$G$8,2,FALSE),1)</f>
        <v>0.32742003438341771</v>
      </c>
      <c r="T67" s="188">
        <f t="shared" si="11"/>
        <v>16.724434575815756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1423661.2210514087</v>
      </c>
      <c r="W67" s="187">
        <f>J67*IFERROR(VLOOKUP(A67,[1]Tørstofindhold!A$2:B$24,2,FALSE),0)</f>
        <v>48270.76548352887</v>
      </c>
      <c r="X67" s="188">
        <f t="shared" si="12"/>
        <v>1375390.4555678798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3858747.1884418358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-3858747.1884418358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452422.32380282454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503497.02738347289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-51074.703580648347</v>
      </c>
      <c r="O70" s="190">
        <f t="shared" si="20"/>
        <v>0</v>
      </c>
      <c r="P70" s="200">
        <f t="shared" si="10"/>
        <v>503497.02738347289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1.8544603631262258</v>
      </c>
      <c r="S70" s="187">
        <f>IFERROR(VLOOKUP(A70,[1]Biogasudbytte!$A$2:$B$18,2,FALSE)*[1]Energiindhold!$C$10,0)*J70*IFERROR(VLOOKUP(A70,Biogasanlæg!$F$3:$G$8,2,FALSE),1)</f>
        <v>1.8544603631262258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211468.75150105861</v>
      </c>
      <c r="W70" s="187">
        <f>J70*IFERROR(VLOOKUP(A70,[1]Tørstofindhold!A$2:B$24,2,FALSE),0)</f>
        <v>211468.75150105861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4233608.3331707381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646799.5424016742</v>
      </c>
      <c r="O73" s="190">
        <f t="shared" si="20"/>
        <v>646799.5424016742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2.2151978807897983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2.2251944458164243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2.2151978807897983</v>
      </c>
      <c r="U73" s="186">
        <f>O73*IFERROR(VLOOKUP(A73,[1]Tørstofindhold!A$2:B$24,2,FALSE),0)</f>
        <v>200507.85814451901</v>
      </c>
      <c r="V73" s="187">
        <f>IF(D73=År1,P73,SUM(O73,P73))*IFERROR(VLOOKUP(A73,[1]Tørstofindhold!A$2:B$24,2,FALSE),0)</f>
        <v>201412.69371685013</v>
      </c>
      <c r="W73" s="187">
        <f>J73*IFERROR(VLOOKUP(A73,[1]Tørstofindhold!A$2:B$24,2,FALSE),0)</f>
        <v>904.83557233113936</v>
      </c>
      <c r="X73" s="188">
        <f t="shared" si="12"/>
        <v>200507.85814451901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737405.52785202547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-737405.52785202547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10010895.588189749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9009806.0293707736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1001089.5588189746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9009806.0293707736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4.5606737140071925</v>
      </c>
      <c r="S75" s="187">
        <f>IFERROR(VLOOKUP(A75,[1]Biogasudbytte!$A$2:$B$18,2,FALSE)*[1]Energiindhold!$C$10,0)*J75*IFERROR(VLOOKUP(A75,Biogasanlæg!$F$3:$G$8,2,FALSE),1)</f>
        <v>4.5606737140071925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684745.25823217875</v>
      </c>
      <c r="W75" s="187">
        <f>J75*IFERROR(VLOOKUP(A75,[1]Tørstofindhold!A$2:B$24,2,FALSE),0)</f>
        <v>684745.25823217875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1251172.3679329483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1208383.1324071081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42789.235525840195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3994630.6402774383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1515193.5206119716</v>
      </c>
      <c r="O77" s="190">
        <f t="shared" si="20"/>
        <v>1515193.5206119716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5.4395447389969789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6.3565018108707161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5.4395447389969789</v>
      </c>
      <c r="U77" s="186">
        <f>O77*IFERROR(VLOOKUP(A77,[1]Tørstofindhold!A$2:B$24,2,FALSE),0)</f>
        <v>454558.05618359149</v>
      </c>
      <c r="V77" s="187">
        <f>IF(D77=År1,P77,SUM(O77,P77))*IFERROR(VLOOKUP(A77,[1]Tørstofindhold!A$2:B$24,2,FALSE),0)</f>
        <v>531183.99533738557</v>
      </c>
      <c r="W77" s="187">
        <f>J77*IFERROR(VLOOKUP(A77,[1]Tørstofindhold!A$2:B$24,2,FALSE),0)</f>
        <v>76625.939153794185</v>
      </c>
      <c r="X77" s="188">
        <f t="shared" si="12"/>
        <v>454558.05618359137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2414113.3249857947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1941706.4489672966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79813.161636948731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19784.908598046466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3759267.3773525567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3759267.3773525567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167919.08379882065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30605.633934715239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694910.33342213533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1197849.5748176712</v>
      </c>
      <c r="O89" s="190">
        <f t="shared" si="20"/>
        <v>1197849.5748176712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3.2510116600381522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3.3106761358821029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3.2510116600381522</v>
      </c>
      <c r="U89" s="186">
        <f>O89*IFERROR(VLOOKUP(A89,[1]Tørstofindhold!A$2:B$24,2,FALSE),0)</f>
        <v>239569.91496353425</v>
      </c>
      <c r="V89" s="187">
        <f>IF(D89=År1,P89,SUM(O89,P89))*IFERROR(VLOOKUP(A89,[1]Tørstofindhold!A$2:B$24,2,FALSE),0)</f>
        <v>243966.64278213313</v>
      </c>
      <c r="W89" s="187">
        <f>J89*IFERROR(VLOOKUP(A89,[1]Tørstofindhold!A$2:B$24,2,FALSE),0)</f>
        <v>4396.727818598878</v>
      </c>
      <c r="X89" s="188">
        <f t="shared" si="26"/>
        <v>239569.91496353425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144480.23950734286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144480.23950734286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98310.493417574442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30786.229893887998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67524.263523686444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3946131.8935543173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1496565.9593185934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2449565.9342357237</v>
      </c>
      <c r="O92" s="190">
        <f t="shared" si="20"/>
        <v>2449565.9342357237</v>
      </c>
      <c r="P92" s="200">
        <f t="shared" si="24"/>
        <v>1496565.9593185934</v>
      </c>
      <c r="Q92" s="187">
        <f>IFERROR(VLOOKUP(A92,[1]Energiindhold!$A$2:$C$11,3,FALSE),IFERROR(VLOOKUP(A92,[1]Biogasudbytte!$A$2:$B$18,2,FALSE)*[1]Energiindhold!$C$10,0))*O92</f>
        <v>1.2223578968429687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1.9691592762025401</v>
      </c>
      <c r="S92" s="187">
        <f>IFERROR(VLOOKUP(A92,[1]Biogasudbytte!$A$2:$B$18,2,FALSE)*[1]Energiindhold!$C$10,0)*J92*IFERROR(VLOOKUP(A92,Biogasanlæg!$F$3:$G$8,2,FALSE),1)</f>
        <v>0.74680137935957136</v>
      </c>
      <c r="T92" s="188">
        <f t="shared" si="25"/>
        <v>1.2223578968429687</v>
      </c>
      <c r="U92" s="186">
        <f>O92*IFERROR(VLOOKUP(A92,[1]Tørstofindhold!A$2:B$24,2,FALSE),0)</f>
        <v>146973.9560541434</v>
      </c>
      <c r="V92" s="187">
        <f>IF(D92=År1,P92,SUM(O92,P92))*IFERROR(VLOOKUP(A92,[1]Tørstofindhold!A$2:B$24,2,FALSE),0)</f>
        <v>236767.91361325901</v>
      </c>
      <c r="W92" s="187">
        <f>J92*IFERROR(VLOOKUP(A92,[1]Tørstofindhold!A$2:B$24,2,FALSE),0)</f>
        <v>89793.957559115603</v>
      </c>
      <c r="X92" s="188">
        <f t="shared" si="26"/>
        <v>146973.9560541434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11086299.462621003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9977669.5163589027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1108629.9462621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9977669.5163589027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4.2983800276474158</v>
      </c>
      <c r="S93" s="187">
        <f>IFERROR(VLOOKUP(A93,[1]Biogasudbytte!$A$2:$B$18,2,FALSE)*[1]Energiindhold!$C$10,0)*J93*IFERROR(VLOOKUP(A93,Biogasanlæg!$F$3:$G$8,2,FALSE),1)</f>
        <v>4.2983800276474158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498883.47581794515</v>
      </c>
      <c r="W93" s="187">
        <f>J93*IFERROR(VLOOKUP(A93,[1]Tørstofindhold!A$2:B$24,2,FALSE),0)</f>
        <v>498883.47581794515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1045042.3768795731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923166.83283089276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142874.05337188361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109024.0844854388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48843.537812418464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150523.91904428153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474386641.36319077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474386641.36319077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474386641.36319077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18758004.990601681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16159238.717858737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2598766.2727429438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584935.22653184202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116987.04530636841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467948.18122547364</v>
      </c>
      <c r="O104" s="190">
        <f t="shared" si="20"/>
        <v>467948.18122547364</v>
      </c>
      <c r="P104" s="200">
        <f t="shared" si="24"/>
        <v>116987.04530636841</v>
      </c>
      <c r="Q104" s="187">
        <f>IFERROR(VLOOKUP(A104,[1]Energiindhold!$A$2:$C$11,3,FALSE),IFERROR(VLOOKUP(A104,[1]Biogasudbytte!$A$2:$B$18,2,FALSE)*[1]Energiindhold!$C$10,0))*O104</f>
        <v>0.26580676959233435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0.33225846199041792</v>
      </c>
      <c r="S104" s="187">
        <f>IFERROR(VLOOKUP(A104,[1]Biogasudbytte!$A$2:$B$18,2,FALSE)*[1]Energiindhold!$C$10,0)*J104*IFERROR(VLOOKUP(A104,Biogasanlæg!$F$3:$G$8,2,FALSE),1)</f>
        <v>6.6451692398083587E-2</v>
      </c>
      <c r="T104" s="188">
        <f t="shared" si="25"/>
        <v>0.26580676959233435</v>
      </c>
      <c r="U104" s="186">
        <f>O104*IFERROR(VLOOKUP(A104,[1]Tørstofindhold!A$2:B$24,2,FALSE),0)</f>
        <v>20011.049431027201</v>
      </c>
      <c r="V104" s="187">
        <f>IF(D104=År1,P104,SUM(O104,P104))*IFERROR(VLOOKUP(A104,[1]Tørstofindhold!A$2:B$24,2,FALSE),0)</f>
        <v>25013.811788784002</v>
      </c>
      <c r="W104" s="187">
        <f>J104*IFERROR(VLOOKUP(A104,[1]Tørstofindhold!A$2:B$24,2,FALSE),0)</f>
        <v>5002.7623577568002</v>
      </c>
      <c r="X104" s="188">
        <f t="shared" si="26"/>
        <v>20011.049431027201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2754695.2769849673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1377347.6384924836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521424.46314358304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855923.17534890072</v>
      </c>
      <c r="O105" s="190">
        <f t="shared" si="20"/>
        <v>855923.17534890072</v>
      </c>
      <c r="P105" s="200">
        <f t="shared" si="24"/>
        <v>1377347.6384924836</v>
      </c>
      <c r="Q105" s="187">
        <f>IFERROR(VLOOKUP(A105,[1]Energiindhold!$A$2:$C$11,3,FALSE),IFERROR(VLOOKUP(A105,[1]Biogasudbytte!$A$2:$B$18,2,FALSE)*[1]Energiindhold!$C$10,0))*O105</f>
        <v>1.8436585197015323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4.8104653330143421</v>
      </c>
      <c r="S105" s="187">
        <f>IFERROR(VLOOKUP(A105,[1]Biogasudbytte!$A$2:$B$18,2,FALSE)*[1]Energiindhold!$C$10,0)*J105*IFERROR(VLOOKUP(A105,Biogasanlæg!$F$3:$G$8,2,FALSE),1)</f>
        <v>2.96680681331281</v>
      </c>
      <c r="T105" s="188">
        <f t="shared" si="25"/>
        <v>1.8436585197015321</v>
      </c>
      <c r="U105" s="186">
        <f>O105*IFERROR(VLOOKUP(A105,[1]Tørstofindhold!A$2:B$24,2,FALSE),0)</f>
        <v>256776.95260467019</v>
      </c>
      <c r="V105" s="187">
        <f>IF(D105=År1,P105,SUM(O105,P105))*IFERROR(VLOOKUP(A105,[1]Tørstofindhold!A$2:B$24,2,FALSE),0)</f>
        <v>669981.24415241531</v>
      </c>
      <c r="W105" s="187">
        <f>J105*IFERROR(VLOOKUP(A105,[1]Tørstofindhold!A$2:B$24,2,FALSE),0)</f>
        <v>413204.29154774506</v>
      </c>
      <c r="X105" s="188">
        <f t="shared" si="26"/>
        <v>256776.95260467025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411992.19416820712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410449.89758334839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1542.2965848587337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8053.6870265678999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7248.3183239111104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805.36870265678976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7248.3183239111104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3.4088116245521564E-3</v>
      </c>
      <c r="S107" s="187">
        <f>IFERROR(VLOOKUP(A107,[1]Biogasudbytte!$A$2:$B$18,2,FALSE)*[1]Energiindhold!$C$10,0)*J107*IFERROR(VLOOKUP(A107,Biogasanlæg!$F$3:$G$8,2,FALSE),1)</f>
        <v>3.4088116245521564E-3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456.64405440639996</v>
      </c>
      <c r="W107" s="187">
        <f>J107*IFERROR(VLOOKUP(A107,[1]Tørstofindhold!A$2:B$24,2,FALSE),0)</f>
        <v>456.64405440639996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105000.21796965669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68329.418342674806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9799278.4862896707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1197037.9150103212</v>
      </c>
      <c r="N112" s="199">
        <f t="shared" si="23"/>
        <v>15582762.648642881</v>
      </c>
      <c r="O112" s="190">
        <f t="shared" si="20"/>
        <v>15582762.648642881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28.670335428171821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28.792334678194386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28.670335428171821</v>
      </c>
      <c r="U112" s="186">
        <f>O112*IFERROR(VLOOKUP(A112,[1]Tørstofindhold!A$2:B$24,2,FALSE),0)</f>
        <v>4363173.5416200068</v>
      </c>
      <c r="V112" s="187">
        <f>IF(D112=År1,P112,SUM(O112,P112))*IFERROR(VLOOKUP(A112,[1]Tørstofindhold!A$2:B$24,2,FALSE),0)</f>
        <v>4381739.906186251</v>
      </c>
      <c r="W112" s="187">
        <f>J112*IFERROR(VLOOKUP(A112,[1]Tørstofindhold!A$2:B$24,2,FALSE),0)</f>
        <v>18566.364566244145</v>
      </c>
      <c r="X112" s="188">
        <f t="shared" si="26"/>
        <v>4363173.5416200068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200110.49431027201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200110.49431027201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612574.40628991358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566604.69726181182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56109.242929260465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1294353.9164493973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1350463.1593786578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13.701691499199441</v>
      </c>
      <c r="S115" s="187">
        <f>IFERROR(VLOOKUP(A115,[1]Biogasudbytte!$A$2:$B$18,2,FALSE)*[1]Energiindhold!$C$10,0)*J115*IFERROR(VLOOKUP(A115,Biogasanlæg!$F$3:$G$8,2,FALSE),1)</f>
        <v>0.32350008447836842</v>
      </c>
      <c r="T115" s="188">
        <f t="shared" si="25"/>
        <v>13.378191414721073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1147893.6854718591</v>
      </c>
      <c r="W115" s="187">
        <f>J115*IFERROR(VLOOKUP(A115,[1]Tørstofindhold!A$2:B$24,2,FALSE),0)</f>
        <v>47692.856489871396</v>
      </c>
      <c r="X115" s="188">
        <f t="shared" si="26"/>
        <v>1100200.8289819877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3858747.1884418367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-3858747.1884418367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442221.86498214095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491154.87282284611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-48933.007840705162</v>
      </c>
      <c r="O118" s="190">
        <f t="shared" si="20"/>
        <v>0</v>
      </c>
      <c r="P118" s="200">
        <f t="shared" si="24"/>
        <v>491154.87282284611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1.8090022269636303</v>
      </c>
      <c r="S118" s="187">
        <f>IFERROR(VLOOKUP(A118,[1]Biogasudbytte!$A$2:$B$18,2,FALSE)*[1]Energiindhold!$C$10,0)*J118*IFERROR(VLOOKUP(A118,Biogasanlæg!$F$3:$G$8,2,FALSE),1)</f>
        <v>1.8090022269636303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206285.04658559535</v>
      </c>
      <c r="W118" s="187">
        <f>J118*IFERROR(VLOOKUP(A118,[1]Tørstofindhold!A$2:B$24,2,FALSE),0)</f>
        <v>206285.04658559535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4116008.1016937736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505326.91575222276</v>
      </c>
      <c r="O121" s="190">
        <f t="shared" si="20"/>
        <v>505326.91575222276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1.7306739406831579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1.7406083819941027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1.7306739406831579</v>
      </c>
      <c r="U121" s="186">
        <f>O121*IFERROR(VLOOKUP(A121,[1]Tørstofindhold!A$2:B$24,2,FALSE),0)</f>
        <v>156651.34388318905</v>
      </c>
      <c r="V121" s="187">
        <f>IF(D121=År1,P121,SUM(O121,P121))*IFERROR(VLOOKUP(A121,[1]Tørstofindhold!A$2:B$24,2,FALSE),0)</f>
        <v>157550.55634921481</v>
      </c>
      <c r="W121" s="187">
        <f>J121*IFERROR(VLOOKUP(A121,[1]Tørstofindhold!A$2:B$24,2,FALSE),0)</f>
        <v>899.2124660257366</v>
      </c>
      <c r="X121" s="188">
        <f t="shared" si="26"/>
        <v>156651.34388318908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670973.90228404361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-670973.90228404361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9132270.4192673061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8219043.3773405757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913227.04192673042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8219043.3773405757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4.1603975671760267</v>
      </c>
      <c r="S123" s="187">
        <f>IFERROR(VLOOKUP(A123,[1]Biogasudbytte!$A$2:$B$18,2,FALSE)*[1]Energiindhold!$C$10,0)*J123*IFERROR(VLOOKUP(A123,Biogasanlæg!$F$3:$G$8,2,FALSE),1)</f>
        <v>4.1603975671760267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624647.29667788371</v>
      </c>
      <c r="W123" s="187">
        <f>J123*IFERROR(VLOOKUP(A123,[1]Tørstofindhold!A$2:B$24,2,FALSE),0)</f>
        <v>624647.29667788371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1144534.7409333601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1208383.1324071086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-63848.391473748488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3994630.6402774393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1426993.4036791716</v>
      </c>
      <c r="O125" s="190">
        <f t="shared" si="20"/>
        <v>1426993.4036791716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5.1229063192082265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6.0343542540722508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5.1229063192082265</v>
      </c>
      <c r="U125" s="186">
        <f>O125*IFERROR(VLOOKUP(A125,[1]Tørstofindhold!A$2:B$24,2,FALSE),0)</f>
        <v>428098.02110375144</v>
      </c>
      <c r="V125" s="187">
        <f>IF(D125=År1,P125,SUM(O125,P125))*IFERROR(VLOOKUP(A125,[1]Tørstofindhold!A$2:B$24,2,FALSE),0)</f>
        <v>504263.58669127437</v>
      </c>
      <c r="W125" s="187">
        <f>J125*IFERROR(VLOOKUP(A125,[1]Tørstofindhold!A$2:B$24,2,FALSE),0)</f>
        <v>76165.565587522899</v>
      </c>
      <c r="X125" s="188">
        <f t="shared" si="26"/>
        <v>428098.0211037515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2208358.0486685289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1717533.4998150789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67842.62430101003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5474.0566277354519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3438864.3995916811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3438864.3995916811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167919.08379882068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15945.572795618704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694910.33342213545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1063373.7123345486</v>
      </c>
      <c r="O137" s="190">
        <f t="shared" si="39"/>
        <v>1063373.7123345486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2.8860387902244584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2.9453095355758139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2.8860387902244584</v>
      </c>
      <c r="U137" s="186">
        <f>O137*IFERROR(VLOOKUP(A137,[1]Tørstofindhold!A$2:B$24,2,FALSE),0)</f>
        <v>212674.74246690972</v>
      </c>
      <c r="V137" s="187">
        <f>IF(D137=År1,P137,SUM(O137,P137))*IFERROR(VLOOKUP(A137,[1]Tørstofindhold!A$2:B$24,2,FALSE),0)</f>
        <v>217042.4559384397</v>
      </c>
      <c r="W137" s="187">
        <f>J137*IFERROR(VLOOKUP(A137,[1]Tørstofindhold!A$2:B$24,2,FALSE),0)</f>
        <v>4367.7134715299371</v>
      </c>
      <c r="X137" s="188">
        <f t="shared" si="26"/>
        <v>212674.74246690975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124803.65829831539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124803.65829831539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85585.404221520381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30786.229893888001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54799.174327632383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4088305.1586514716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1550485.0057694039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2537820.1528820675</v>
      </c>
      <c r="O140" s="190">
        <f t="shared" si="39"/>
        <v>2537820.1528820675</v>
      </c>
      <c r="P140" s="200">
        <f t="shared" si="24"/>
        <v>1550485.0057694039</v>
      </c>
      <c r="Q140" s="187">
        <f>IFERROR(VLOOKUP(A140,[1]Energiindhold!$A$2:$C$11,3,FALSE),IFERROR(VLOOKUP(A140,[1]Biogasudbytte!$A$2:$B$18,2,FALSE)*[1]Energiindhold!$C$10,0))*O140</f>
        <v>1.2663976344896808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2.040105157218671</v>
      </c>
      <c r="S140" s="187">
        <f>IFERROR(VLOOKUP(A140,[1]Biogasudbytte!$A$2:$B$18,2,FALSE)*[1]Energiindhold!$C$10,0)*J140*IFERROR(VLOOKUP(A140,Biogasanlæg!$F$3:$G$8,2,FALSE),1)</f>
        <v>0.77370752272899035</v>
      </c>
      <c r="T140" s="188">
        <f t="shared" si="25"/>
        <v>1.2663976344896808</v>
      </c>
      <c r="U140" s="186">
        <f>O140*IFERROR(VLOOKUP(A140,[1]Tørstofindhold!A$2:B$24,2,FALSE),0)</f>
        <v>152269.20917292405</v>
      </c>
      <c r="V140" s="187">
        <f>IF(D140=År1,P140,SUM(O140,P140))*IFERROR(VLOOKUP(A140,[1]Tørstofindhold!A$2:B$24,2,FALSE),0)</f>
        <v>245298.30951908824</v>
      </c>
      <c r="W140" s="187">
        <f>J140*IFERROR(VLOOKUP(A140,[1]Tørstofindhold!A$2:B$24,2,FALSE),0)</f>
        <v>93029.100346164225</v>
      </c>
      <c r="X140" s="188">
        <f t="shared" si="26"/>
        <v>152269.20917292402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8810703.5970233846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7929633.2373210462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881070.35970233823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7929633.2373210462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3.4160859986379073</v>
      </c>
      <c r="S141" s="187">
        <f>IFERROR(VLOOKUP(A141,[1]Biogasudbytte!$A$2:$B$18,2,FALSE)*[1]Energiindhold!$C$10,0)*J141*IFERROR(VLOOKUP(A141,Biogasanlæg!$F$3:$G$8,2,FALSE),1)</f>
        <v>3.4160859986379073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396481.66186605231</v>
      </c>
      <c r="W141" s="187">
        <f>J141*IFERROR(VLOOKUP(A141,[1]Tørstofindhold!A$2:B$24,2,FALSE),0)</f>
        <v>396481.66186605231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910951.47949379648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784324.38755108754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13646.618090291478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-14562.722034337061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5995.111774486154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56909.544946090151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116120100.37388551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116120100.37388551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116120100.37388551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3731056.9517180524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3298554.7955855415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432502.15613251086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60750.139716873324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12150.027943374665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48600.111773498662</v>
      </c>
      <c r="O200" s="190">
        <f t="shared" si="59"/>
        <v>48600.111773498662</v>
      </c>
      <c r="P200" s="200">
        <f t="shared" si="49"/>
        <v>12150.027943374665</v>
      </c>
      <c r="Q200" s="187">
        <f>IFERROR(VLOOKUP(A200,[1]Energiindhold!$A$2:$C$11,3,FALSE),IFERROR(VLOOKUP(A200,[1]Biogasudbytte!$A$2:$B$18,2,FALSE)*[1]Energiindhold!$C$10,0))*O200</f>
        <v>2.7606130829506526E-2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3.4507663536883157E-2</v>
      </c>
      <c r="S200" s="187">
        <f>IFERROR(VLOOKUP(A200,[1]Biogasudbytte!$A$2:$B$18,2,FALSE)*[1]Energiindhold!$C$10,0)*J200*IFERROR(VLOOKUP(A200,Biogasanlæg!$F$3:$G$8,2,FALSE),1)</f>
        <v>6.9015327073766314E-3</v>
      </c>
      <c r="T200" s="188">
        <f t="shared" si="50"/>
        <v>2.7606130829506526E-2</v>
      </c>
      <c r="U200" s="186">
        <f>O200*IFERROR(VLOOKUP(A200,[1]Tørstofindhold!A$2:B$24,2,FALSE),0)</f>
        <v>2078.3054151552001</v>
      </c>
      <c r="V200" s="187">
        <f>IF(D200=År1,P200,SUM(O200,P200))*IFERROR(VLOOKUP(A200,[1]Tørstofindhold!A$2:B$24,2,FALSE),0)</f>
        <v>2597.8817689439998</v>
      </c>
      <c r="W200" s="187">
        <f>J200*IFERROR(VLOOKUP(A200,[1]Tørstofindhold!A$2:B$24,2,FALSE),0)</f>
        <v>519.57635378880002</v>
      </c>
      <c r="X200" s="188">
        <f t="shared" si="51"/>
        <v>2078.3054151551996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315237.08441717137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157618.54220858568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59669.876693250299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97948.665515335393</v>
      </c>
      <c r="O201" s="190">
        <f t="shared" si="59"/>
        <v>97948.665515335393</v>
      </c>
      <c r="P201" s="200">
        <f t="shared" si="49"/>
        <v>157618.54220858568</v>
      </c>
      <c r="Q201" s="187">
        <f>IFERROR(VLOOKUP(A201,[1]Energiindhold!$A$2:$C$11,3,FALSE),IFERROR(VLOOKUP(A201,[1]Biogasudbytte!$A$2:$B$18,2,FALSE)*[1]Energiindhold!$C$10,0))*O201</f>
        <v>0.21098142552003243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0.55049176543732603</v>
      </c>
      <c r="S201" s="187">
        <f>IFERROR(VLOOKUP(A201,[1]Biogasudbytte!$A$2:$B$18,2,FALSE)*[1]Energiindhold!$C$10,0)*J201*IFERROR(VLOOKUP(A201,Biogasanlæg!$F$3:$G$8,2,FALSE),1)</f>
        <v>0.33951033991729357</v>
      </c>
      <c r="T201" s="188">
        <f t="shared" si="50"/>
        <v>0.21098142552003246</v>
      </c>
      <c r="U201" s="186">
        <f>O201*IFERROR(VLOOKUP(A201,[1]Tørstofindhold!A$2:B$24,2,FALSE),0)</f>
        <v>29384.599654600617</v>
      </c>
      <c r="V201" s="187">
        <f>IF(D201=År1,P201,SUM(O201,P201))*IFERROR(VLOOKUP(A201,[1]Tørstofindhold!A$2:B$24,2,FALSE),0)</f>
        <v>76670.16231717632</v>
      </c>
      <c r="W201" s="187">
        <f>J201*IFERROR(VLOOKUP(A201,[1]Tørstofindhold!A$2:B$24,2,FALSE),0)</f>
        <v>47285.562662575707</v>
      </c>
      <c r="X201" s="188">
        <f t="shared" si="51"/>
        <v>29384.599654600614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42788.640900254119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41982.575451583703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806.06544867041521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594.85385919381292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535.36847327443161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59.48538591938128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535.36847327443161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2.5177843929623245E-4</v>
      </c>
      <c r="S203" s="187">
        <f>IFERROR(VLOOKUP(A203,[1]Biogasudbytte!$A$2:$B$18,2,FALSE)*[1]Energiindhold!$C$10,0)*J203*IFERROR(VLOOKUP(A203,Biogasanlæg!$F$3:$G$8,2,FALSE),1)</f>
        <v>2.5177843929623245E-4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33.728213816289191</v>
      </c>
      <c r="W203" s="187">
        <f>J203*IFERROR(VLOOKUP(A203,[1]Tørstofindhold!A$2:B$24,2,FALSE),0)</f>
        <v>33.728213816289191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11181.684772655934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-19378.433695691652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1202774.665099862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124321.83476867944</v>
      </c>
      <c r="N208" s="199">
        <f t="shared" si="48"/>
        <v>6394688.0369316684</v>
      </c>
      <c r="O208" s="190">
        <f t="shared" si="59"/>
        <v>6394688.0369316684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11.765426651949655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11.80041266592238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11.765426651949655</v>
      </c>
      <c r="U208" s="186">
        <f>O208*IFERROR(VLOOKUP(A208,[1]Tørstofindhold!A$2:B$24,2,FALSE),0)</f>
        <v>1790512.6503408672</v>
      </c>
      <c r="V208" s="187">
        <f>IF(D208=År1,P208,SUM(O208,P208))*IFERROR(VLOOKUP(A208,[1]Tørstofindhold!A$2:B$24,2,FALSE),0)</f>
        <v>1795836.9706954367</v>
      </c>
      <c r="W208" s="187">
        <f>J208*IFERROR(VLOOKUP(A208,[1]Tørstofindhold!A$2:B$24,2,FALSE),0)</f>
        <v>5324.3203545692595</v>
      </c>
      <c r="X208" s="188">
        <f t="shared" si="51"/>
        <v>1790512.6503408675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20783.054151551998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20783.054151551998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75188.084245687161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82122.074996657291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19144.864137024841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676823.38187654421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695968.24601356906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7.105895880850527</v>
      </c>
      <c r="S211" s="187">
        <f>IFERROR(VLOOKUP(A211,[1]Biogasudbytte!$A$2:$B$18,2,FALSE)*[1]Energiindhold!$C$10,0)*J211*IFERROR(VLOOKUP(A211,Biogasanlæg!$F$3:$G$8,2,FALSE),1)</f>
        <v>0.11038047997658221</v>
      </c>
      <c r="T211" s="188">
        <f t="shared" si="50"/>
        <v>6.9955154008739449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591573.00911153364</v>
      </c>
      <c r="W211" s="187">
        <f>J211*IFERROR(VLOOKUP(A211,[1]Tørstofindhold!A$2:B$24,2,FALSE),0)</f>
        <v>16273.134516471115</v>
      </c>
      <c r="X211" s="188">
        <f t="shared" si="51"/>
        <v>575299.87459506257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473627.04956051067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-473627.04956051067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194906.64001961387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216909.97261652708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-22003.332596913213</v>
      </c>
      <c r="O214" s="190">
        <f t="shared" si="59"/>
        <v>0</v>
      </c>
      <c r="P214" s="200">
        <f t="shared" si="49"/>
        <v>216909.97261652708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0.79891424319727433</v>
      </c>
      <c r="S214" s="187">
        <f>IFERROR(VLOOKUP(A214,[1]Biogasudbytte!$A$2:$B$18,2,FALSE)*[1]Energiindhold!$C$10,0)*J214*IFERROR(VLOOKUP(A214,Biogasanlæg!$F$3:$G$8,2,FALSE),1)</f>
        <v>0.79891424319727433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91102.188498941367</v>
      </c>
      <c r="W214" s="187">
        <f>J214*IFERROR(VLOOKUP(A214,[1]Tørstofindhold!A$2:B$24,2,FALSE),0)</f>
        <v>91102.188498941367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519637.93581515481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762005.40658109414</v>
      </c>
      <c r="O217" s="190">
        <f t="shared" si="59"/>
        <v>762005.40658109414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2.6097618367833264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2.6127317917167003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2.6097618367833264</v>
      </c>
      <c r="U217" s="186">
        <f>O217*IFERROR(VLOOKUP(A217,[1]Tørstofindhold!A$2:B$24,2,FALSE),0)</f>
        <v>236221.67604013919</v>
      </c>
      <c r="V217" s="187">
        <f>IF(D217=År1,P217,SUM(O217,P217))*IFERROR(VLOOKUP(A217,[1]Tørstofindhold!A$2:B$24,2,FALSE),0)</f>
        <v>236490.50046780804</v>
      </c>
      <c r="W217" s="187">
        <f>J217*IFERROR(VLOOKUP(A217,[1]Tørstofindhold!A$2:B$24,2,FALSE),0)</f>
        <v>268.82442766886015</v>
      </c>
      <c r="X217" s="188">
        <f t="shared" si="65"/>
        <v>236221.67604013919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337725.32998323761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-337725.32998323761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711514.49127012491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640363.0421431124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71151.449127012471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640363.0421431124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0.32414536830242208</v>
      </c>
      <c r="S219" s="187">
        <f>IFERROR(VLOOKUP(A219,[1]Biogasudbytte!$A$2:$B$18,2,FALSE)*[1]Energiindhold!$C$10,0)*J219*IFERROR(VLOOKUP(A219,Biogasanlæg!$F$3:$G$8,2,FALSE),1)</f>
        <v>0.32414536830242208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48667.591202876538</v>
      </c>
      <c r="W219" s="187">
        <f>J219*IFERROR(VLOOKUP(A219,[1]Tørstofindhold!A$2:B$24,2,FALSE),0)</f>
        <v>48667.591202876538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88925.837155996895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148318.32970425067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-59392.49254825378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490305.54007415898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1119072.6811646898</v>
      </c>
      <c r="O221" s="190">
        <f t="shared" si="59"/>
        <v>1119072.6811646898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4.0174709253812368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4.2853071935075002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4.0174709253812368</v>
      </c>
      <c r="U221" s="186">
        <f>O221*IFERROR(VLOOKUP(A221,[1]Tørstofindhold!A$2:B$24,2,FALSE),0)</f>
        <v>335721.80434940691</v>
      </c>
      <c r="V221" s="187">
        <f>IF(D221=År1,P221,SUM(O221,P221))*IFERROR(VLOOKUP(A221,[1]Tørstofindhold!A$2:B$24,2,FALSE),0)</f>
        <v>358103.66519561276</v>
      </c>
      <c r="W221" s="187">
        <f>J221*IFERROR(VLOOKUP(A221,[1]Tørstofindhold!A$2:B$24,2,FALSE),0)</f>
        <v>22381.860846205826</v>
      </c>
      <c r="X221" s="188">
        <f t="shared" si="65"/>
        <v>335721.80434940691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171580.71414930237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-237454.7176578115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5672.6414333767643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-46303.067746251312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267186.20646697358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267186.20646697358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20610.580673115885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38641.825804314474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85294.090246098451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488239.56383914081</v>
      </c>
      <c r="O233" s="190">
        <f t="shared" si="59"/>
        <v>488239.56383914081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1.3251017058419818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1.3431809057980313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1.3251017058419818</v>
      </c>
      <c r="U233" s="186">
        <f>O233*IFERROR(VLOOKUP(A233,[1]Tørstofindhold!A$2:B$24,2,FALSE),0)</f>
        <v>97647.912767828166</v>
      </c>
      <c r="V233" s="187">
        <f>IF(D233=År1,P233,SUM(O233,P233))*IFERROR(VLOOKUP(A233,[1]Tørstofindhold!A$2:B$24,2,FALSE),0)</f>
        <v>98980.184949229297</v>
      </c>
      <c r="W233" s="187">
        <f>J233*IFERROR(VLOOKUP(A233,[1]Tørstofindhold!A$2:B$24,2,FALSE),0)</f>
        <v>1332.2721814011234</v>
      </c>
      <c r="X233" s="188">
        <f t="shared" si="65"/>
        <v>97647.91276782818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17057.663725626528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17057.663725626528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13867.700739672095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3778.7371184639996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10088.963621208095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3342079.7184574725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1267479.8701336605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2074599.848323812</v>
      </c>
      <c r="O236" s="190">
        <f t="shared" si="59"/>
        <v>2074599.848323812</v>
      </c>
      <c r="P236" s="200">
        <f t="shared" si="63"/>
        <v>1267479.8701336605</v>
      </c>
      <c r="Q236" s="187">
        <f>IFERROR(VLOOKUP(A236,[1]Energiindhold!$A$2:$C$11,3,FALSE),IFERROR(VLOOKUP(A236,[1]Biogasudbytte!$A$2:$B$18,2,FALSE)*[1]Energiindhold!$C$10,0))*O236</f>
        <v>1.0352460703120656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1.6677312003074636</v>
      </c>
      <c r="S236" s="187">
        <f>IFERROR(VLOOKUP(A236,[1]Biogasudbytte!$A$2:$B$18,2,FALSE)*[1]Energiindhold!$C$10,0)*J236*IFERROR(VLOOKUP(A236,Biogasanlæg!$F$3:$G$8,2,FALSE),1)</f>
        <v>0.63248512999539797</v>
      </c>
      <c r="T236" s="188">
        <f t="shared" si="64"/>
        <v>1.0352460703120656</v>
      </c>
      <c r="U236" s="186">
        <f>O236*IFERROR(VLOOKUP(A236,[1]Tørstofindhold!A$2:B$24,2,FALSE),0)</f>
        <v>124475.99089942871</v>
      </c>
      <c r="V236" s="187">
        <f>IF(D236=År1,P236,SUM(O236,P236))*IFERROR(VLOOKUP(A236,[1]Tørstofindhold!A$2:B$24,2,FALSE),0)</f>
        <v>200524.78310744834</v>
      </c>
      <c r="W236" s="187">
        <f>J236*IFERROR(VLOOKUP(A236,[1]Tørstofindhold!A$2:B$24,2,FALSE),0)</f>
        <v>76048.792208019629</v>
      </c>
      <c r="X236" s="188">
        <f t="shared" si="65"/>
        <v>124475.99089942871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1606372.8094478375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1445735.5285030538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160637.28094478371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1445735.5285030538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0.62282286567911571</v>
      </c>
      <c r="S237" s="187">
        <f>IFERROR(VLOOKUP(A237,[1]Biogasudbytte!$A$2:$B$18,2,FALSE)*[1]Energiindhold!$C$10,0)*J237*IFERROR(VLOOKUP(A237,Biogasanlæg!$F$3:$G$8,2,FALSE),1)</f>
        <v>0.62282286567911571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72286.776425152697</v>
      </c>
      <c r="W237" s="187">
        <f>J237*IFERROR(VLOOKUP(A237,[1]Tørstofindhold!A$2:B$24,2,FALSE),0)</f>
        <v>72286.776425152697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151423.62558400567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45897.185734457744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11991.366562920688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-17540.635457181266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5995.111774486154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54144.270030353167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115189632.85727304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115189632.85727304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115189632.85727304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3498954.0830642101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3014202.9666475481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484751.116416662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71795.619665395745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14359.12393307915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57436.495732316595</v>
      </c>
      <c r="O248" s="190">
        <f t="shared" si="59"/>
        <v>57436.495732316595</v>
      </c>
      <c r="P248" s="200">
        <f t="shared" si="63"/>
        <v>14359.12393307915</v>
      </c>
      <c r="Q248" s="187">
        <f>IFERROR(VLOOKUP(A248,[1]Energiindhold!$A$2:$C$11,3,FALSE),IFERROR(VLOOKUP(A248,[1]Biogasudbytte!$A$2:$B$18,2,FALSE)*[1]Energiindhold!$C$10,0))*O248</f>
        <v>3.2625427343962253E-2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4.0781784179952818E-2</v>
      </c>
      <c r="S248" s="187">
        <f>IFERROR(VLOOKUP(A248,[1]Biogasudbytte!$A$2:$B$18,2,FALSE)*[1]Energiindhold!$C$10,0)*J248*IFERROR(VLOOKUP(A248,Biogasanlæg!$F$3:$G$8,2,FALSE),1)</f>
        <v>8.156356835990565E-3</v>
      </c>
      <c r="T248" s="188">
        <f t="shared" si="64"/>
        <v>3.2625427343962253E-2</v>
      </c>
      <c r="U248" s="186">
        <f>O248*IFERROR(VLOOKUP(A248,[1]Tørstofindhold!A$2:B$24,2,FALSE),0)</f>
        <v>2456.1791270015997</v>
      </c>
      <c r="V248" s="187">
        <f>IF(D248=År1,P248,SUM(O248,P248))*IFERROR(VLOOKUP(A248,[1]Tørstofindhold!A$2:B$24,2,FALSE),0)</f>
        <v>3070.2239087519997</v>
      </c>
      <c r="W248" s="187">
        <f>J248*IFERROR(VLOOKUP(A248,[1]Tørstofindhold!A$2:B$24,2,FALSE),0)</f>
        <v>614.04478175040003</v>
      </c>
      <c r="X248" s="188">
        <f t="shared" si="65"/>
        <v>2456.1791270015997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382537.24875352421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191268.62437676211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72408.836371202793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118859.7880055593</v>
      </c>
      <c r="O249" s="190">
        <f t="shared" si="59"/>
        <v>118859.7880055593</v>
      </c>
      <c r="P249" s="200">
        <f t="shared" si="63"/>
        <v>191268.62437676211</v>
      </c>
      <c r="Q249" s="187">
        <f>IFERROR(VLOOKUP(A249,[1]Energiindhold!$A$2:$C$11,3,FALSE),IFERROR(VLOOKUP(A249,[1]Biogasudbytte!$A$2:$B$18,2,FALSE)*[1]Energiindhold!$C$10,0))*O249</f>
        <v>0.25602398336397475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0.66801660027152032</v>
      </c>
      <c r="S249" s="187">
        <f>IFERROR(VLOOKUP(A249,[1]Biogasudbytte!$A$2:$B$18,2,FALSE)*[1]Energiindhold!$C$10,0)*J249*IFERROR(VLOOKUP(A249,Biogasanlæg!$F$3:$G$8,2,FALSE),1)</f>
        <v>0.41199261690754557</v>
      </c>
      <c r="T249" s="188">
        <f t="shared" si="64"/>
        <v>0.25602398336397475</v>
      </c>
      <c r="U249" s="186">
        <f>O249*IFERROR(VLOOKUP(A249,[1]Tørstofindhold!A$2:B$24,2,FALSE),0)</f>
        <v>35657.936401667786</v>
      </c>
      <c r="V249" s="187">
        <f>IF(D249=År1,P249,SUM(O249,P249))*IFERROR(VLOOKUP(A249,[1]Tørstofindhold!A$2:B$24,2,FALSE),0)</f>
        <v>93038.523714696421</v>
      </c>
      <c r="W249" s="187">
        <f>J249*IFERROR(VLOOKUP(A249,[1]Tørstofindhold!A$2:B$24,2,FALSE),0)</f>
        <v>57380.587313028627</v>
      </c>
      <c r="X249" s="188">
        <f t="shared" si="65"/>
        <v>35657.936401667794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50568.393791209412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50379.090541900448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189.30324930896313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675.94297942427897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608.34868148185114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67.594297942427886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608.34868148185114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2.861003014140998E-4</v>
      </c>
      <c r="S251" s="187">
        <f>IFERROR(VLOOKUP(A251,[1]Biogasudbytte!$A$2:$B$18,2,FALSE)*[1]Energiindhold!$C$10,0)*J251*IFERROR(VLOOKUP(A251,Biogasanlæg!$F$3:$G$8,2,FALSE),1)</f>
        <v>2.861003014140998E-4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38.325966933356625</v>
      </c>
      <c r="W251" s="187">
        <f>J251*IFERROR(VLOOKUP(A251,[1]Tørstofindhold!A$2:B$24,2,FALSE),0)</f>
        <v>38.325966933356625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8812.629537313207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-23180.372651130579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1202774.665099862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146925.80472662117</v>
      </c>
      <c r="N256" s="199">
        <f t="shared" si="62"/>
        <v>6413991.7501979126</v>
      </c>
      <c r="O256" s="190">
        <f t="shared" si="59"/>
        <v>6413991.7501979126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11.800943071395386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11.83657879174782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11.800943071395386</v>
      </c>
      <c r="U256" s="186">
        <f>O256*IFERROR(VLOOKUP(A256,[1]Tørstofindhold!A$2:B$24,2,FALSE),0)</f>
        <v>1795917.6900554157</v>
      </c>
      <c r="V256" s="187">
        <f>IF(D256=År1,P256,SUM(O256,P256))*IFERROR(VLOOKUP(A256,[1]Tørstofindhold!A$2:B$24,2,FALSE),0)</f>
        <v>1801340.8854891716</v>
      </c>
      <c r="W256" s="187">
        <f>J256*IFERROR(VLOOKUP(A256,[1]Tørstofindhold!A$2:B$24,2,FALSE),0)</f>
        <v>5423.1954337558627</v>
      </c>
      <c r="X256" s="188">
        <f t="shared" si="65"/>
        <v>1795917.6900554157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24561.791270015998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24561.791270015998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75188.084245687161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80498.501450059382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19824.75707073955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598575.96559689264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618400.72266763216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6.3010656895514687</v>
      </c>
      <c r="S259" s="187">
        <f>IFERROR(VLOOKUP(A259,[1]Biogasudbytte!$A$2:$B$18,2,FALSE)*[1]Energiindhold!$C$10,0)*J259*IFERROR(VLOOKUP(A259,Biogasanlæg!$F$3:$G$8,2,FALSE),1)</f>
        <v>0.11430042988163171</v>
      </c>
      <c r="T259" s="188">
        <f t="shared" si="64"/>
        <v>6.186765259669837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525640.61426748731</v>
      </c>
      <c r="W259" s="187">
        <f>J259*IFERROR(VLOOKUP(A259,[1]Tørstofindhold!A$2:B$24,2,FALSE),0)</f>
        <v>16851.043510128617</v>
      </c>
      <c r="X259" s="188">
        <f t="shared" si="65"/>
        <v>508789.57075735868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473627.04956051067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-473627.04956051067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194707.25890798459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216252.12717715395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-21544.868269169354</v>
      </c>
      <c r="O262" s="190">
        <f t="shared" si="75"/>
        <v>0</v>
      </c>
      <c r="P262" s="200">
        <f t="shared" si="63"/>
        <v>216252.12717715395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0.79649129285986997</v>
      </c>
      <c r="S262" s="187">
        <f>IFERROR(VLOOKUP(A262,[1]Biogasudbytte!$A$2:$B$18,2,FALSE)*[1]Energiindhold!$C$10,0)*J262*IFERROR(VLOOKUP(A262,Biogasanlæg!$F$3:$G$8,2,FALSE),1)</f>
        <v>0.79649129285986997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90825.893414404651</v>
      </c>
      <c r="W262" s="187">
        <f>J262*IFERROR(VLOOKUP(A262,[1]Tørstofindhold!A$2:B$24,2,FALSE),0)</f>
        <v>90825.893414404651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505203.54870917829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730862.13578361308</v>
      </c>
      <c r="O265" s="190">
        <f t="shared" si="75"/>
        <v>730862.13578361308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2.5031004943598654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2.5061325730089203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2.5031004943598654</v>
      </c>
      <c r="U265" s="186">
        <f>O265*IFERROR(VLOOKUP(A265,[1]Tørstofindhold!A$2:B$24,2,FALSE),0)</f>
        <v>226567.26209292005</v>
      </c>
      <c r="V265" s="187">
        <f>IF(D265=År1,P265,SUM(O265,P265))*IFERROR(VLOOKUP(A265,[1]Tørstofindhold!A$2:B$24,2,FALSE),0)</f>
        <v>226841.7096268943</v>
      </c>
      <c r="W265" s="187">
        <f>J265*IFERROR(VLOOKUP(A265,[1]Tørstofindhold!A$2:B$24,2,FALSE),0)</f>
        <v>274.44753397426308</v>
      </c>
      <c r="X265" s="188">
        <f t="shared" si="65"/>
        <v>226567.26209292005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308898.99211481115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-308898.99211481115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649067.07739233959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584160.36965310562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64906.707739233942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584160.36965310562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0.29569613751470558</v>
      </c>
      <c r="S267" s="187">
        <f>IFERROR(VLOOKUP(A267,[1]Biogasudbytte!$A$2:$B$18,2,FALSE)*[1]Energiindhold!$C$10,0)*J267*IFERROR(VLOOKUP(A267,Biogasanlæg!$F$3:$G$8,2,FALSE),1)</f>
        <v>0.29569613751470558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44396.188093636025</v>
      </c>
      <c r="W267" s="187">
        <f>J267*IFERROR(VLOOKUP(A267,[1]Tørstofindhold!A$2:B$24,2,FALSE),0)</f>
        <v>44396.188093636025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81346.673408212213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148318.32970425067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-66971.656296038462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490305.54007415898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1135652.4155070996</v>
      </c>
      <c r="O269" s="190">
        <f t="shared" si="75"/>
        <v>1135652.4155070996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4.0769921716704882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4.3503375768064645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4.0769921716704882</v>
      </c>
      <c r="U269" s="186">
        <f>O269*IFERROR(VLOOKUP(A269,[1]Tørstofindhold!A$2:B$24,2,FALSE),0)</f>
        <v>340695.72465212987</v>
      </c>
      <c r="V269" s="187">
        <f>IF(D269=År1,P269,SUM(O269,P269))*IFERROR(VLOOKUP(A269,[1]Tørstofindhold!A$2:B$24,2,FALSE),0)</f>
        <v>363537.95906460698</v>
      </c>
      <c r="W269" s="187">
        <f>J269*IFERROR(VLOOKUP(A269,[1]Tørstofindhold!A$2:B$24,2,FALSE),0)</f>
        <v>22842.234412477112</v>
      </c>
      <c r="X269" s="188">
        <f t="shared" si="65"/>
        <v>340695.72465212987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156956.86162128934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-271257.167670189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4821.8473452975177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-49590.866376740334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244413.88208154004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244413.88208154004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20610.580673115885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35784.428118111959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85294.090246098451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462710.80987249874</v>
      </c>
      <c r="O281" s="190">
        <f t="shared" si="89"/>
        <v>462710.80987249874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1.2558156464263566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1.274288576875001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1.2558156464263566</v>
      </c>
      <c r="U281" s="186">
        <f>O281*IFERROR(VLOOKUP(A281,[1]Tørstofindhold!A$2:B$24,2,FALSE),0)</f>
        <v>92542.161974499759</v>
      </c>
      <c r="V281" s="187">
        <f>IF(D281=År1,P281,SUM(O281,P281))*IFERROR(VLOOKUP(A281,[1]Tørstofindhold!A$2:B$24,2,FALSE),0)</f>
        <v>93903.448502969812</v>
      </c>
      <c r="W281" s="187">
        <f>J281*IFERROR(VLOOKUP(A281,[1]Tørstofindhold!A$2:B$24,2,FALSE),0)</f>
        <v>1361.2865284700638</v>
      </c>
      <c r="X281" s="188">
        <f t="shared" si="65"/>
        <v>92542.161974499744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14788.079997473731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14788.079997473731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12080.446155895848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3778.7371184639996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8301.7090374318486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3497898.5623000106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1326573.9865508091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2171324.5757492017</v>
      </c>
      <c r="O284" s="190">
        <f t="shared" si="89"/>
        <v>2171324.5757492017</v>
      </c>
      <c r="P284" s="200">
        <f t="shared" si="94"/>
        <v>1326573.9865508091</v>
      </c>
      <c r="Q284" s="187">
        <f>IFERROR(VLOOKUP(A284,[1]Energiindhold!$A$2:$C$11,3,FALSE),IFERROR(VLOOKUP(A284,[1]Biogasudbytte!$A$2:$B$18,2,FALSE)*[1]Energiindhold!$C$10,0))*O284</f>
        <v>1.0835126765446093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1.7454863615733287</v>
      </c>
      <c r="S284" s="187">
        <f>IFERROR(VLOOKUP(A284,[1]Biogasudbytte!$A$2:$B$18,2,FALSE)*[1]Energiindhold!$C$10,0)*J284*IFERROR(VLOOKUP(A284,Biogasanlæg!$F$3:$G$8,2,FALSE),1)</f>
        <v>0.66197368502871934</v>
      </c>
      <c r="T284" s="188">
        <f t="shared" si="95"/>
        <v>1.0835126765446095</v>
      </c>
      <c r="U284" s="186">
        <f>O284*IFERROR(VLOOKUP(A284,[1]Tørstofindhold!A$2:B$24,2,FALSE),0)</f>
        <v>130279.4745449521</v>
      </c>
      <c r="V284" s="187">
        <f>IF(D284=År1,P284,SUM(O284,P284))*IFERROR(VLOOKUP(A284,[1]Tørstofindhold!A$2:B$24,2,FALSE),0)</f>
        <v>209873.91373800061</v>
      </c>
      <c r="W284" s="187">
        <f>J284*IFERROR(VLOOKUP(A284,[1]Tørstofindhold!A$2:B$24,2,FALSE),0)</f>
        <v>79594.439193048544</v>
      </c>
      <c r="X284" s="188">
        <f t="shared" si="96"/>
        <v>130279.47454495207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1276645.533352437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1148980.9800171934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127664.55333524366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1148980.9800171934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0.494981006191407</v>
      </c>
      <c r="S285" s="187">
        <f>IFERROR(VLOOKUP(A285,[1]Biogasudbytte!$A$2:$B$18,2,FALSE)*[1]Energiindhold!$C$10,0)*J285*IFERROR(VLOOKUP(A285,Biogasanlæg!$F$3:$G$8,2,FALSE),1)</f>
        <v>0.494981006191407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57449.049000859668</v>
      </c>
      <c r="W285" s="187">
        <f>J285*IFERROR(VLOOKUP(A285,[1]Tørstofindhold!A$2:B$24,2,FALSE),0)</f>
        <v>57449.049000859668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131994.24138946694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21519.943832602221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273</v>
      </c>
      <c r="X3" s="35">
        <f>C24+C51</f>
        <v>11808068</v>
      </c>
      <c r="Y3" s="11">
        <f>D24+D51</f>
        <v>8917342.9035695978</v>
      </c>
      <c r="Z3" s="23">
        <f>E24+E51</f>
        <v>7327017.4405303262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909673.45112161664</v>
      </c>
      <c r="Z4" s="23">
        <f t="shared" si="0"/>
        <v>692975.04560191242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14366308.455084335</v>
      </c>
      <c r="Z5" s="24">
        <f t="shared" si="0"/>
        <v>11084672.578966206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1233160.4964304029</v>
      </c>
      <c r="Z6" s="23">
        <f t="shared" si="1"/>
        <v>2823485.9594696737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303265.74887838325</v>
      </c>
      <c r="Z7" s="23">
        <f t="shared" si="1"/>
        <v>519964.15439808747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4438705.7449156633</v>
      </c>
      <c r="Z8" s="24">
        <f t="shared" si="1"/>
        <v>7720341.6210337915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7413930.9012285359</v>
      </c>
      <c r="E24" s="23">
        <f>($F24+$C24)*Landbrug!E11*(1-Landbrug!E6)</f>
        <v>5892132.706660063</v>
      </c>
      <c r="F24" s="34">
        <f>SUM([1]Dyrehold!E58:G61)</f>
        <v>475477</v>
      </c>
      <c r="G24" s="11">
        <f>($F24+$C24)*Landbrug!D11*Landbrug!D6</f>
        <v>1180023.4987714642</v>
      </c>
      <c r="H24" s="23">
        <f>($F24+$C24)*Landbrug!E11*Landbrug!E6</f>
        <v>2701821.6933399374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837909.83552613179</v>
      </c>
      <c r="E25" s="23">
        <f>($F25+$C25)*Landbrug!E12*(1-Landbrug!E7)</f>
        <v>640650.31074190955</v>
      </c>
      <c r="F25" s="34">
        <f>SUM([1]Dyrehold!E36:G51)</f>
        <v>207835</v>
      </c>
      <c r="G25" s="11">
        <f>($F25+$C25)*Landbrug!D12*Landbrug!D7</f>
        <v>276061.36447386816</v>
      </c>
      <c r="H25" s="23">
        <f>($F25+$C25)*Landbrug!E12*Landbrug!E7</f>
        <v>473320.88925809035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12943075.16659298</v>
      </c>
      <c r="E26" s="24">
        <f>($F26+$C26)*Landbrug!E13*(1-Landbrug!E8)</f>
        <v>9929306.0386723876</v>
      </c>
      <c r="F26" s="47">
        <f>SUM([1]Dyrehold!E65:G78)</f>
        <v>3062300</v>
      </c>
      <c r="G26" s="16">
        <f>($F26+$C26)*Landbrug!D13*Landbrug!D8</f>
        <v>4076392.0334070176</v>
      </c>
      <c r="H26" s="24">
        <f>($F26+$C26)*Landbrug!E13*Landbrug!E8</f>
        <v>7090161.1613276098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3639230.3238873654</v>
      </c>
      <c r="F5" s="237"/>
      <c r="G5" s="237">
        <v>19212.313362145302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22806882.485174231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8309938.8217724673</v>
      </c>
      <c r="AB5" s="237">
        <v>23416888.595533531</v>
      </c>
      <c r="AC5" s="237"/>
      <c r="AD5" s="237"/>
      <c r="AE5" s="237"/>
      <c r="AF5" s="237"/>
      <c r="AG5" s="237"/>
      <c r="AH5" s="237">
        <v>242485.23551898007</v>
      </c>
      <c r="AI5" s="237"/>
      <c r="AJ5" s="237"/>
      <c r="AK5" s="237"/>
      <c r="AL5" s="237"/>
      <c r="AM5" s="237"/>
      <c r="AN5" s="237">
        <v>64321675.775248721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1313527.0610181193</v>
      </c>
      <c r="F7" s="237"/>
      <c r="G7" s="237">
        <v>6914.1463567523406</v>
      </c>
      <c r="H7" s="237"/>
      <c r="I7" s="237"/>
      <c r="J7" s="237">
        <v>142742</v>
      </c>
      <c r="K7" s="237">
        <v>85676.999999999985</v>
      </c>
      <c r="L7" s="237"/>
      <c r="M7" s="237">
        <v>75934.000000000015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9650169.0715138856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2764045.8294522539</v>
      </c>
      <c r="AB7" s="237">
        <v>11423405.044861957</v>
      </c>
      <c r="AC7" s="237"/>
      <c r="AD7" s="237"/>
      <c r="AE7" s="237"/>
      <c r="AF7" s="237"/>
      <c r="AG7" s="237"/>
      <c r="AH7" s="237">
        <v>111139.06627953252</v>
      </c>
      <c r="AI7" s="237"/>
      <c r="AJ7" s="237"/>
      <c r="AK7" s="237"/>
      <c r="AL7" s="237"/>
      <c r="AM7" s="237"/>
      <c r="AN7" s="237">
        <v>27020490.219482504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1568616.2628692458</v>
      </c>
      <c r="F8" s="237"/>
      <c r="G8" s="237">
        <v>7856.6670053929611</v>
      </c>
      <c r="H8" s="237"/>
      <c r="I8" s="237"/>
      <c r="J8" s="237">
        <v>142742</v>
      </c>
      <c r="K8" s="237">
        <v>85677.000000000015</v>
      </c>
      <c r="L8" s="237"/>
      <c r="M8" s="237">
        <v>75933.999999999985</v>
      </c>
      <c r="N8" s="237">
        <v>78</v>
      </c>
      <c r="O8" s="237"/>
      <c r="P8" s="237">
        <v>707407</v>
      </c>
      <c r="Q8" s="237"/>
      <c r="R8" s="237">
        <v>3786</v>
      </c>
      <c r="S8" s="237">
        <v>8803203.7469936814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2877058.992320213</v>
      </c>
      <c r="AB8" s="237">
        <v>9078614.2173382398</v>
      </c>
      <c r="AC8" s="237"/>
      <c r="AD8" s="237"/>
      <c r="AE8" s="237"/>
      <c r="AF8" s="237"/>
      <c r="AG8" s="237"/>
      <c r="AH8" s="237">
        <v>131346.16923944757</v>
      </c>
      <c r="AI8" s="237"/>
      <c r="AJ8" s="237"/>
      <c r="AK8" s="237"/>
      <c r="AL8" s="237"/>
      <c r="AM8" s="237"/>
      <c r="AN8" s="237">
        <v>24210768.055766217</v>
      </c>
    </row>
    <row r="9" spans="1:40" x14ac:dyDescent="0.25">
      <c r="A9" s="78" t="s">
        <v>112</v>
      </c>
      <c r="B9" s="237"/>
      <c r="C9" s="237">
        <v>182092.39140274131</v>
      </c>
      <c r="D9" s="237"/>
      <c r="E9" s="237"/>
      <c r="F9" s="237"/>
      <c r="G9" s="237"/>
      <c r="H9" s="237"/>
      <c r="I9" s="237"/>
      <c r="J9" s="237"/>
      <c r="K9" s="237">
        <v>35743864.288049079</v>
      </c>
      <c r="L9" s="237"/>
      <c r="M9" s="237">
        <v>2243500.3226485401</v>
      </c>
      <c r="N9" s="237"/>
      <c r="O9" s="237">
        <v>14085822.741476141</v>
      </c>
      <c r="P9" s="237"/>
      <c r="Q9" s="237">
        <v>0</v>
      </c>
      <c r="R9" s="237">
        <v>15975294.729089972</v>
      </c>
      <c r="S9" s="237"/>
      <c r="T9" s="237">
        <v>4415157.5916026225</v>
      </c>
      <c r="U9" s="237">
        <v>15321279.408282446</v>
      </c>
      <c r="V9" s="237"/>
      <c r="W9" s="237"/>
      <c r="X9" s="237"/>
      <c r="Y9" s="237">
        <v>2504822.3418221236</v>
      </c>
      <c r="Z9" s="237">
        <v>113383.60149794027</v>
      </c>
      <c r="AA9" s="237"/>
      <c r="AB9" s="237"/>
      <c r="AC9" s="237"/>
      <c r="AD9" s="237"/>
      <c r="AE9" s="237"/>
      <c r="AF9" s="237">
        <v>844853.14489628945</v>
      </c>
      <c r="AG9" s="237">
        <v>414779.604148224</v>
      </c>
      <c r="AH9" s="237"/>
      <c r="AI9" s="237">
        <v>617437.20453713369</v>
      </c>
      <c r="AJ9" s="237"/>
      <c r="AK9" s="237"/>
      <c r="AL9" s="237"/>
      <c r="AM9" s="237"/>
      <c r="AN9" s="237">
        <v>92462287.369453251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54838.649586904612</v>
      </c>
      <c r="D11" s="237"/>
      <c r="E11" s="237"/>
      <c r="F11" s="237"/>
      <c r="G11" s="237"/>
      <c r="H11" s="237"/>
      <c r="I11" s="237"/>
      <c r="J11" s="237"/>
      <c r="K11" s="237">
        <v>11002053.151389532</v>
      </c>
      <c r="L11" s="237"/>
      <c r="M11" s="237">
        <v>687762.49053560058</v>
      </c>
      <c r="N11" s="237"/>
      <c r="O11" s="237">
        <v>4332374.2380023468</v>
      </c>
      <c r="P11" s="237"/>
      <c r="Q11" s="237">
        <v>0</v>
      </c>
      <c r="R11" s="237">
        <v>4753246.2689858926</v>
      </c>
      <c r="S11" s="237"/>
      <c r="T11" s="237">
        <v>1356701.4621113588</v>
      </c>
      <c r="U11" s="237">
        <v>4484936.1803515973</v>
      </c>
      <c r="V11" s="237"/>
      <c r="W11" s="237"/>
      <c r="X11" s="237"/>
      <c r="Y11" s="237">
        <v>780204.42366823379</v>
      </c>
      <c r="Z11" s="237">
        <v>34564.967012351997</v>
      </c>
      <c r="AA11" s="237"/>
      <c r="AB11" s="237"/>
      <c r="AC11" s="237"/>
      <c r="AD11" s="237"/>
      <c r="AE11" s="237"/>
      <c r="AF11" s="237">
        <v>384024.15677104064</v>
      </c>
      <c r="AG11" s="237">
        <v>190107.31856793596</v>
      </c>
      <c r="AH11" s="237"/>
      <c r="AI11" s="237">
        <v>188529.66447193653</v>
      </c>
      <c r="AJ11" s="237"/>
      <c r="AK11" s="237"/>
      <c r="AL11" s="237"/>
      <c r="AM11" s="237"/>
      <c r="AN11" s="237">
        <v>28249342.971454732</v>
      </c>
    </row>
    <row r="12" spans="1:40" x14ac:dyDescent="0.25">
      <c r="A12" s="79">
        <v>2050</v>
      </c>
      <c r="B12" s="237"/>
      <c r="C12" s="237">
        <v>54838.649586904619</v>
      </c>
      <c r="D12" s="237"/>
      <c r="E12" s="237"/>
      <c r="F12" s="237"/>
      <c r="G12" s="237"/>
      <c r="H12" s="237"/>
      <c r="I12" s="237"/>
      <c r="J12" s="237"/>
      <c r="K12" s="237">
        <v>11002053.151389532</v>
      </c>
      <c r="L12" s="237"/>
      <c r="M12" s="237">
        <v>687762.49053560069</v>
      </c>
      <c r="N12" s="237"/>
      <c r="O12" s="237">
        <v>4332374.2380023478</v>
      </c>
      <c r="P12" s="237"/>
      <c r="Q12" s="237">
        <v>0</v>
      </c>
      <c r="R12" s="237">
        <v>4621211.650402952</v>
      </c>
      <c r="S12" s="237"/>
      <c r="T12" s="237">
        <v>1356701.4621113592</v>
      </c>
      <c r="U12" s="237">
        <v>4484936.1803515982</v>
      </c>
      <c r="V12" s="237"/>
      <c r="W12" s="237"/>
      <c r="X12" s="237"/>
      <c r="Y12" s="237">
        <v>780204.42366823391</v>
      </c>
      <c r="Z12" s="237">
        <v>34564.967012352005</v>
      </c>
      <c r="AA12" s="237"/>
      <c r="AB12" s="237"/>
      <c r="AC12" s="237"/>
      <c r="AD12" s="237"/>
      <c r="AE12" s="237"/>
      <c r="AF12" s="237">
        <v>460828.98812524881</v>
      </c>
      <c r="AG12" s="237">
        <v>224672.28558028801</v>
      </c>
      <c r="AH12" s="237"/>
      <c r="AI12" s="237">
        <v>188529.66447193656</v>
      </c>
      <c r="AJ12" s="237"/>
      <c r="AK12" s="237"/>
      <c r="AL12" s="237"/>
      <c r="AM12" s="237"/>
      <c r="AN12" s="237">
        <v>28228678.151238352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6077521.165257209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18484067.190683171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2292800.4842063906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6468891.8305275915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1890955.4685152569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5805771.2071052017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1914862.1083287885</v>
      </c>
      <c r="F25" s="237"/>
      <c r="G25" s="237">
        <v>6082.7014846828106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11746865.090945285</v>
      </c>
      <c r="T25" s="237"/>
      <c r="U25" s="237"/>
      <c r="V25" s="237"/>
      <c r="W25" s="237"/>
      <c r="X25" s="237"/>
      <c r="Y25" s="237"/>
      <c r="Z25" s="237"/>
      <c r="AA25" s="237"/>
      <c r="AB25" s="237">
        <v>17020132.80691113</v>
      </c>
      <c r="AC25" s="237"/>
      <c r="AD25" s="237"/>
      <c r="AE25" s="237"/>
      <c r="AF25" s="237"/>
      <c r="AG25" s="237"/>
      <c r="AH25" s="237"/>
      <c r="AI25" s="237"/>
      <c r="AJ25" s="237"/>
      <c r="AK25" s="237">
        <v>49937437.708242923</v>
      </c>
      <c r="AL25" s="237">
        <v>2999214.9520743596</v>
      </c>
      <c r="AM25" s="237"/>
      <c r="AN25" s="237">
        <v>83624595.367987171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497263.8159568595</v>
      </c>
      <c r="F27" s="237"/>
      <c r="G27" s="237">
        <v>768.23848408359333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1072241.0079459872</v>
      </c>
      <c r="T27" s="237"/>
      <c r="U27" s="237"/>
      <c r="V27" s="237"/>
      <c r="W27" s="237"/>
      <c r="X27" s="237"/>
      <c r="Y27" s="237"/>
      <c r="Z27" s="237"/>
      <c r="AA27" s="237"/>
      <c r="AB27" s="237">
        <v>1269267.2272068837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21960504.28822815</v>
      </c>
      <c r="AL27" s="237">
        <v>1074814.1195466674</v>
      </c>
      <c r="AM27" s="237"/>
      <c r="AN27" s="237">
        <v>25874858.697368629</v>
      </c>
    </row>
    <row r="28" spans="1:40" x14ac:dyDescent="0.25">
      <c r="A28" s="79">
        <v>2050</v>
      </c>
      <c r="B28" s="237"/>
      <c r="C28" s="237"/>
      <c r="D28" s="237"/>
      <c r="E28" s="237">
        <v>593833.29951478587</v>
      </c>
      <c r="F28" s="237"/>
      <c r="G28" s="237">
        <v>872.96300059921759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978133.74966596439</v>
      </c>
      <c r="T28" s="237"/>
      <c r="U28" s="237"/>
      <c r="V28" s="237"/>
      <c r="W28" s="237"/>
      <c r="X28" s="237"/>
      <c r="Y28" s="237"/>
      <c r="Z28" s="237"/>
      <c r="AA28" s="237"/>
      <c r="AB28" s="237">
        <v>1008734.9130375818</v>
      </c>
      <c r="AC28" s="237"/>
      <c r="AD28" s="237"/>
      <c r="AE28" s="237"/>
      <c r="AF28" s="237"/>
      <c r="AG28" s="237"/>
      <c r="AH28" s="237"/>
      <c r="AI28" s="237"/>
      <c r="AJ28" s="237"/>
      <c r="AK28" s="237">
        <v>19173441.68450629</v>
      </c>
      <c r="AL28" s="237">
        <v>979585.74384760961</v>
      </c>
      <c r="AM28" s="237"/>
      <c r="AN28" s="237">
        <v>22734602.353572831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2481163.7902835854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2481163.7902835854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1137200.0705466431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1137200.0705466431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1343963.7197369423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1343963.7197369423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182092.39140274131</v>
      </c>
      <c r="D37" s="237">
        <v>1462906</v>
      </c>
      <c r="E37" s="237">
        <v>5554092.4322161544</v>
      </c>
      <c r="F37" s="237">
        <v>281468.55244752642</v>
      </c>
      <c r="G37" s="237">
        <v>25295.014846828115</v>
      </c>
      <c r="H37" s="237">
        <v>197788.71253069426</v>
      </c>
      <c r="I37" s="237">
        <v>1445379.0531089196</v>
      </c>
      <c r="J37" s="237">
        <v>428226</v>
      </c>
      <c r="K37" s="237">
        <v>38482059.078332663</v>
      </c>
      <c r="L37" s="237">
        <v>1513844.376677237</v>
      </c>
      <c r="M37" s="237">
        <v>8548823.4879057501</v>
      </c>
      <c r="N37" s="237">
        <v>2948427</v>
      </c>
      <c r="O37" s="237">
        <v>14085822.741476141</v>
      </c>
      <c r="P37" s="237">
        <v>2423468</v>
      </c>
      <c r="Q37" s="237">
        <v>692260.49385742994</v>
      </c>
      <c r="R37" s="237">
        <v>17645035.011078101</v>
      </c>
      <c r="S37" s="237">
        <v>34553747.576119512</v>
      </c>
      <c r="T37" s="237">
        <v>4415157.5916026225</v>
      </c>
      <c r="U37" s="237">
        <v>16311357.408282446</v>
      </c>
      <c r="V37" s="237">
        <v>2647325.8446415998</v>
      </c>
      <c r="W37" s="237">
        <v>336392.95646566537</v>
      </c>
      <c r="X37" s="237">
        <v>1674036.0474599604</v>
      </c>
      <c r="Y37" s="237">
        <v>2590757.3418221236</v>
      </c>
      <c r="Z37" s="237">
        <v>113383.60149794027</v>
      </c>
      <c r="AA37" s="237">
        <v>8309938.8217724673</v>
      </c>
      <c r="AB37" s="237">
        <v>40437021.402444661</v>
      </c>
      <c r="AC37" s="237">
        <v>682979.63888483576</v>
      </c>
      <c r="AD37" s="237">
        <v>558483.45438534976</v>
      </c>
      <c r="AE37" s="237">
        <v>8468381.4765873924</v>
      </c>
      <c r="AF37" s="237">
        <v>844853.14489628945</v>
      </c>
      <c r="AG37" s="237">
        <v>414779.604148224</v>
      </c>
      <c r="AH37" s="237">
        <v>242485.23551898007</v>
      </c>
      <c r="AI37" s="237">
        <v>617437.20453713369</v>
      </c>
      <c r="AJ37" s="237">
        <v>535691.53518718737</v>
      </c>
      <c r="AK37" s="237">
        <v>49937437.708242923</v>
      </c>
      <c r="AL37" s="237">
        <v>2999214.9520743596</v>
      </c>
      <c r="AM37" s="237">
        <v>2330919.0257364037</v>
      </c>
      <c r="AN37" s="237">
        <v>275121344.11437047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73078.03617756156</v>
      </c>
      <c r="E7" s="76">
        <v>1074814.1195466674</v>
      </c>
      <c r="F7" s="76">
        <v>16603.257022413585</v>
      </c>
      <c r="G7" s="76">
        <v>26518.159148204846</v>
      </c>
      <c r="H7" s="76">
        <v>142742</v>
      </c>
      <c r="I7" s="76">
        <v>441355.81396357878</v>
      </c>
      <c r="J7" s="76">
        <v>4332374.2380023468</v>
      </c>
      <c r="K7" s="76">
        <v>6339082.9042069493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70477.876109874516</v>
      </c>
      <c r="E8" s="76">
        <v>979585.74384760961</v>
      </c>
      <c r="F8" s="76">
        <v>130820.04776978695</v>
      </c>
      <c r="G8" s="76">
        <v>44116.809749004882</v>
      </c>
      <c r="H8" s="76">
        <v>142742</v>
      </c>
      <c r="I8" s="76">
        <v>464412.98263243266</v>
      </c>
      <c r="J8" s="76">
        <v>4332374.2380023478</v>
      </c>
      <c r="K8" s="76">
        <v>6436799.2248424646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425887.94262853835</v>
      </c>
      <c r="E9" s="76">
        <v>2999214.9520743592</v>
      </c>
      <c r="F9" s="76">
        <v>147423.30479220054</v>
      </c>
      <c r="G9" s="76">
        <v>70634.968897209721</v>
      </c>
      <c r="H9" s="76">
        <v>428226</v>
      </c>
      <c r="I9" s="76">
        <v>1326398.7864374395</v>
      </c>
      <c r="J9" s="76">
        <v>14085822.741476139</v>
      </c>
      <c r="K9" s="76">
        <v>20561584.798870474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8.85546875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28" width="12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208</v>
      </c>
      <c r="X5" s="168" t="s">
        <v>204</v>
      </c>
      <c r="Y5" s="168" t="s">
        <v>56</v>
      </c>
      <c r="Z5" s="168" t="s">
        <v>55</v>
      </c>
      <c r="AA5" s="168" t="s">
        <v>238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911574.64248506655</v>
      </c>
      <c r="Z6" s="98">
        <v>2005102.1714007764</v>
      </c>
      <c r="AA6" s="98">
        <v>98826.033045954537</v>
      </c>
      <c r="AB6" s="98">
        <v>34625194.021511331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115453.44368633442</v>
      </c>
      <c r="C7" s="98">
        <v>222311.32015996272</v>
      </c>
      <c r="D7" s="98">
        <v>2879432.3705421127</v>
      </c>
      <c r="E7" s="98">
        <v>816263.24506125983</v>
      </c>
      <c r="F7" s="98">
        <v>78553.702461745328</v>
      </c>
      <c r="G7" s="98">
        <v>1374464.7761217668</v>
      </c>
      <c r="H7" s="98">
        <v>22668603.935513616</v>
      </c>
      <c r="I7" s="98">
        <v>1943930.4726515138</v>
      </c>
      <c r="J7" s="98">
        <v>1406169.5510835706</v>
      </c>
      <c r="K7" s="98"/>
      <c r="L7" s="98">
        <v>2638325.4859476229</v>
      </c>
      <c r="M7" s="98">
        <v>1704251.7313094852</v>
      </c>
      <c r="N7" s="98">
        <v>279460.19505556813</v>
      </c>
      <c r="O7" s="98"/>
      <c r="P7" s="98">
        <v>4026453.5838195304</v>
      </c>
      <c r="Q7" s="98">
        <v>1683870.2644063029</v>
      </c>
      <c r="R7" s="98">
        <v>161537.9032329694</v>
      </c>
      <c r="S7" s="98">
        <v>77613.227144894539</v>
      </c>
      <c r="T7" s="98">
        <v>969064.01856535044</v>
      </c>
      <c r="U7" s="98">
        <v>120600</v>
      </c>
      <c r="V7" s="98">
        <v>4524165.7825595355</v>
      </c>
      <c r="W7" s="98">
        <v>444556.26511813002</v>
      </c>
      <c r="X7" s="98">
        <v>7373.2638100039912</v>
      </c>
      <c r="Y7" s="98">
        <v>880362.49952358752</v>
      </c>
      <c r="Z7" s="98">
        <v>1933087.1070249293</v>
      </c>
      <c r="AA7" s="98">
        <v>69134.902444213949</v>
      </c>
      <c r="AB7" s="98">
        <v>51025039.047244005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91483.449028257528</v>
      </c>
      <c r="C8" s="98">
        <v>204750.23029841902</v>
      </c>
      <c r="D8" s="98">
        <v>3083517.389159603</v>
      </c>
      <c r="E8" s="98">
        <v>974782.96335445996</v>
      </c>
      <c r="F8" s="98">
        <v>45149.045691544226</v>
      </c>
      <c r="G8" s="98">
        <v>1289066.8796105941</v>
      </c>
      <c r="H8" s="98">
        <v>22013354.339926429</v>
      </c>
      <c r="I8" s="98">
        <v>1797189.798135357</v>
      </c>
      <c r="J8" s="98">
        <v>1233539.4545505946</v>
      </c>
      <c r="K8" s="98"/>
      <c r="L8" s="98">
        <v>2566864.5016418155</v>
      </c>
      <c r="M8" s="98">
        <v>1446276.33214489</v>
      </c>
      <c r="N8" s="98">
        <v>279460.19505556813</v>
      </c>
      <c r="O8" s="98"/>
      <c r="P8" s="98">
        <v>3683278.2816732209</v>
      </c>
      <c r="Q8" s="98">
        <v>1523903.5085452974</v>
      </c>
      <c r="R8" s="98">
        <v>139591.73829578911</v>
      </c>
      <c r="S8" s="98">
        <v>63100.883365064234</v>
      </c>
      <c r="T8" s="98">
        <v>805844.33138368977</v>
      </c>
      <c r="U8" s="98">
        <v>120600</v>
      </c>
      <c r="V8" s="98">
        <v>4709144.7286312692</v>
      </c>
      <c r="W8" s="98">
        <v>525384.67695779027</v>
      </c>
      <c r="X8" s="98">
        <v>1731.5998341676968</v>
      </c>
      <c r="Y8" s="98">
        <v>824629.38934643252</v>
      </c>
      <c r="Z8" s="98">
        <v>1810667.4246186719</v>
      </c>
      <c r="AA8" s="98">
        <v>51619.883702678038</v>
      </c>
      <c r="AB8" s="98">
        <v>49284931.024951614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383533.79211658775</v>
      </c>
      <c r="C9" s="98">
        <v>639772.56021412858</v>
      </c>
      <c r="D9" s="98">
        <v>9193478.8319432288</v>
      </c>
      <c r="E9" s="98">
        <v>3143264.2155585773</v>
      </c>
      <c r="F9" s="98">
        <v>261978.02818218869</v>
      </c>
      <c r="G9" s="98">
        <v>4166089.6913405759</v>
      </c>
      <c r="H9" s="98">
        <v>48799961.985740215</v>
      </c>
      <c r="I9" s="98">
        <v>5781994.0216530049</v>
      </c>
      <c r="J9" s="98">
        <v>4614379.3349455837</v>
      </c>
      <c r="K9" s="98">
        <v>51892.132620096323</v>
      </c>
      <c r="L9" s="98">
        <v>6471452.2338569304</v>
      </c>
      <c r="M9" s="98">
        <v>5687311.3047833145</v>
      </c>
      <c r="N9" s="98">
        <v>559800.49011113623</v>
      </c>
      <c r="O9" s="98">
        <v>8064.2063400965635</v>
      </c>
      <c r="P9" s="98">
        <v>12978731.865492752</v>
      </c>
      <c r="Q9" s="98">
        <v>4864138.4144525146</v>
      </c>
      <c r="R9" s="98">
        <v>518140.00896428176</v>
      </c>
      <c r="S9" s="98">
        <v>246660.42208191403</v>
      </c>
      <c r="T9" s="98">
        <v>3157559.7811279469</v>
      </c>
      <c r="U9" s="98">
        <v>241276.5</v>
      </c>
      <c r="V9" s="98">
        <v>13601634.412869465</v>
      </c>
      <c r="W9" s="98">
        <v>969940.94207592029</v>
      </c>
      <c r="X9" s="98">
        <v>9104.8636441716881</v>
      </c>
      <c r="Y9" s="98">
        <v>2616566.5313550867</v>
      </c>
      <c r="Z9" s="98">
        <v>5748856.7030443773</v>
      </c>
      <c r="AA9" s="98">
        <v>219580.81919284654</v>
      </c>
      <c r="AB9" s="98">
        <v>134935164.09370694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20.054054042911126</v>
      </c>
      <c r="C7" s="235">
        <v>0</v>
      </c>
      <c r="D7" s="235">
        <v>55.749077412814366</v>
      </c>
      <c r="E7" s="235">
        <v>28.513875627754832</v>
      </c>
      <c r="F7" s="235">
        <v>0.35905402506237244</v>
      </c>
      <c r="G7" s="235">
        <v>1.7582310298619541</v>
      </c>
      <c r="H7" s="235">
        <v>0</v>
      </c>
      <c r="I7" s="235">
        <v>5.7716862989217699</v>
      </c>
      <c r="J7" s="235">
        <v>44.595115183387243</v>
      </c>
      <c r="K7" s="235">
        <v>156.80109362071366</v>
      </c>
    </row>
    <row r="8" spans="1:11" x14ac:dyDescent="0.25">
      <c r="A8" s="79">
        <v>2050</v>
      </c>
      <c r="B8" s="235">
        <v>20.192273032472887</v>
      </c>
      <c r="C8" s="235">
        <v>0</v>
      </c>
      <c r="D8" s="235">
        <v>53.852798955398534</v>
      </c>
      <c r="E8" s="235">
        <v>23.769249454812936</v>
      </c>
      <c r="F8" s="235">
        <v>0.35905402506237249</v>
      </c>
      <c r="G8" s="235">
        <v>2.0996825030655066</v>
      </c>
      <c r="H8" s="235">
        <v>0</v>
      </c>
      <c r="I8" s="235">
        <v>5.3793498791113672</v>
      </c>
      <c r="J8" s="235">
        <v>40.928955861930156</v>
      </c>
      <c r="K8" s="235">
        <v>146.58136371185378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5.3360216584019184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12.638610918959291</v>
      </c>
      <c r="H11" s="235">
        <v>0</v>
      </c>
      <c r="I11" s="235">
        <v>0</v>
      </c>
      <c r="J11" s="235">
        <v>0</v>
      </c>
      <c r="K11" s="235">
        <v>22.015053584864212</v>
      </c>
    </row>
    <row r="12" spans="1:11" x14ac:dyDescent="0.25">
      <c r="A12" s="79">
        <v>2050</v>
      </c>
      <c r="B12" s="235">
        <v>5.3757121853452849</v>
      </c>
      <c r="C12" s="235">
        <v>2.1694819870080004</v>
      </c>
      <c r="D12" s="235">
        <v>1.4201719861750002</v>
      </c>
      <c r="E12" s="235">
        <v>0.45076703431999993</v>
      </c>
      <c r="F12" s="235">
        <v>0</v>
      </c>
      <c r="G12" s="235">
        <v>11.74965505166637</v>
      </c>
      <c r="H12" s="235">
        <v>0</v>
      </c>
      <c r="I12" s="235">
        <v>0</v>
      </c>
      <c r="J12" s="235">
        <v>0</v>
      </c>
      <c r="K12" s="235">
        <v>21.165788244514658</v>
      </c>
    </row>
    <row r="13" spans="1:11" x14ac:dyDescent="0.25">
      <c r="A13" s="78" t="s">
        <v>287</v>
      </c>
      <c r="B13" s="235">
        <v>57.790257599886317</v>
      </c>
      <c r="C13" s="235">
        <v>0</v>
      </c>
      <c r="D13" s="235">
        <v>109.6018763682129</v>
      </c>
      <c r="E13" s="235">
        <v>71.856715571124965</v>
      </c>
      <c r="F13" s="235">
        <v>0.71810805012474499</v>
      </c>
      <c r="G13" s="235">
        <v>3.8579135329274608</v>
      </c>
      <c r="H13" s="235">
        <v>0</v>
      </c>
      <c r="I13" s="235">
        <v>15.102083305862713</v>
      </c>
      <c r="J13" s="235">
        <v>133.01316596965924</v>
      </c>
      <c r="K13" s="235">
        <v>391.94012039779835</v>
      </c>
    </row>
    <row r="14" spans="1:11" x14ac:dyDescent="0.25">
      <c r="A14" s="78" t="s">
        <v>244</v>
      </c>
      <c r="B14" s="235">
        <v>18.194888547954204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29.480548928630665</v>
      </c>
      <c r="H14" s="235">
        <v>0</v>
      </c>
      <c r="I14" s="235">
        <v>0</v>
      </c>
      <c r="J14" s="235">
        <v>0</v>
      </c>
      <c r="K14" s="235">
        <v>59.796700499093873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1160388.3515416994</v>
      </c>
      <c r="C4" s="236">
        <v>128467.8</v>
      </c>
      <c r="D4" s="236">
        <v>7604207.1606093608</v>
      </c>
      <c r="E4" s="236">
        <v>2450510.5324113388</v>
      </c>
      <c r="F4" s="236">
        <v>60009.02925833522</v>
      </c>
      <c r="G4" s="236">
        <v>1943955.784722442</v>
      </c>
      <c r="H4" s="236">
        <v>1483522.0930239339</v>
      </c>
      <c r="I4" s="236">
        <v>14831060.751567109</v>
      </c>
    </row>
    <row r="5" spans="1:9" x14ac:dyDescent="0.25">
      <c r="A5" s="78">
        <v>2050</v>
      </c>
      <c r="B5" s="236">
        <v>1178747.4589546248</v>
      </c>
      <c r="C5" s="236">
        <v>128467.8</v>
      </c>
      <c r="D5" s="236">
        <v>7367305.6273810053</v>
      </c>
      <c r="E5" s="236">
        <v>2055426.9391486524</v>
      </c>
      <c r="F5" s="236">
        <v>60009.02925833522</v>
      </c>
      <c r="G5" s="236">
        <v>1886488.9335268831</v>
      </c>
      <c r="H5" s="236">
        <v>1360695.4007436582</v>
      </c>
      <c r="I5" s="236">
        <v>14037141.189013159</v>
      </c>
    </row>
    <row r="6" spans="1:9" x14ac:dyDescent="0.25">
      <c r="A6" s="78" t="s">
        <v>61</v>
      </c>
      <c r="B6" s="236">
        <v>3416440.7504963242</v>
      </c>
      <c r="C6" s="236">
        <v>385403.4</v>
      </c>
      <c r="D6" s="236">
        <v>15100239.147990366</v>
      </c>
      <c r="E6" s="236">
        <v>6181355.4622152187</v>
      </c>
      <c r="F6" s="236">
        <v>120018.05851667044</v>
      </c>
      <c r="G6" s="236">
        <v>4534460.8340826584</v>
      </c>
      <c r="H6" s="236">
        <v>4420090.9721987676</v>
      </c>
      <c r="I6" s="236">
        <v>34158008.625500008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10030039.4981656</v>
      </c>
      <c r="C4" s="98">
        <v>-50273.43159900204</v>
      </c>
      <c r="D4" s="98">
        <v>4372389.2415994741</v>
      </c>
      <c r="E4" s="98">
        <v>7550802.4044669205</v>
      </c>
      <c r="F4" s="98">
        <v>-840120.34066998609</v>
      </c>
      <c r="G4" s="98">
        <v>-429361.82901095762</v>
      </c>
      <c r="H4" s="98">
        <v>0</v>
      </c>
      <c r="I4" s="98">
        <v>-573396.54662085196</v>
      </c>
      <c r="J4" s="98">
        <v>20060078.996331196</v>
      </c>
    </row>
    <row r="5" spans="1:10" x14ac:dyDescent="0.25">
      <c r="A5" s="78">
        <v>2050</v>
      </c>
      <c r="B5" s="98">
        <v>8511278.5737313814</v>
      </c>
      <c r="C5" s="98">
        <v>-50273.43159900204</v>
      </c>
      <c r="D5" s="98">
        <v>4294170.5525269303</v>
      </c>
      <c r="E5" s="98">
        <v>7298722.430061643</v>
      </c>
      <c r="F5" s="98">
        <v>-2125652.3109115865</v>
      </c>
      <c r="G5" s="98">
        <v>-374595.16707279172</v>
      </c>
      <c r="H5" s="98">
        <v>0</v>
      </c>
      <c r="I5" s="98">
        <v>-531093.49927380856</v>
      </c>
      <c r="J5" s="98">
        <v>17022557.147462767</v>
      </c>
    </row>
    <row r="6" spans="1:10" x14ac:dyDescent="0.25">
      <c r="A6" s="78" t="s">
        <v>61</v>
      </c>
      <c r="B6" s="98">
        <v>32452880.190174554</v>
      </c>
      <c r="C6" s="98">
        <v>-100705.30039800408</v>
      </c>
      <c r="D6" s="98">
        <v>14185821.69486312</v>
      </c>
      <c r="E6" s="98">
        <v>24574991.024262745</v>
      </c>
      <c r="F6" s="98">
        <v>-3527672.6515815724</v>
      </c>
      <c r="G6" s="98">
        <v>-969164.20697880909</v>
      </c>
      <c r="H6" s="98">
        <v>0</v>
      </c>
      <c r="I6" s="98">
        <v>-1710390.3699929356</v>
      </c>
      <c r="J6" s="98">
        <v>64905760.3803491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8563973.8780012261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4014831.3639984471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-392117.53538951697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7526273.4773911657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3940625.4925995185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-342781.68643435533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1529653.5462017115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357557.87760102691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-37244.293621440665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1352167.5064076744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353545.05992741167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-31813.480638436406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7413930.9012285359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837909.83552613179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12943075.16659298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5892132.706660063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640650.31074190955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9929306.0386723876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1180023.4987714642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276061.36447386816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4076392.0334070176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2701821.6933399374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473320.88925809035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7090161.1613276098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371971726417541</vt:r8>
  </property>
</Properties>
</file>