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14558041-51EF-450F-8BFE-F9A7B1A424B3}" xr6:coauthVersionLast="47" xr6:coauthVersionMax="47" xr10:uidLastSave="{00000000-0000-0000-0000-000000000000}"/>
  <bookViews>
    <workbookView xWindow="-19310" yWindow="-110" windowWidth="19420" windowHeight="1162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934" r:id="rId38"/>
    <pivotCache cacheId="1939" r:id="rId39"/>
    <pivotCache cacheId="1944" r:id="rId40"/>
    <pivotCache cacheId="1950" r:id="rId41"/>
    <pivotCache cacheId="1955" r:id="rId42"/>
    <pivotCache cacheId="1960" r:id="rId43"/>
    <pivotCache cacheId="1964" r:id="rId44"/>
    <pivotCache cacheId="196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1" i="72" l="1" a="1"/>
  <c r="D281" i="72" s="1"/>
  <c r="D251" i="72" a="1"/>
  <c r="D251" i="72" s="1"/>
  <c r="D252" i="72" s="1" a="1"/>
  <c r="D252" i="72" s="1"/>
  <c r="D250" i="72" a="1"/>
  <c r="D250" i="72" s="1"/>
  <c r="D220" i="72" a="1"/>
  <c r="D220" i="72" s="1"/>
  <c r="D221" i="72" s="1" a="1"/>
  <c r="D221" i="72" s="1"/>
  <c r="D219" i="72" a="1"/>
  <c r="D219" i="72" s="1"/>
  <c r="D189" i="72" a="1"/>
  <c r="D189" i="72" s="1"/>
  <c r="D188" i="72" a="1"/>
  <c r="D188" i="72" s="1"/>
  <c r="D157" i="72" a="1"/>
  <c r="D157" i="72" s="1"/>
  <c r="D126" i="72" a="1"/>
  <c r="D126" i="72" s="1"/>
  <c r="D96" i="72" a="1"/>
  <c r="D96" i="72" s="1"/>
  <c r="D95" i="72" a="1"/>
  <c r="D95" i="72" s="1"/>
  <c r="D64" i="72" a="1"/>
  <c r="D64" i="72" s="1"/>
  <c r="D33" i="72" a="1"/>
  <c r="D33" i="72" s="1"/>
  <c r="D2" i="72" a="1"/>
  <c r="D2" i="72" s="1"/>
  <c r="D3" i="72" s="1" a="1"/>
  <c r="D3" i="72" s="1"/>
  <c r="E56" i="17"/>
  <c r="D56" i="17"/>
  <c r="R24" i="70"/>
  <c r="R23" i="70"/>
  <c r="Q22" i="70"/>
  <c r="D127" i="72" l="1" a="1"/>
  <c r="D127" i="72" s="1"/>
  <c r="D128" i="72" s="1" a="1"/>
  <c r="D128" i="72" s="1"/>
  <c r="D158" i="72" a="1"/>
  <c r="D158" i="72" s="1"/>
  <c r="D159" i="72" s="1" a="1"/>
  <c r="D159" i="72" s="1"/>
  <c r="D190" i="72" a="1"/>
  <c r="D190" i="72" s="1"/>
  <c r="D191" i="72" s="1" a="1"/>
  <c r="D191" i="72" s="1"/>
  <c r="D222" i="72" a="1"/>
  <c r="D222" i="72" s="1"/>
  <c r="D223" i="72" s="1" a="1"/>
  <c r="D223" i="72" s="1"/>
  <c r="D65" i="72" a="1"/>
  <c r="D65" i="72" s="1"/>
  <c r="D66" i="72" s="1" a="1"/>
  <c r="D66" i="72" s="1"/>
  <c r="D67" i="72" s="1" a="1"/>
  <c r="D67" i="72" s="1"/>
  <c r="D34" i="72" a="1"/>
  <c r="D34" i="72" s="1"/>
  <c r="D35" i="72" s="1" a="1"/>
  <c r="D35" i="72" s="1"/>
  <c r="D253" i="72" a="1"/>
  <c r="D253" i="72" s="1"/>
  <c r="D254" i="72" s="1" a="1"/>
  <c r="D254" i="72" s="1"/>
  <c r="D282" i="72" a="1"/>
  <c r="D282" i="72" s="1"/>
  <c r="D97" i="72" a="1"/>
  <c r="D97" i="72" s="1"/>
  <c r="D4" i="72" a="1"/>
  <c r="D4" i="72" s="1"/>
  <c r="D5" i="72" s="1" a="1"/>
  <c r="D5" i="72" s="1"/>
  <c r="E51" i="17"/>
  <c r="D51" i="17"/>
  <c r="D14" i="34"/>
  <c r="D6" i="72" l="1" a="1"/>
  <c r="D6" i="72" s="1"/>
  <c r="D36" i="72" a="1"/>
  <c r="D36" i="72" s="1"/>
  <c r="D37" i="72" s="1" a="1"/>
  <c r="D37" i="72" s="1"/>
  <c r="D38" i="72" s="1" a="1"/>
  <c r="D38" i="72" s="1"/>
  <c r="D129" i="72" a="1"/>
  <c r="D129" i="72" s="1"/>
  <c r="D130" i="72" s="1" a="1"/>
  <c r="D130" i="72" s="1"/>
  <c r="D131" i="72" s="1" a="1"/>
  <c r="D131" i="72" s="1"/>
  <c r="D192" i="72" a="1"/>
  <c r="D192" i="72" s="1"/>
  <c r="D68" i="72" a="1"/>
  <c r="D68" i="72" s="1"/>
  <c r="D283" i="72" a="1"/>
  <c r="D283" i="72" s="1"/>
  <c r="D284" i="72" s="1" a="1"/>
  <c r="D284" i="72" s="1"/>
  <c r="D98" i="72" a="1"/>
  <c r="D98" i="72" s="1"/>
  <c r="D99" i="72" s="1" a="1"/>
  <c r="D99" i="72" s="1"/>
  <c r="D255" i="72" a="1"/>
  <c r="D255" i="72" s="1"/>
  <c r="D256" i="72" s="1" a="1"/>
  <c r="D256" i="72" s="1"/>
  <c r="D224" i="72" a="1"/>
  <c r="D224" i="72" s="1"/>
  <c r="D225" i="72" s="1" a="1"/>
  <c r="D225" i="72" s="1"/>
  <c r="D160" i="72" a="1"/>
  <c r="D160" i="72" s="1"/>
  <c r="D161" i="72" s="1" a="1"/>
  <c r="D161" i="72" s="1"/>
  <c r="D7" i="72" a="1"/>
  <c r="D7" i="72" s="1"/>
  <c r="D8" i="72" s="1" a="1"/>
  <c r="D8" i="72" s="1"/>
  <c r="D18" i="34"/>
  <c r="D9" i="72" l="1" a="1"/>
  <c r="D9" i="72" s="1"/>
  <c r="D10" i="72" s="1" a="1"/>
  <c r="D10" i="72" s="1"/>
  <c r="D11" i="72" s="1" a="1"/>
  <c r="D11" i="72" s="1"/>
  <c r="D162" i="72" a="1"/>
  <c r="D162" i="72" s="1"/>
  <c r="D100" i="72" a="1"/>
  <c r="D100" i="72" s="1"/>
  <c r="D285" i="72" a="1"/>
  <c r="D285" i="72" s="1"/>
  <c r="D286" i="72" s="1" a="1"/>
  <c r="D286" i="72" s="1"/>
  <c r="D193" i="72" a="1"/>
  <c r="D193" i="72" s="1"/>
  <c r="D257" i="72" a="1"/>
  <c r="D257" i="72" s="1"/>
  <c r="D132" i="72" a="1"/>
  <c r="D132" i="72" s="1"/>
  <c r="D69" i="72" a="1"/>
  <c r="D69" i="72" s="1"/>
  <c r="D70" i="72" s="1" a="1"/>
  <c r="D70" i="72" s="1"/>
  <c r="D39" i="72" a="1"/>
  <c r="D39" i="72" s="1"/>
  <c r="D226" i="72" a="1"/>
  <c r="D226" i="72" s="1"/>
  <c r="D101" i="72" a="1"/>
  <c r="D101" i="72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12" i="72" l="1" a="1"/>
  <c r="D12" i="72" s="1"/>
  <c r="D13" i="72" s="1" a="1"/>
  <c r="D13" i="72" s="1"/>
  <c r="D194" i="72" a="1"/>
  <c r="D194" i="72" s="1"/>
  <c r="D133" i="72" a="1"/>
  <c r="D133" i="72" s="1"/>
  <c r="D71" i="72" a="1"/>
  <c r="D71" i="72" s="1"/>
  <c r="D40" i="72" a="1"/>
  <c r="D40" i="72" s="1"/>
  <c r="D227" i="72" a="1"/>
  <c r="D227" i="72" s="1"/>
  <c r="D102" i="72" a="1"/>
  <c r="D102" i="72" s="1"/>
  <c r="D287" i="72" a="1"/>
  <c r="D287" i="72" s="1"/>
  <c r="D288" i="72" s="1" a="1"/>
  <c r="D288" i="72" s="1"/>
  <c r="D163" i="72" a="1"/>
  <c r="D163" i="72" s="1"/>
  <c r="D258" i="72" a="1"/>
  <c r="D258" i="72" s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D14" i="72" l="1" a="1"/>
  <c r="D14" i="72" s="1"/>
  <c r="D15" i="72" s="1" a="1"/>
  <c r="D15" i="72" s="1"/>
  <c r="D16" i="72" s="1" a="1"/>
  <c r="D16" i="72" s="1"/>
  <c r="D41" i="72" a="1"/>
  <c r="D41" i="72" s="1"/>
  <c r="D72" i="72" a="1"/>
  <c r="D72" i="72" s="1"/>
  <c r="D134" i="72" a="1"/>
  <c r="D134" i="72" s="1"/>
  <c r="D228" i="72" a="1"/>
  <c r="D228" i="72" s="1"/>
  <c r="D229" i="72" s="1" a="1"/>
  <c r="D229" i="72" s="1"/>
  <c r="D230" i="72" s="1" a="1"/>
  <c r="D230" i="72" s="1"/>
  <c r="D231" i="72" s="1" a="1"/>
  <c r="D231" i="72" s="1"/>
  <c r="D195" i="72" a="1"/>
  <c r="D195" i="72" s="1"/>
  <c r="D196" i="72" s="1" a="1"/>
  <c r="D196" i="72" s="1"/>
  <c r="D103" i="72" a="1"/>
  <c r="D103" i="72" s="1"/>
  <c r="D104" i="72" s="1" a="1"/>
  <c r="D104" i="72" s="1"/>
  <c r="D105" i="72" s="1" a="1"/>
  <c r="D105" i="72" s="1"/>
  <c r="D259" i="72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164" i="72" a="1"/>
  <c r="D164" i="72" s="1"/>
  <c r="D289" i="72" a="1"/>
  <c r="D289" i="72" s="1"/>
  <c r="G93" i="37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D106" i="72" l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65" i="72" a="1"/>
  <c r="D165" i="72" s="1"/>
  <c r="D73" i="72" a="1"/>
  <c r="D73" i="72" s="1"/>
  <c r="D74" i="72" s="1" a="1"/>
  <c r="D74" i="72" s="1"/>
  <c r="D17" i="72" a="1"/>
  <c r="D17" i="72" s="1"/>
  <c r="D18" i="72" s="1" a="1"/>
  <c r="D18" i="72" s="1"/>
  <c r="D19" i="72" s="1" a="1"/>
  <c r="D19" i="72" s="1"/>
  <c r="D197" i="72" a="1"/>
  <c r="D197" i="72" s="1"/>
  <c r="D42" i="72" a="1"/>
  <c r="D42" i="72" s="1"/>
  <c r="D290" i="72" a="1"/>
  <c r="D290" i="72" s="1"/>
  <c r="D291" i="72" s="1" a="1"/>
  <c r="D291" i="72" s="1"/>
  <c r="D292" i="72" s="1" a="1"/>
  <c r="D292" i="72" s="1"/>
  <c r="D293" i="72" s="1" a="1"/>
  <c r="D293" i="72" s="1"/>
  <c r="D267" i="72" a="1"/>
  <c r="D267" i="72" s="1"/>
  <c r="D268" i="72" s="1" a="1"/>
  <c r="D268" i="72" s="1"/>
  <c r="D135" i="72" a="1"/>
  <c r="D135" i="72" s="1"/>
  <c r="D232" i="72" a="1"/>
  <c r="D232" i="72" s="1"/>
  <c r="G17" i="41"/>
  <c r="G84" i="41"/>
  <c r="D20" i="72" l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269" i="72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33" i="72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94" i="72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36" i="72" a="1"/>
  <c r="D136" i="72" s="1"/>
  <c r="D75" i="72" a="1"/>
  <c r="D75" i="72" s="1"/>
  <c r="D198" i="72" a="1"/>
  <c r="D198" i="72" s="1"/>
  <c r="D43" i="72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166" i="72" a="1"/>
  <c r="D166" i="72" s="1"/>
  <c r="C341" i="38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C56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32" i="72" l="1" a="1"/>
  <c r="D32" i="72" s="1"/>
  <c r="D199" i="72" a="1"/>
  <c r="D199" i="72" s="1"/>
  <c r="D56" i="72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76" i="72" a="1"/>
  <c r="D76" i="72" s="1"/>
  <c r="D77" i="72" s="1" a="1"/>
  <c r="D77" i="72" s="1"/>
  <c r="D78" i="72" s="1" a="1"/>
  <c r="D78" i="72" s="1"/>
  <c r="D79" i="72" s="1" a="1"/>
  <c r="D79" i="72" s="1"/>
  <c r="D137" i="72" a="1"/>
  <c r="D137" i="72" s="1"/>
  <c r="D138" i="72" s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67" i="72" a="1"/>
  <c r="D167" i="72" s="1"/>
  <c r="C60" i="26"/>
  <c r="D60" i="26" s="1"/>
  <c r="B61" i="26"/>
  <c r="D46" i="17"/>
  <c r="D80" i="72" l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8" i="72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00" i="72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59" i="26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l="1"/>
  <c r="D10" i="53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18" i="58" l="1"/>
  <c r="J120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8" i="41" l="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U9" i="9" l="1"/>
  <c r="V5" i="9"/>
  <c r="U7" i="9"/>
  <c r="U5" i="9"/>
  <c r="R7" i="9"/>
  <c r="E32" i="22"/>
  <c r="R40" i="9"/>
  <c r="O40" i="9"/>
  <c r="O30" i="9"/>
  <c r="E39" i="22"/>
  <c r="P9" i="9"/>
  <c r="V9" i="9" s="1"/>
  <c r="K42" i="39"/>
  <c r="E140" i="38" s="1"/>
  <c r="C42" i="39"/>
  <c r="E89" i="38" s="1"/>
  <c r="P15" i="39"/>
  <c r="O15" i="39"/>
  <c r="Q7" i="9"/>
  <c r="V7" i="9" s="1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T8" i="9" s="1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U8" i="9" s="1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V8" i="9" s="1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V6" i="9" s="1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D47" i="17" l="1" a="1"/>
  <c r="D47" i="17" s="1"/>
  <c r="F34" i="20" s="1"/>
  <c r="U6" i="9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17" i="20" l="1"/>
  <c r="F16" i="20"/>
  <c r="F14" i="20"/>
  <c r="O43" i="20"/>
  <c r="F7" i="20"/>
  <c r="O7" i="20"/>
  <c r="O11" i="20"/>
  <c r="F18" i="20"/>
  <c r="O35" i="20"/>
  <c r="O12" i="20"/>
  <c r="F42" i="20"/>
  <c r="O42" i="20"/>
  <c r="F19" i="20"/>
  <c r="O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F35" i="20"/>
  <c r="O37" i="20"/>
  <c r="F41" i="20"/>
  <c r="F44" i="20"/>
  <c r="F11" i="20"/>
  <c r="O8" i="20"/>
  <c r="O36" i="20"/>
  <c r="F39" i="20"/>
  <c r="F40" i="20"/>
  <c r="F6" i="20"/>
  <c r="F33" i="20"/>
  <c r="F38" i="20"/>
  <c r="F13" i="20"/>
  <c r="O44" i="20"/>
  <c r="O45" i="20"/>
  <c r="F17" i="20"/>
  <c r="O14" i="20"/>
  <c r="O18" i="20"/>
  <c r="F10" i="20"/>
  <c r="F36" i="20"/>
  <c r="F8" i="20"/>
  <c r="O10" i="20"/>
  <c r="F45" i="20"/>
  <c r="O6" i="20"/>
  <c r="F43" i="20"/>
  <c r="O13" i="20"/>
  <c r="O16" i="20"/>
  <c r="O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F69" i="18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216" i="66" l="1"/>
  <c r="Y202" i="66"/>
  <c r="Y58" i="66"/>
  <c r="Y216" i="66"/>
  <c r="Y72" i="66"/>
  <c r="Z72" i="66"/>
  <c r="Z20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220" i="72" l="1"/>
  <c r="G189" i="72"/>
  <c r="G158" i="72"/>
  <c r="G127" i="72"/>
  <c r="G96" i="72"/>
  <c r="G65" i="72"/>
  <c r="G282" i="72"/>
  <c r="G251" i="72"/>
  <c r="G34" i="72"/>
  <c r="G3" i="72"/>
  <c r="E251" i="72" l="1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90" i="72" l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66" i="72" l="1"/>
  <c r="F66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28" i="72"/>
  <c r="F128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159" i="72"/>
  <c r="F159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4" i="72"/>
  <c r="F4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190" i="72"/>
  <c r="F190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60" i="72"/>
  <c r="F160" i="72" s="1"/>
  <c r="E67" i="72"/>
  <c r="F67" i="72" s="1"/>
  <c r="E222" i="72"/>
  <c r="F222" i="72" s="1"/>
  <c r="E98" i="72"/>
  <c r="F98" i="72" s="1"/>
  <c r="E253" i="72"/>
  <c r="F253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5" i="72" l="1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37" i="72"/>
  <c r="F37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85" i="72"/>
  <c r="F285" i="72" s="1"/>
  <c r="E130" i="72"/>
  <c r="F130" i="72" s="1"/>
  <c r="E99" i="72" l="1"/>
  <c r="F99" i="72" s="1"/>
  <c r="E68" i="72"/>
  <c r="F68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223" i="72"/>
  <c r="F223" i="72" s="1"/>
  <c r="E254" i="72"/>
  <c r="F254" i="72" s="1"/>
  <c r="E192" i="72"/>
  <c r="F192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I4" i="58"/>
  <c r="I4" i="37"/>
  <c r="J4" i="58"/>
  <c r="J4" i="37"/>
  <c r="E6" i="72"/>
  <c r="F6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62" i="72" l="1"/>
  <c r="F162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H4" i="37"/>
  <c r="H4" i="58"/>
  <c r="E38" i="72"/>
  <c r="F38" i="72" s="1"/>
  <c r="E69" i="72"/>
  <c r="F69" i="72" s="1"/>
  <c r="F245" i="66"/>
  <c r="E37" i="53"/>
  <c r="O4" i="58"/>
  <c r="I4" i="41"/>
  <c r="D45" i="39" s="1"/>
  <c r="F53" i="66"/>
  <c r="E19" i="53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N4" i="58"/>
  <c r="E25" i="53"/>
  <c r="F197" i="66"/>
  <c r="L45" i="39"/>
  <c r="E131" i="72"/>
  <c r="F131" i="72" s="1"/>
  <c r="E100" i="72"/>
  <c r="F100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1" i="53"/>
  <c r="J4" i="41"/>
  <c r="E45" i="39" s="1"/>
  <c r="F101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93" i="72"/>
  <c r="F193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7" i="72"/>
  <c r="F7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M45" i="39"/>
  <c r="L56" i="39"/>
  <c r="L59" i="39"/>
  <c r="L60" i="39" s="1"/>
  <c r="E158" i="38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D59" i="39"/>
  <c r="D60" i="39" s="1"/>
  <c r="E107" i="38"/>
  <c r="D56" i="39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3" i="53"/>
  <c r="F149" i="66"/>
  <c r="M4" i="58"/>
  <c r="E124" i="38"/>
  <c r="E59" i="39"/>
  <c r="E60" i="39" s="1"/>
  <c r="E56" i="39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163" i="72"/>
  <c r="F163" i="72" s="1"/>
  <c r="E7" i="53"/>
  <c r="F5" i="66"/>
  <c r="H4" i="41"/>
  <c r="K45" i="39" s="1"/>
  <c r="E225" i="72" l="1"/>
  <c r="F225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C45" i="39"/>
  <c r="C59" i="39" s="1"/>
  <c r="C60" i="39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I466" i="37"/>
  <c r="J53" i="66"/>
  <c r="D19" i="53"/>
  <c r="F19" i="53" s="1"/>
  <c r="H25" i="53" s="1"/>
  <c r="I474" i="37"/>
  <c r="D57" i="39"/>
  <c r="D58" i="39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8" i="72"/>
  <c r="F8" i="72" s="1"/>
  <c r="E288" i="72"/>
  <c r="F288" i="72" s="1"/>
  <c r="D25" i="53"/>
  <c r="F25" i="53" s="1"/>
  <c r="I474" i="58"/>
  <c r="J197" i="66"/>
  <c r="I466" i="58"/>
  <c r="M59" i="39"/>
  <c r="M60" i="39" s="1"/>
  <c r="M56" i="39"/>
  <c r="E175" i="38"/>
  <c r="J466" i="37"/>
  <c r="D31" i="53"/>
  <c r="F31" i="53" s="1"/>
  <c r="H37" i="53" s="1"/>
  <c r="J474" i="37"/>
  <c r="J101" i="66"/>
  <c r="C56" i="39"/>
  <c r="E58" i="39"/>
  <c r="E57" i="39"/>
  <c r="K59" i="39"/>
  <c r="K60" i="39" s="1"/>
  <c r="K56" i="39"/>
  <c r="E141" i="38"/>
  <c r="E39" i="72"/>
  <c r="F39" i="72" s="1"/>
  <c r="L58" i="39"/>
  <c r="L57" i="39"/>
  <c r="E132" i="72"/>
  <c r="F132" i="72" s="1"/>
  <c r="E90" i="38" l="1"/>
  <c r="E258" i="72"/>
  <c r="F258" i="72" s="1"/>
  <c r="E226" i="72"/>
  <c r="F226" i="72" s="1"/>
  <c r="K57" i="39"/>
  <c r="K58" i="39"/>
  <c r="J479" i="37"/>
  <c r="F103" i="66"/>
  <c r="F198" i="66"/>
  <c r="I489" i="58"/>
  <c r="E102" i="72"/>
  <c r="F102" i="72" s="1"/>
  <c r="I479" i="37"/>
  <c r="I474" i="41"/>
  <c r="F55" i="66"/>
  <c r="J489" i="37"/>
  <c r="F102" i="66"/>
  <c r="S197" i="66"/>
  <c r="W197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F199" i="66"/>
  <c r="I479" i="58"/>
  <c r="W53" i="66"/>
  <c r="S53" i="66"/>
  <c r="G25" i="53"/>
  <c r="H19" i="53"/>
  <c r="G19" i="53" s="1"/>
  <c r="I466" i="41"/>
  <c r="I489" i="37"/>
  <c r="F54" i="66"/>
  <c r="J245" i="66"/>
  <c r="J466" i="58"/>
  <c r="J466" i="41" s="1"/>
  <c r="D37" i="53"/>
  <c r="F37" i="53" s="1"/>
  <c r="J474" i="58"/>
  <c r="J474" i="41" s="1"/>
  <c r="J5" i="66"/>
  <c r="H466" i="37"/>
  <c r="D7" i="53"/>
  <c r="F7" i="53" s="1"/>
  <c r="H474" i="37"/>
  <c r="M58" i="39"/>
  <c r="M57" i="39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71" i="72"/>
  <c r="F71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C57" i="39"/>
  <c r="C58" i="39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64" i="72"/>
  <c r="F164" i="72" s="1"/>
  <c r="H466" i="58"/>
  <c r="D13" i="53"/>
  <c r="F13" i="53" s="1"/>
  <c r="H7" i="53" s="1"/>
  <c r="J149" i="66"/>
  <c r="H474" i="58"/>
  <c r="W101" i="66"/>
  <c r="S101" i="66"/>
  <c r="E195" i="72"/>
  <c r="F195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59" i="72" l="1"/>
  <c r="F259" i="72" s="1"/>
  <c r="I489" i="4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9" i="72"/>
  <c r="F9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W245" i="66"/>
  <c r="S245" i="66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H479" i="37"/>
  <c r="H474" i="41"/>
  <c r="F7" i="66"/>
  <c r="L54" i="66"/>
  <c r="P54" i="66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F150" i="66"/>
  <c r="H489" i="58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H13" i="53"/>
  <c r="G13" i="53" s="1"/>
  <c r="G7" i="53"/>
  <c r="E378" i="38"/>
  <c r="K199" i="66" s="1"/>
  <c r="N199" i="66" s="1"/>
  <c r="I480" i="58"/>
  <c r="E379" i="38" s="1"/>
  <c r="K218" i="66" s="1"/>
  <c r="N218" i="66" s="1"/>
  <c r="L198" i="66"/>
  <c r="P198" i="66" s="1"/>
  <c r="H466" i="41"/>
  <c r="F6" i="66"/>
  <c r="H489" i="37"/>
  <c r="L102" i="66"/>
  <c r="P102" i="66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W5" i="66"/>
  <c r="S5" i="66"/>
  <c r="E307" i="38"/>
  <c r="E313" i="38"/>
  <c r="F247" i="66"/>
  <c r="J479" i="58"/>
  <c r="J479" i="41" s="1"/>
  <c r="E325" i="38"/>
  <c r="M197" i="66" s="1"/>
  <c r="E319" i="38"/>
  <c r="E366" i="38"/>
  <c r="K103" i="66" s="1"/>
  <c r="N103" i="66" s="1"/>
  <c r="J480" i="37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37" i="53"/>
  <c r="H31" i="53"/>
  <c r="G31" i="53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F151" i="66"/>
  <c r="H479" i="58"/>
  <c r="E227" i="72"/>
  <c r="F227" i="72" s="1"/>
  <c r="W149" i="66"/>
  <c r="S149" i="66"/>
  <c r="J489" i="58"/>
  <c r="J489" i="41" s="1"/>
  <c r="F246" i="66"/>
  <c r="I480" i="37"/>
  <c r="E360" i="38"/>
  <c r="K55" i="66" s="1"/>
  <c r="N55" i="66" s="1"/>
  <c r="I479" i="41"/>
  <c r="E103" i="72" l="1"/>
  <c r="F103" i="72" s="1"/>
  <c r="E290" i="72"/>
  <c r="F290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60" i="72"/>
  <c r="F260" i="72" s="1"/>
  <c r="G261" i="72" s="1"/>
  <c r="N198" i="66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H480" i="58"/>
  <c r="E373" i="38" s="1"/>
  <c r="K170" i="66" s="1"/>
  <c r="N170" i="66" s="1"/>
  <c r="E372" i="38"/>
  <c r="K151" i="66" s="1"/>
  <c r="N151" i="66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H489" i="41"/>
  <c r="E289" i="38"/>
  <c r="E283" i="38"/>
  <c r="L150" i="66"/>
  <c r="P150" i="66" s="1"/>
  <c r="V150" i="66" s="1"/>
  <c r="X150" i="66" s="1"/>
  <c r="E367" i="38"/>
  <c r="K122" i="66" s="1"/>
  <c r="N122" i="66" s="1"/>
  <c r="L6" i="66"/>
  <c r="P6" i="66" s="1"/>
  <c r="V6" i="66" s="1"/>
  <c r="X6" i="66" s="1"/>
  <c r="E295" i="38"/>
  <c r="E301" i="38"/>
  <c r="M149" i="66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4" i="72"/>
  <c r="F134" i="72" s="1"/>
  <c r="E331" i="38"/>
  <c r="E337" i="38"/>
  <c r="L197" i="66"/>
  <c r="I486" i="58"/>
  <c r="E72" i="72"/>
  <c r="F72" i="72" s="1"/>
  <c r="N54" i="66"/>
  <c r="Z199" i="66"/>
  <c r="Z55" i="66"/>
  <c r="Y55" i="66"/>
  <c r="Y199" i="66"/>
  <c r="E343" i="38"/>
  <c r="E349" i="38"/>
  <c r="M245" i="66" s="1"/>
  <c r="C20" i="8"/>
  <c r="M53" i="66"/>
  <c r="F18" i="39" s="1"/>
  <c r="I480" i="41"/>
  <c r="E361" i="38"/>
  <c r="K74" i="66" s="1"/>
  <c r="N74" i="66" s="1"/>
  <c r="E384" i="38"/>
  <c r="K247" i="66" s="1"/>
  <c r="N247" i="66" s="1"/>
  <c r="Z103" i="66" s="1"/>
  <c r="J480" i="58"/>
  <c r="E385" i="38" s="1"/>
  <c r="K266" i="66" s="1"/>
  <c r="N266" i="66" s="1"/>
  <c r="L53" i="66"/>
  <c r="I486" i="37"/>
  <c r="L246" i="66"/>
  <c r="P246" i="66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0" i="72"/>
  <c r="F10" i="72" s="1"/>
  <c r="N102" i="66"/>
  <c r="H480" i="37"/>
  <c r="H479" i="41"/>
  <c r="E354" i="38"/>
  <c r="K7" i="66" s="1"/>
  <c r="N7" i="66" s="1"/>
  <c r="I486" i="41" l="1"/>
  <c r="O198" i="66"/>
  <c r="H262" i="72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61" i="72"/>
  <c r="F261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N246" i="66"/>
  <c r="Z102" i="66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42" i="72"/>
  <c r="F42" i="72" s="1"/>
  <c r="Y266" i="66"/>
  <c r="Y122" i="66"/>
  <c r="Z266" i="66"/>
  <c r="Z122" i="66"/>
  <c r="Z7" i="66"/>
  <c r="Z151" i="66"/>
  <c r="Y151" i="66"/>
  <c r="Y7" i="66"/>
  <c r="D20" i="8"/>
  <c r="M101" i="66"/>
  <c r="G18" i="39" s="1"/>
  <c r="E104" i="72"/>
  <c r="F104" i="72" s="1"/>
  <c r="J480" i="41"/>
  <c r="L101" i="66"/>
  <c r="J486" i="37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N150" i="66"/>
  <c r="E291" i="72"/>
  <c r="F291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Y103" i="66"/>
  <c r="L149" i="66"/>
  <c r="H486" i="58"/>
  <c r="H480" i="41"/>
  <c r="E355" i="38"/>
  <c r="K26" i="66" s="1"/>
  <c r="N26" i="66" s="1"/>
  <c r="Q198" i="66"/>
  <c r="V198" i="66"/>
  <c r="X198" i="66" s="1"/>
  <c r="U198" i="66"/>
  <c r="O54" i="66"/>
  <c r="Y54" i="66"/>
  <c r="Z54" i="66"/>
  <c r="Z198" i="66"/>
  <c r="Y198" i="66"/>
  <c r="L245" i="66"/>
  <c r="J486" i="58"/>
  <c r="Y247" i="66"/>
  <c r="N6" i="66"/>
  <c r="H486" i="37"/>
  <c r="L5" i="66"/>
  <c r="P53" i="66"/>
  <c r="N53" i="66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Y218" i="66"/>
  <c r="Y74" i="66"/>
  <c r="Z74" i="66"/>
  <c r="Z218" i="66"/>
  <c r="P197" i="66"/>
  <c r="N197" i="66"/>
  <c r="Z247" i="66"/>
  <c r="M5" i="66"/>
  <c r="B20" i="8"/>
  <c r="Y246" i="66" l="1"/>
  <c r="Y102" i="66"/>
  <c r="Z246" i="66"/>
  <c r="O246" i="66"/>
  <c r="Q246" i="66" s="1"/>
  <c r="O102" i="66"/>
  <c r="U102" i="66" s="1"/>
  <c r="E262" i="72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O197" i="66"/>
  <c r="Q197" i="66" s="1"/>
  <c r="R197" i="66" s="1"/>
  <c r="T197" i="66" s="1"/>
  <c r="E11" i="72"/>
  <c r="F11" i="72" s="1"/>
  <c r="G12" i="72" s="1"/>
  <c r="E73" i="72"/>
  <c r="F73" i="72" s="1"/>
  <c r="O53" i="66"/>
  <c r="Y53" i="66"/>
  <c r="Z53" i="66"/>
  <c r="Y197" i="66"/>
  <c r="Z197" i="66"/>
  <c r="P245" i="66"/>
  <c r="N245" i="66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Y170" i="66"/>
  <c r="Z26" i="66"/>
  <c r="Y26" i="66"/>
  <c r="Z170" i="66"/>
  <c r="E229" i="72"/>
  <c r="F229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N5" i="66"/>
  <c r="R5" i="66"/>
  <c r="T5" i="66" s="1"/>
  <c r="P5" i="66"/>
  <c r="V5" i="66" s="1"/>
  <c r="X5" i="66" s="1"/>
  <c r="H486" i="41"/>
  <c r="R149" i="66"/>
  <c r="T149" i="66" s="1"/>
  <c r="P149" i="66"/>
  <c r="V149" i="66" s="1"/>
  <c r="X149" i="66" s="1"/>
  <c r="N149" i="66"/>
  <c r="O150" i="66"/>
  <c r="J486" i="41"/>
  <c r="E43" i="72"/>
  <c r="F43" i="72" s="1"/>
  <c r="O6" i="66"/>
  <c r="Y150" i="66"/>
  <c r="Y6" i="66"/>
  <c r="Z6" i="66"/>
  <c r="Z150" i="66"/>
  <c r="V54" i="66"/>
  <c r="X54" i="66" s="1"/>
  <c r="U54" i="66"/>
  <c r="Q54" i="66"/>
  <c r="P101" i="66"/>
  <c r="N101" i="66"/>
  <c r="U246" i="66" l="1"/>
  <c r="Q102" i="66"/>
  <c r="V102" i="66"/>
  <c r="X102" i="66" s="1"/>
  <c r="V246" i="66"/>
  <c r="X246" i="66" s="1"/>
  <c r="O149" i="66"/>
  <c r="U149" i="66" s="1"/>
  <c r="E292" i="72"/>
  <c r="F292" i="72" s="1"/>
  <c r="H13" i="72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V197" i="66"/>
  <c r="X197" i="66" s="1"/>
  <c r="U197" i="66"/>
  <c r="U150" i="66"/>
  <c r="Q150" i="66"/>
  <c r="O5" i="66"/>
  <c r="Y5" i="66"/>
  <c r="Z149" i="66"/>
  <c r="Z5" i="66"/>
  <c r="Y149" i="66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Z101" i="66"/>
  <c r="O101" i="66"/>
  <c r="Z245" i="66"/>
  <c r="Y101" i="66"/>
  <c r="Y245" i="66"/>
  <c r="U6" i="66"/>
  <c r="Q6" i="66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99" i="72"/>
  <c r="F199" i="72" s="1"/>
  <c r="E168" i="72"/>
  <c r="F168" i="72" s="1"/>
  <c r="Q53" i="66"/>
  <c r="R53" i="66" s="1"/>
  <c r="T53" i="66" s="1"/>
  <c r="V53" i="66"/>
  <c r="X53" i="66" s="1"/>
  <c r="U53" i="66"/>
  <c r="E263" i="72"/>
  <c r="F263" i="72" s="1"/>
  <c r="E105" i="72"/>
  <c r="F105" i="72" s="1"/>
  <c r="O245" i="66"/>
  <c r="E136" i="72"/>
  <c r="F136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Q149" i="66" l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U5" i="66"/>
  <c r="Q5" i="66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30" i="72"/>
  <c r="F230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Q101" i="66"/>
  <c r="R101" i="66" s="1"/>
  <c r="T101" i="66" s="1"/>
  <c r="V101" i="66"/>
  <c r="X101" i="66" s="1"/>
  <c r="U101" i="66"/>
  <c r="V245" i="66"/>
  <c r="X245" i="66" s="1"/>
  <c r="U245" i="66"/>
  <c r="Q245" i="66"/>
  <c r="R245" i="66" s="1"/>
  <c r="T245" i="66" s="1"/>
  <c r="E74" i="72"/>
  <c r="F74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06" i="72" l="1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37" i="72"/>
  <c r="F137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69" i="72"/>
  <c r="F169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64" i="72"/>
  <c r="F264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31" i="72"/>
  <c r="F231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01" i="72"/>
  <c r="F201" i="72" s="1"/>
  <c r="E295" i="72"/>
  <c r="F295" i="72" s="1"/>
  <c r="E75" i="72"/>
  <c r="F75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5" i="72"/>
  <c r="F15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38" i="72"/>
  <c r="F138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47" i="72"/>
  <c r="F47" i="72" s="1"/>
  <c r="E170" i="72"/>
  <c r="F170" i="72" s="1"/>
  <c r="E108" i="72"/>
  <c r="F108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6" i="72" l="1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76" i="72"/>
  <c r="F76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96" i="72"/>
  <c r="F296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33" i="72"/>
  <c r="F233" i="72" s="1"/>
  <c r="E109" i="72" l="1"/>
  <c r="F109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71" i="72"/>
  <c r="F171" i="72" s="1"/>
  <c r="E17" i="72"/>
  <c r="F17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203" i="72"/>
  <c r="F203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67" i="72"/>
  <c r="F267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72" i="72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0" i="72"/>
  <c r="F140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77" i="72"/>
  <c r="F77" i="72" s="1"/>
  <c r="E297" i="72"/>
  <c r="F297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11" i="72"/>
  <c r="F111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9" i="72"/>
  <c r="F19" i="72" s="1"/>
  <c r="E204" i="72"/>
  <c r="F204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73" i="72"/>
  <c r="F173" i="72" s="1"/>
  <c r="E50" i="72"/>
  <c r="F50" i="72" s="1"/>
  <c r="E235" i="72"/>
  <c r="F235" i="72" s="1"/>
  <c r="E141" i="72" l="1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69" i="72"/>
  <c r="F269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98" i="72"/>
  <c r="F298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78" i="72"/>
  <c r="F78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12" i="72" l="1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42" i="72"/>
  <c r="F142" i="72" s="1"/>
  <c r="E20" i="72"/>
  <c r="F20" i="72" s="1"/>
  <c r="E174" i="72"/>
  <c r="F174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05" i="72"/>
  <c r="F205" i="72" s="1"/>
  <c r="E51" i="72"/>
  <c r="F51" i="72" s="1"/>
  <c r="E236" i="72"/>
  <c r="F236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70" i="72" l="1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99" i="72"/>
  <c r="F299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79" i="72"/>
  <c r="F79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14" i="72" l="1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43" i="72"/>
  <c r="F143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37" i="72"/>
  <c r="F237" i="72" s="1"/>
  <c r="E206" i="72"/>
  <c r="F206" i="72" s="1"/>
  <c r="E21" i="72"/>
  <c r="F21" i="72" s="1"/>
  <c r="E271" i="72"/>
  <c r="F27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80" i="72" l="1"/>
  <c r="F80" i="72" s="1"/>
  <c r="E176" i="72"/>
  <c r="F176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53" i="72"/>
  <c r="F53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15" i="72"/>
  <c r="F115" i="72" s="1"/>
  <c r="E300" i="72"/>
  <c r="F300" i="72" s="1"/>
  <c r="E144" i="72" l="1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2" i="72"/>
  <c r="F22" i="72" s="1"/>
  <c r="E207" i="72"/>
  <c r="F207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272" i="72"/>
  <c r="F272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81" i="72" l="1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77" i="72"/>
  <c r="F177" i="72" s="1"/>
  <c r="E239" i="72"/>
  <c r="F239" i="72" s="1"/>
  <c r="G273" i="72"/>
  <c r="H274" i="72" s="1"/>
  <c r="I275" i="72" s="1"/>
  <c r="J276" i="72" s="1"/>
  <c r="K277" i="72" s="1"/>
  <c r="L278" i="72" s="1"/>
  <c r="M279" i="72" s="1"/>
  <c r="N280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54" i="72"/>
  <c r="F54" i="72" s="1"/>
  <c r="E116" i="72"/>
  <c r="F116" i="72" s="1"/>
  <c r="E145" i="72"/>
  <c r="F145" i="72" s="1"/>
  <c r="E301" i="72"/>
  <c r="F301" i="72" s="1"/>
  <c r="E273" i="72" l="1"/>
  <c r="F273" i="72" s="1"/>
  <c r="G274" i="72" s="1"/>
  <c r="H275" i="72" s="1"/>
  <c r="I276" i="72" s="1"/>
  <c r="J277" i="72" s="1"/>
  <c r="K278" i="72" s="1"/>
  <c r="L279" i="72" s="1"/>
  <c r="M280" i="72" s="1"/>
  <c r="E82" i="72"/>
  <c r="F82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55" i="72"/>
  <c r="H56" i="72" s="1"/>
  <c r="I57" i="72" s="1"/>
  <c r="J58" i="72" s="1"/>
  <c r="K59" i="72" s="1"/>
  <c r="L60" i="72" s="1"/>
  <c r="M61" i="72" s="1"/>
  <c r="N62" i="72" s="1"/>
  <c r="O63" i="72" s="1"/>
  <c r="E23" i="72"/>
  <c r="F23" i="72" s="1"/>
  <c r="E208" i="72"/>
  <c r="F208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G24" i="72"/>
  <c r="H25" i="72" s="1"/>
  <c r="I26" i="72" s="1"/>
  <c r="J27" i="72" s="1"/>
  <c r="K28" i="72" s="1"/>
  <c r="L29" i="72" s="1"/>
  <c r="M30" i="72" s="1"/>
  <c r="N31" i="72" s="1"/>
  <c r="O32" i="72" s="1"/>
  <c r="E55" i="72"/>
  <c r="F55" i="72" s="1"/>
  <c r="E302" i="72"/>
  <c r="F302" i="72" s="1"/>
  <c r="E178" i="72"/>
  <c r="F178" i="72" s="1"/>
  <c r="E117" i="72"/>
  <c r="F117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74" i="72"/>
  <c r="F274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46" i="72"/>
  <c r="F146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41" i="72"/>
  <c r="F241" i="72" s="1"/>
  <c r="G242" i="72" s="1"/>
  <c r="G275" i="72"/>
  <c r="H276" i="72" s="1"/>
  <c r="I277" i="72" s="1"/>
  <c r="J278" i="72" s="1"/>
  <c r="K279" i="72" s="1"/>
  <c r="L280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18" i="72"/>
  <c r="H119" i="72" s="1"/>
  <c r="I120" i="72" s="1"/>
  <c r="J121" i="72" s="1"/>
  <c r="K122" i="72" s="1"/>
  <c r="L123" i="72" s="1"/>
  <c r="M124" i="72" s="1"/>
  <c r="N125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24" i="72"/>
  <c r="F24" i="72" s="1"/>
  <c r="E209" i="72"/>
  <c r="F209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56" i="72"/>
  <c r="H57" i="72" s="1"/>
  <c r="I58" i="72" s="1"/>
  <c r="J59" i="72" s="1"/>
  <c r="K60" i="72" s="1"/>
  <c r="L61" i="72" s="1"/>
  <c r="M62" i="72" s="1"/>
  <c r="N63" i="72" s="1"/>
  <c r="E179" i="72" l="1"/>
  <c r="F179" i="72" s="1"/>
  <c r="G180" i="72" s="1"/>
  <c r="H181" i="72" s="1"/>
  <c r="I182" i="72" s="1"/>
  <c r="J183" i="72" s="1"/>
  <c r="K184" i="72" s="1"/>
  <c r="L185" i="72" s="1"/>
  <c r="M186" i="72" s="1"/>
  <c r="N187" i="72" s="1"/>
  <c r="H243" i="72"/>
  <c r="I244" i="72" s="1"/>
  <c r="J245" i="72" s="1"/>
  <c r="K246" i="72" s="1"/>
  <c r="L247" i="72" s="1"/>
  <c r="M248" i="72" s="1"/>
  <c r="N249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47" i="72"/>
  <c r="F147" i="72" s="1"/>
  <c r="E84" i="72"/>
  <c r="F84" i="72" s="1"/>
  <c r="G25" i="72"/>
  <c r="H26" i="72" s="1"/>
  <c r="I27" i="72" s="1"/>
  <c r="J28" i="72" s="1"/>
  <c r="K29" i="72" s="1"/>
  <c r="L30" i="72" s="1"/>
  <c r="M31" i="72" s="1"/>
  <c r="N32" i="72" s="1"/>
  <c r="E56" i="72"/>
  <c r="F56" i="72" s="1"/>
  <c r="E303" i="72"/>
  <c r="F303" i="72" s="1"/>
  <c r="E275" i="72"/>
  <c r="F275" i="72" s="1"/>
  <c r="E243" i="72" l="1"/>
  <c r="F243" i="72" s="1"/>
  <c r="G276" i="72"/>
  <c r="H277" i="72" s="1"/>
  <c r="I278" i="72" s="1"/>
  <c r="J279" i="72" s="1"/>
  <c r="K280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304" i="72"/>
  <c r="H305" i="72" s="1"/>
  <c r="I306" i="72" s="1"/>
  <c r="J307" i="72" s="1"/>
  <c r="K308" i="72" s="1"/>
  <c r="L309" i="72" s="1"/>
  <c r="M310" i="72" s="1"/>
  <c r="N311" i="72" s="1"/>
  <c r="E25" i="72"/>
  <c r="F25" i="72" s="1"/>
  <c r="E210" i="72"/>
  <c r="F210" i="72" s="1"/>
  <c r="G57" i="72"/>
  <c r="H58" i="72" s="1"/>
  <c r="I59" i="72" s="1"/>
  <c r="J60" i="72" s="1"/>
  <c r="K61" i="72" s="1"/>
  <c r="L62" i="72" s="1"/>
  <c r="M63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119" i="72"/>
  <c r="F119" i="72" s="1"/>
  <c r="E180" i="72"/>
  <c r="F180" i="72" s="1"/>
  <c r="E304" i="72" l="1"/>
  <c r="F304" i="72" s="1"/>
  <c r="G305" i="72" s="1"/>
  <c r="H306" i="72" s="1"/>
  <c r="I307" i="72" s="1"/>
  <c r="J308" i="72" s="1"/>
  <c r="K309" i="72" s="1"/>
  <c r="L310" i="72" s="1"/>
  <c r="M311" i="72" s="1"/>
  <c r="G120" i="72"/>
  <c r="H121" i="72" s="1"/>
  <c r="I122" i="72" s="1"/>
  <c r="J123" i="72" s="1"/>
  <c r="K124" i="72" s="1"/>
  <c r="L125" i="72" s="1"/>
  <c r="G26" i="72"/>
  <c r="H27" i="72" s="1"/>
  <c r="I28" i="72" s="1"/>
  <c r="J29" i="72" s="1"/>
  <c r="K30" i="72" s="1"/>
  <c r="L31" i="72" s="1"/>
  <c r="M32" i="72" s="1"/>
  <c r="E85" i="72"/>
  <c r="F85" i="72" s="1"/>
  <c r="E148" i="72"/>
  <c r="F148" i="72" s="1"/>
  <c r="G181" i="72"/>
  <c r="H182" i="72" s="1"/>
  <c r="I183" i="72" s="1"/>
  <c r="J184" i="72" s="1"/>
  <c r="K185" i="72" s="1"/>
  <c r="L186" i="72" s="1"/>
  <c r="M187" i="72" s="1"/>
  <c r="E57" i="72"/>
  <c r="F57" i="72" s="1"/>
  <c r="E276" i="72"/>
  <c r="F276" i="72" s="1"/>
  <c r="G211" i="72"/>
  <c r="H212" i="72" s="1"/>
  <c r="I213" i="72" s="1"/>
  <c r="J214" i="72" s="1"/>
  <c r="K215" i="72" s="1"/>
  <c r="L216" i="72" s="1"/>
  <c r="M217" i="72" s="1"/>
  <c r="N218" i="72" s="1"/>
  <c r="G244" i="72"/>
  <c r="H245" i="72" s="1"/>
  <c r="I246" i="72" s="1"/>
  <c r="J247" i="72" s="1"/>
  <c r="K248" i="72" s="1"/>
  <c r="L249" i="72" s="1"/>
  <c r="E244" i="72" l="1"/>
  <c r="F244" i="72" s="1"/>
  <c r="G245" i="72" s="1"/>
  <c r="H246" i="72" s="1"/>
  <c r="I247" i="72" s="1"/>
  <c r="J248" i="72" s="1"/>
  <c r="K249" i="72" s="1"/>
  <c r="E305" i="72"/>
  <c r="F305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G58" i="72"/>
  <c r="H59" i="72" s="1"/>
  <c r="I60" i="72" s="1"/>
  <c r="J61" i="72" s="1"/>
  <c r="K62" i="72" s="1"/>
  <c r="L63" i="72" s="1"/>
  <c r="E26" i="72"/>
  <c r="F26" i="72" s="1"/>
  <c r="G277" i="72"/>
  <c r="H278" i="72" s="1"/>
  <c r="I279" i="72" s="1"/>
  <c r="J280" i="72" s="1"/>
  <c r="E181" i="72"/>
  <c r="F181" i="72" s="1"/>
  <c r="G149" i="72"/>
  <c r="H150" i="72" s="1"/>
  <c r="I151" i="72" s="1"/>
  <c r="J152" i="72" s="1"/>
  <c r="K153" i="72" s="1"/>
  <c r="L154" i="72" s="1"/>
  <c r="M155" i="72" s="1"/>
  <c r="N156" i="72" s="1"/>
  <c r="G86" i="72"/>
  <c r="H87" i="72" s="1"/>
  <c r="I88" i="72" s="1"/>
  <c r="J89" i="72" s="1"/>
  <c r="K90" i="72" s="1"/>
  <c r="L91" i="72" s="1"/>
  <c r="M92" i="72" s="1"/>
  <c r="N93" i="72" s="1"/>
  <c r="O94" i="72" s="1"/>
  <c r="E120" i="72"/>
  <c r="F120" i="72" s="1"/>
  <c r="G306" i="72"/>
  <c r="H307" i="72" s="1"/>
  <c r="I308" i="72" s="1"/>
  <c r="J309" i="72" s="1"/>
  <c r="K310" i="72" s="1"/>
  <c r="L311" i="72" s="1"/>
  <c r="E306" i="72" l="1"/>
  <c r="F306" i="72" s="1"/>
  <c r="G307" i="72" s="1"/>
  <c r="H308" i="72" s="1"/>
  <c r="I309" i="72" s="1"/>
  <c r="J310" i="72" s="1"/>
  <c r="K311" i="72" s="1"/>
  <c r="E86" i="72"/>
  <c r="F86" i="72" s="1"/>
  <c r="G87" i="72" s="1"/>
  <c r="E245" i="72"/>
  <c r="F245" i="72" s="1"/>
  <c r="E212" i="72"/>
  <c r="F212" i="72" s="1"/>
  <c r="G121" i="72"/>
  <c r="H122" i="72" s="1"/>
  <c r="I123" i="72" s="1"/>
  <c r="J124" i="72" s="1"/>
  <c r="K125" i="72" s="1"/>
  <c r="E277" i="72"/>
  <c r="F277" i="72" s="1"/>
  <c r="G182" i="72"/>
  <c r="H183" i="72" s="1"/>
  <c r="I184" i="72" s="1"/>
  <c r="J185" i="72" s="1"/>
  <c r="K186" i="72" s="1"/>
  <c r="L187" i="72" s="1"/>
  <c r="G27" i="72"/>
  <c r="H28" i="72" s="1"/>
  <c r="I29" i="72" s="1"/>
  <c r="J30" i="72" s="1"/>
  <c r="K31" i="72" s="1"/>
  <c r="L32" i="72" s="1"/>
  <c r="E149" i="72"/>
  <c r="F149" i="72" s="1"/>
  <c r="E58" i="72"/>
  <c r="F58" i="72" s="1"/>
  <c r="E27" i="72" l="1"/>
  <c r="F27" i="72" s="1"/>
  <c r="G28" i="72" s="1"/>
  <c r="H29" i="72" s="1"/>
  <c r="I30" i="72" s="1"/>
  <c r="J31" i="72" s="1"/>
  <c r="K32" i="72" s="1"/>
  <c r="H88" i="72"/>
  <c r="I89" i="72" s="1"/>
  <c r="J90" i="72" s="1"/>
  <c r="K91" i="72" s="1"/>
  <c r="L92" i="72" s="1"/>
  <c r="M93" i="72" s="1"/>
  <c r="N94" i="72" s="1"/>
  <c r="E87" i="72"/>
  <c r="F87" i="72" s="1"/>
  <c r="G88" i="72" s="1"/>
  <c r="H89" i="72" s="1"/>
  <c r="I90" i="72" s="1"/>
  <c r="J91" i="72" s="1"/>
  <c r="K92" i="72" s="1"/>
  <c r="L93" i="72" s="1"/>
  <c r="M94" i="72" s="1"/>
  <c r="E121" i="72"/>
  <c r="F121" i="72" s="1"/>
  <c r="G122" i="72" s="1"/>
  <c r="H123" i="72" s="1"/>
  <c r="I124" i="72" s="1"/>
  <c r="J125" i="72" s="1"/>
  <c r="E182" i="72"/>
  <c r="F182" i="72" s="1"/>
  <c r="G183" i="72" s="1"/>
  <c r="G278" i="72"/>
  <c r="H279" i="72" s="1"/>
  <c r="I280" i="72" s="1"/>
  <c r="G213" i="72"/>
  <c r="H214" i="72" s="1"/>
  <c r="I215" i="72" s="1"/>
  <c r="J216" i="72" s="1"/>
  <c r="K217" i="72" s="1"/>
  <c r="L218" i="72" s="1"/>
  <c r="G246" i="72"/>
  <c r="H247" i="72" s="1"/>
  <c r="I248" i="72" s="1"/>
  <c r="J249" i="72" s="1"/>
  <c r="G59" i="72"/>
  <c r="H60" i="72" s="1"/>
  <c r="I61" i="72" s="1"/>
  <c r="J62" i="72" s="1"/>
  <c r="K63" i="72" s="1"/>
  <c r="G150" i="72"/>
  <c r="H151" i="72" s="1"/>
  <c r="I152" i="72" s="1"/>
  <c r="J153" i="72" s="1"/>
  <c r="K154" i="72" s="1"/>
  <c r="L155" i="72" s="1"/>
  <c r="M156" i="72" s="1"/>
  <c r="E307" i="72"/>
  <c r="F307" i="72" s="1"/>
  <c r="H184" i="72" l="1"/>
  <c r="I185" i="72" s="1"/>
  <c r="J186" i="72" s="1"/>
  <c r="K187" i="72" s="1"/>
  <c r="E183" i="72"/>
  <c r="F183" i="72" s="1"/>
  <c r="G184" i="72" s="1"/>
  <c r="H185" i="72" s="1"/>
  <c r="I186" i="72" s="1"/>
  <c r="J187" i="72" s="1"/>
  <c r="E213" i="72"/>
  <c r="F213" i="72" s="1"/>
  <c r="G214" i="72" s="1"/>
  <c r="H215" i="72" s="1"/>
  <c r="I216" i="72" s="1"/>
  <c r="J217" i="72" s="1"/>
  <c r="K218" i="72" s="1"/>
  <c r="E150" i="72"/>
  <c r="F150" i="72" s="1"/>
  <c r="G151" i="72" s="1"/>
  <c r="H152" i="72" s="1"/>
  <c r="I153" i="72" s="1"/>
  <c r="J154" i="72" s="1"/>
  <c r="K155" i="72" s="1"/>
  <c r="L156" i="72" s="1"/>
  <c r="E59" i="72"/>
  <c r="F59" i="72" s="1"/>
  <c r="E28" i="72"/>
  <c r="F28" i="72" s="1"/>
  <c r="E246" i="72"/>
  <c r="F246" i="72" s="1"/>
  <c r="E122" i="72"/>
  <c r="F122" i="72" s="1"/>
  <c r="E88" i="72"/>
  <c r="F88" i="72" s="1"/>
  <c r="E278" i="72"/>
  <c r="F278" i="72" s="1"/>
  <c r="G308" i="72"/>
  <c r="H309" i="72" s="1"/>
  <c r="I310" i="72" s="1"/>
  <c r="J311" i="72" s="1"/>
  <c r="E151" i="72" l="1"/>
  <c r="F151" i="72" s="1"/>
  <c r="E308" i="72"/>
  <c r="F308" i="72" s="1"/>
  <c r="G123" i="72"/>
  <c r="H124" i="72" s="1"/>
  <c r="I125" i="72" s="1"/>
  <c r="G247" i="72"/>
  <c r="H248" i="72" s="1"/>
  <c r="I249" i="72" s="1"/>
  <c r="G279" i="72"/>
  <c r="H280" i="72" s="1"/>
  <c r="G29" i="72"/>
  <c r="H30" i="72" s="1"/>
  <c r="I31" i="72" s="1"/>
  <c r="J32" i="72" s="1"/>
  <c r="G89" i="72"/>
  <c r="H90" i="72" s="1"/>
  <c r="I91" i="72" s="1"/>
  <c r="J92" i="72" s="1"/>
  <c r="K93" i="72" s="1"/>
  <c r="L94" i="72" s="1"/>
  <c r="G60" i="72"/>
  <c r="H61" i="72" s="1"/>
  <c r="I62" i="72" s="1"/>
  <c r="J63" i="72" s="1"/>
  <c r="E184" i="72"/>
  <c r="F184" i="72" s="1"/>
  <c r="E214" i="72"/>
  <c r="F214" i="72" s="1"/>
  <c r="E279" i="72" l="1"/>
  <c r="F279" i="72" s="1"/>
  <c r="G280" i="72" s="1"/>
  <c r="E280" i="72" s="1"/>
  <c r="F280" i="72" s="1"/>
  <c r="E247" i="72"/>
  <c r="F247" i="72" s="1"/>
  <c r="G248" i="72" s="1"/>
  <c r="H249" i="72" s="1"/>
  <c r="E89" i="72"/>
  <c r="F89" i="72" s="1"/>
  <c r="G90" i="72" s="1"/>
  <c r="H91" i="72" s="1"/>
  <c r="I92" i="72" s="1"/>
  <c r="J93" i="72" s="1"/>
  <c r="K94" i="72" s="1"/>
  <c r="E29" i="72"/>
  <c r="F29" i="72" s="1"/>
  <c r="E123" i="72"/>
  <c r="F123" i="72" s="1"/>
  <c r="G185" i="72"/>
  <c r="H186" i="72" s="1"/>
  <c r="I187" i="72" s="1"/>
  <c r="G215" i="72"/>
  <c r="H216" i="72" s="1"/>
  <c r="I217" i="72" s="1"/>
  <c r="J218" i="72" s="1"/>
  <c r="E60" i="72"/>
  <c r="F60" i="72" s="1"/>
  <c r="G309" i="72"/>
  <c r="H310" i="72" s="1"/>
  <c r="I311" i="72" s="1"/>
  <c r="G152" i="72"/>
  <c r="H153" i="72" s="1"/>
  <c r="I154" i="72" s="1"/>
  <c r="J155" i="72" s="1"/>
  <c r="K156" i="72" s="1"/>
  <c r="E152" i="72" l="1"/>
  <c r="F152" i="72" s="1"/>
  <c r="G153" i="72" s="1"/>
  <c r="H154" i="72" s="1"/>
  <c r="I155" i="72" s="1"/>
  <c r="J156" i="72" s="1"/>
  <c r="E309" i="72"/>
  <c r="F309" i="72" s="1"/>
  <c r="G310" i="72" s="1"/>
  <c r="H311" i="72" s="1"/>
  <c r="E248" i="72"/>
  <c r="F248" i="72" s="1"/>
  <c r="G249" i="72" s="1"/>
  <c r="E249" i="72" s="1"/>
  <c r="F249" i="72" s="1"/>
  <c r="E185" i="72"/>
  <c r="F185" i="72" s="1"/>
  <c r="G124" i="72"/>
  <c r="H125" i="72" s="1"/>
  <c r="G61" i="72"/>
  <c r="H62" i="72" s="1"/>
  <c r="I63" i="72" s="1"/>
  <c r="G30" i="72"/>
  <c r="H31" i="72" s="1"/>
  <c r="I32" i="72" s="1"/>
  <c r="E215" i="72"/>
  <c r="F215" i="72" s="1"/>
  <c r="E90" i="72"/>
  <c r="F90" i="72" s="1"/>
  <c r="E124" i="72" l="1"/>
  <c r="F124" i="72" s="1"/>
  <c r="G125" i="72" s="1"/>
  <c r="E125" i="72" s="1"/>
  <c r="F125" i="72" s="1"/>
  <c r="AL125" i="72" s="1"/>
  <c r="E61" i="72"/>
  <c r="F61" i="72" s="1"/>
  <c r="G91" i="72"/>
  <c r="H92" i="72" s="1"/>
  <c r="I93" i="72" s="1"/>
  <c r="J94" i="72" s="1"/>
  <c r="G216" i="72"/>
  <c r="H217" i="72" s="1"/>
  <c r="I218" i="72" s="1"/>
  <c r="E310" i="72"/>
  <c r="F310" i="72" s="1"/>
  <c r="G186" i="72"/>
  <c r="H187" i="72" s="1"/>
  <c r="E153" i="72"/>
  <c r="F153" i="72" s="1"/>
  <c r="E30" i="72"/>
  <c r="F30" i="72" s="1"/>
  <c r="E186" i="72" l="1"/>
  <c r="F186" i="72" s="1"/>
  <c r="G187" i="72" s="1"/>
  <c r="E187" i="72" s="1"/>
  <c r="F187" i="72" s="1"/>
  <c r="G311" i="72"/>
  <c r="E311" i="72" s="1"/>
  <c r="F311" i="72" s="1"/>
  <c r="E216" i="72"/>
  <c r="F216" i="72" s="1"/>
  <c r="E91" i="72"/>
  <c r="F91" i="72" s="1"/>
  <c r="G31" i="72"/>
  <c r="H32" i="72" s="1"/>
  <c r="G154" i="72"/>
  <c r="H155" i="72" s="1"/>
  <c r="I156" i="72" s="1"/>
  <c r="G62" i="72"/>
  <c r="H63" i="72" s="1"/>
  <c r="E62" i="72" l="1"/>
  <c r="F62" i="72" s="1"/>
  <c r="G63" i="72" s="1"/>
  <c r="E63" i="72" s="1"/>
  <c r="F63" i="72" s="1"/>
  <c r="AL63" i="72" s="1"/>
  <c r="E154" i="72"/>
  <c r="F154" i="72" s="1"/>
  <c r="G155" i="72" s="1"/>
  <c r="H156" i="72" s="1"/>
  <c r="E31" i="72"/>
  <c r="F31" i="72" s="1"/>
  <c r="G92" i="72"/>
  <c r="H93" i="72" s="1"/>
  <c r="I94" i="72" s="1"/>
  <c r="G217" i="72"/>
  <c r="H218" i="72" s="1"/>
  <c r="E92" i="72" l="1"/>
  <c r="F92" i="72" s="1"/>
  <c r="G93" i="72" s="1"/>
  <c r="H94" i="72" s="1"/>
  <c r="G32" i="72"/>
  <c r="E32" i="72" s="1"/>
  <c r="F32" i="72" s="1"/>
  <c r="E155" i="72"/>
  <c r="F155" i="72" s="1"/>
  <c r="E217" i="72"/>
  <c r="F217" i="72" s="1"/>
  <c r="G218" i="72" s="1"/>
  <c r="E218" i="72" s="1"/>
  <c r="F218" i="72" s="1"/>
  <c r="G156" i="72" l="1"/>
  <c r="E156" i="72" s="1"/>
  <c r="F156" i="72" s="1"/>
  <c r="AL32" i="72"/>
  <c r="E93" i="72"/>
  <c r="F93" i="72" s="1"/>
  <c r="G94" i="72" l="1"/>
  <c r="E94" i="72" s="1"/>
  <c r="F94" i="72" s="1"/>
  <c r="E24" i="26" s="1" a="1"/>
  <c r="E24" i="26" s="1"/>
  <c r="I187" i="35" s="1"/>
  <c r="H33" i="26" a="1"/>
  <c r="H33" i="26" s="1"/>
  <c r="I217" i="35" s="1"/>
  <c r="E40" i="26" a="1"/>
  <c r="E40" i="26" s="1"/>
  <c r="I203" i="35" s="1"/>
  <c r="F36" i="26" a="1"/>
  <c r="F36" i="26" s="1"/>
  <c r="G220" i="35" s="1"/>
  <c r="E27" i="26" a="1"/>
  <c r="E27" i="26" s="1"/>
  <c r="F42" i="26" a="1"/>
  <c r="F42" i="26" s="1"/>
  <c r="G226" i="35" s="1"/>
  <c r="D35" i="26" a="1"/>
  <c r="D35" i="26" s="1"/>
  <c r="D25" i="26" a="1"/>
  <c r="D25" i="26" s="1"/>
  <c r="H188" i="35" s="1"/>
  <c r="H29" i="26" a="1"/>
  <c r="H29" i="26" s="1"/>
  <c r="I213" i="35" s="1"/>
  <c r="H24" i="26" a="1"/>
  <c r="H24" i="26" s="1"/>
  <c r="I208" i="35" s="1"/>
  <c r="D34" i="26" a="1"/>
  <c r="D34" i="26" s="1"/>
  <c r="H197" i="35" s="1"/>
  <c r="D37" i="26" a="1"/>
  <c r="D37" i="26" s="1"/>
  <c r="H200" i="35" s="1"/>
  <c r="G26" i="26" a="1"/>
  <c r="G26" i="26" s="1"/>
  <c r="H210" i="35" s="1"/>
  <c r="D41" i="26" a="1"/>
  <c r="D41" i="26" s="1"/>
  <c r="H204" i="35" s="1"/>
  <c r="E32" i="26" a="1"/>
  <c r="E32" i="26" s="1"/>
  <c r="I195" i="35" s="1"/>
  <c r="H30" i="26" a="1"/>
  <c r="H30" i="26" s="1"/>
  <c r="I214" i="35" s="1"/>
  <c r="F34" i="26" a="1"/>
  <c r="F34" i="26" s="1"/>
  <c r="G218" i="35" s="1"/>
  <c r="H39" i="26" a="1"/>
  <c r="H39" i="26" s="1"/>
  <c r="E28" i="26" a="1"/>
  <c r="E28" i="26" s="1"/>
  <c r="I191" i="35" s="1"/>
  <c r="H32" i="26" a="1"/>
  <c r="H32" i="26" s="1"/>
  <c r="I216" i="35" s="1"/>
  <c r="G25" i="26" a="1"/>
  <c r="G25" i="26" s="1"/>
  <c r="H209" i="35" s="1"/>
  <c r="H25" i="26" a="1"/>
  <c r="H25" i="26" s="1"/>
  <c r="I209" i="35" s="1"/>
  <c r="F38" i="26" a="1"/>
  <c r="F38" i="26" s="1"/>
  <c r="G222" i="35" s="1"/>
  <c r="G34" i="26" a="1"/>
  <c r="G34" i="26" s="1"/>
  <c r="H218" i="35" s="1"/>
  <c r="F37" i="26" a="1"/>
  <c r="F37" i="26" s="1"/>
  <c r="G221" i="35" s="1"/>
  <c r="F27" i="26" a="1"/>
  <c r="F27" i="26" s="1"/>
  <c r="F30" i="26" a="1"/>
  <c r="F30" i="26" s="1"/>
  <c r="G214" i="35" s="1"/>
  <c r="F39" i="26" a="1"/>
  <c r="F39" i="26" s="1"/>
  <c r="G29" i="26" a="1"/>
  <c r="G29" i="26" s="1"/>
  <c r="H213" i="35" s="1"/>
  <c r="G30" i="26" a="1"/>
  <c r="G30" i="26" s="1"/>
  <c r="H214" i="35" s="1"/>
  <c r="D38" i="26" a="1"/>
  <c r="D38" i="26" s="1"/>
  <c r="H201" i="35" s="1"/>
  <c r="E30" i="26" a="1"/>
  <c r="E30" i="26" s="1"/>
  <c r="I193" i="35" s="1"/>
  <c r="F32" i="26" a="1"/>
  <c r="F32" i="26" s="1"/>
  <c r="G216" i="35" s="1"/>
  <c r="F24" i="26" a="1"/>
  <c r="F24" i="26" s="1"/>
  <c r="G208" i="35" s="1"/>
  <c r="G39" i="26" a="1"/>
  <c r="G39" i="26" s="1"/>
  <c r="H28" i="26" a="1"/>
  <c r="H28" i="26" s="1"/>
  <c r="I212" i="35" s="1"/>
  <c r="D40" i="26" a="1"/>
  <c r="D40" i="26" s="1"/>
  <c r="H203" i="35" s="1"/>
  <c r="H40" i="26" a="1"/>
  <c r="H40" i="26" s="1"/>
  <c r="I224" i="35" s="1"/>
  <c r="H41" i="26" a="1"/>
  <c r="H41" i="26" s="1"/>
  <c r="I225" i="35" s="1"/>
  <c r="E37" i="26" a="1"/>
  <c r="E37" i="26" s="1"/>
  <c r="I200" i="35" s="1"/>
  <c r="D30" i="26" a="1"/>
  <c r="D30" i="26" s="1"/>
  <c r="H193" i="35" s="1"/>
  <c r="D33" i="26" a="1"/>
  <c r="D33" i="26" s="1"/>
  <c r="H196" i="35" s="1"/>
  <c r="G28" i="26" a="1"/>
  <c r="G28" i="26" s="1"/>
  <c r="H212" i="35" s="1"/>
  <c r="D23" i="26" a="1"/>
  <c r="D23" i="26" s="1"/>
  <c r="F23" i="26" a="1"/>
  <c r="F23" i="26" s="1"/>
  <c r="F40" i="26" a="1"/>
  <c r="F40" i="26" s="1"/>
  <c r="G224" i="35" s="1"/>
  <c r="H42" i="26" a="1"/>
  <c r="H42" i="26" s="1"/>
  <c r="I226" i="35" s="1"/>
  <c r="D31" i="26" a="1"/>
  <c r="D31" i="26" s="1"/>
  <c r="E33" i="26" a="1"/>
  <c r="E33" i="26" s="1"/>
  <c r="I196" i="35" s="1"/>
  <c r="H35" i="26" a="1"/>
  <c r="H35" i="26" s="1"/>
  <c r="E31" i="26" a="1"/>
  <c r="E31" i="26" s="1"/>
  <c r="G42" i="26" a="1"/>
  <c r="G42" i="26" s="1"/>
  <c r="H226" i="35" s="1"/>
  <c r="E25" i="26" a="1"/>
  <c r="E25" i="26" s="1"/>
  <c r="I188" i="35" s="1"/>
  <c r="F31" i="26" a="1"/>
  <c r="F31" i="26" s="1"/>
  <c r="E29" i="26" a="1"/>
  <c r="E29" i="26" s="1"/>
  <c r="I192" i="35" s="1"/>
  <c r="D29" i="26" l="1" a="1"/>
  <c r="D29" i="26" s="1"/>
  <c r="H192" i="35" s="1"/>
  <c r="I40" i="37" s="1"/>
  <c r="E39" i="26" a="1"/>
  <c r="E39" i="26" s="1"/>
  <c r="I202" i="35" s="1"/>
  <c r="D27" i="26" a="1"/>
  <c r="D27" i="26" s="1"/>
  <c r="H190" i="35" s="1"/>
  <c r="D39" i="26" a="1"/>
  <c r="D39" i="26" s="1"/>
  <c r="H202" i="35" s="1"/>
  <c r="J20" i="37"/>
  <c r="J21" i="37"/>
  <c r="J22" i="37"/>
  <c r="J19" i="37"/>
  <c r="I92" i="58"/>
  <c r="I94" i="58"/>
  <c r="I93" i="58"/>
  <c r="I91" i="58"/>
  <c r="H186" i="35"/>
  <c r="J37" i="58"/>
  <c r="J38" i="58"/>
  <c r="J35" i="58"/>
  <c r="J36" i="58"/>
  <c r="G223" i="35"/>
  <c r="J54" i="58"/>
  <c r="J51" i="58"/>
  <c r="J52" i="58"/>
  <c r="J53" i="58"/>
  <c r="I73" i="37"/>
  <c r="I71" i="37"/>
  <c r="I74" i="37"/>
  <c r="I72" i="37"/>
  <c r="H69" i="58"/>
  <c r="H69" i="41" s="1"/>
  <c r="H70" i="58"/>
  <c r="H70" i="41" s="1"/>
  <c r="H68" i="58"/>
  <c r="H68" i="41" s="1"/>
  <c r="H67" i="58"/>
  <c r="H67" i="41" s="1"/>
  <c r="F29" i="26" a="1"/>
  <c r="F29" i="26" s="1"/>
  <c r="G213" i="35" s="1"/>
  <c r="G35" i="26" a="1"/>
  <c r="G35" i="26" s="1"/>
  <c r="H36" i="26" a="1"/>
  <c r="H36" i="26" s="1"/>
  <c r="I220" i="35" s="1"/>
  <c r="H31" i="26" a="1"/>
  <c r="H31" i="26" s="1"/>
  <c r="I194" i="35"/>
  <c r="I38" i="58"/>
  <c r="I36" i="58"/>
  <c r="I37" i="58"/>
  <c r="I35" i="58"/>
  <c r="H223" i="35"/>
  <c r="H45" i="58"/>
  <c r="H45" i="41" s="1"/>
  <c r="H44" i="58"/>
  <c r="H44" i="41" s="1"/>
  <c r="H43" i="58"/>
  <c r="H43" i="41" s="1"/>
  <c r="H46" i="58"/>
  <c r="H46" i="41" s="1"/>
  <c r="J37" i="37"/>
  <c r="J36" i="37"/>
  <c r="J38" i="37"/>
  <c r="J35" i="37"/>
  <c r="J35" i="41" s="1"/>
  <c r="I61" i="37"/>
  <c r="I62" i="37"/>
  <c r="I59" i="37"/>
  <c r="I60" i="37"/>
  <c r="E42" i="26" a="1"/>
  <c r="E42" i="26" s="1"/>
  <c r="I205" i="35" s="1"/>
  <c r="E26" i="26" a="1"/>
  <c r="E26" i="26" s="1"/>
  <c r="I189" i="35" s="1"/>
  <c r="D28" i="26" a="1"/>
  <c r="D28" i="26" s="1"/>
  <c r="H191" i="35" s="1"/>
  <c r="D32" i="26" a="1"/>
  <c r="D32" i="26" s="1"/>
  <c r="H195" i="35" s="1"/>
  <c r="F33" i="26" a="1"/>
  <c r="F33" i="26" s="1"/>
  <c r="G217" i="35" s="1"/>
  <c r="G215" i="35"/>
  <c r="I219" i="35"/>
  <c r="I55" i="37"/>
  <c r="I56" i="37"/>
  <c r="I57" i="37"/>
  <c r="I58" i="37"/>
  <c r="H19" i="58"/>
  <c r="H19" i="41" s="1"/>
  <c r="H21" i="58"/>
  <c r="H21" i="41" s="1"/>
  <c r="H20" i="58"/>
  <c r="H20" i="41" s="1"/>
  <c r="H22" i="58"/>
  <c r="H22" i="41" s="1"/>
  <c r="G211" i="35"/>
  <c r="I223" i="35"/>
  <c r="G54" i="26"/>
  <c r="J20" i="58"/>
  <c r="J21" i="58"/>
  <c r="J22" i="58"/>
  <c r="J19" i="58"/>
  <c r="J86" i="37"/>
  <c r="J84" i="37"/>
  <c r="J83" i="37"/>
  <c r="J85" i="37"/>
  <c r="H27" i="26" a="1"/>
  <c r="H27" i="26" s="1"/>
  <c r="E34" i="26" a="1"/>
  <c r="E34" i="26" s="1"/>
  <c r="I197" i="35" s="1"/>
  <c r="E23" i="26" a="1"/>
  <c r="E23" i="26" s="1"/>
  <c r="E38" i="26" a="1"/>
  <c r="E38" i="26" s="1"/>
  <c r="I201" i="35" s="1"/>
  <c r="G36" i="26" a="1"/>
  <c r="G36" i="26" s="1"/>
  <c r="H220" i="35" s="1"/>
  <c r="J56" i="37"/>
  <c r="J57" i="37"/>
  <c r="J58" i="37"/>
  <c r="J55" i="37"/>
  <c r="I44" i="37"/>
  <c r="I45" i="37"/>
  <c r="I46" i="37"/>
  <c r="I43" i="37"/>
  <c r="H52" i="58"/>
  <c r="H52" i="41" s="1"/>
  <c r="H54" i="58"/>
  <c r="H54" i="41" s="1"/>
  <c r="H51" i="58"/>
  <c r="H51" i="41" s="1"/>
  <c r="H53" i="58"/>
  <c r="H53" i="41" s="1"/>
  <c r="H71" i="58"/>
  <c r="H71" i="41" s="1"/>
  <c r="H72" i="58"/>
  <c r="H72" i="41" s="1"/>
  <c r="H74" i="58"/>
  <c r="H74" i="41" s="1"/>
  <c r="H73" i="58"/>
  <c r="H73" i="41" s="1"/>
  <c r="H59" i="58"/>
  <c r="H59" i="41" s="1"/>
  <c r="H62" i="58"/>
  <c r="H62" i="41" s="1"/>
  <c r="H60" i="58"/>
  <c r="H60" i="41" s="1"/>
  <c r="H61" i="58"/>
  <c r="H61" i="41" s="1"/>
  <c r="J42" i="58"/>
  <c r="J40" i="58"/>
  <c r="J39" i="58"/>
  <c r="J41" i="58"/>
  <c r="H26" i="26" a="1"/>
  <c r="H26" i="26" s="1"/>
  <c r="I210" i="35" s="1"/>
  <c r="G27" i="26" a="1"/>
  <c r="G27" i="26" s="1"/>
  <c r="H34" i="26" a="1"/>
  <c r="H34" i="26" s="1"/>
  <c r="I218" i="35" s="1"/>
  <c r="G31" i="26" a="1"/>
  <c r="G31" i="26" s="1"/>
  <c r="F35" i="26" a="1"/>
  <c r="F35" i="26" s="1"/>
  <c r="G37" i="26" a="1"/>
  <c r="G37" i="26" s="1"/>
  <c r="H221" i="35" s="1"/>
  <c r="H194" i="35"/>
  <c r="J73" i="37"/>
  <c r="J74" i="37"/>
  <c r="J72" i="37"/>
  <c r="J71" i="37"/>
  <c r="J46" i="37"/>
  <c r="J44" i="37"/>
  <c r="J43" i="37"/>
  <c r="J45" i="37"/>
  <c r="I61" i="58"/>
  <c r="I59" i="58"/>
  <c r="I60" i="58"/>
  <c r="I62" i="58"/>
  <c r="J46" i="58"/>
  <c r="J43" i="58"/>
  <c r="J45" i="58"/>
  <c r="J44" i="58"/>
  <c r="I24" i="37"/>
  <c r="I23" i="37"/>
  <c r="I25" i="37"/>
  <c r="I26" i="37"/>
  <c r="J56" i="58"/>
  <c r="J55" i="58"/>
  <c r="J57" i="58"/>
  <c r="J58" i="58"/>
  <c r="D26" i="26" a="1"/>
  <c r="D26" i="26" s="1"/>
  <c r="H189" i="35" s="1"/>
  <c r="H37" i="26" a="1"/>
  <c r="H37" i="26" s="1"/>
  <c r="I221" i="35" s="1"/>
  <c r="D24" i="26" a="1"/>
  <c r="D24" i="26" s="1"/>
  <c r="H187" i="35" s="1"/>
  <c r="D42" i="26" a="1"/>
  <c r="D42" i="26" s="1"/>
  <c r="H205" i="35" s="1"/>
  <c r="E35" i="26" a="1"/>
  <c r="E35" i="26" s="1"/>
  <c r="J91" i="58"/>
  <c r="J94" i="58"/>
  <c r="J93" i="58"/>
  <c r="J92" i="58"/>
  <c r="J89" i="58"/>
  <c r="J90" i="58"/>
  <c r="J88" i="58"/>
  <c r="J87" i="58"/>
  <c r="I75" i="37"/>
  <c r="I76" i="37"/>
  <c r="I77" i="37"/>
  <c r="I78" i="37"/>
  <c r="H76" i="58"/>
  <c r="H76" i="41" s="1"/>
  <c r="H77" i="58"/>
  <c r="H77" i="41" s="1"/>
  <c r="H78" i="58"/>
  <c r="H78" i="41" s="1"/>
  <c r="H75" i="58"/>
  <c r="H75" i="41" s="1"/>
  <c r="J52" i="37"/>
  <c r="J52" i="41" s="1"/>
  <c r="J54" i="37"/>
  <c r="J53" i="37"/>
  <c r="J51" i="37"/>
  <c r="H198" i="35"/>
  <c r="E41" i="26" a="1"/>
  <c r="E41" i="26" s="1"/>
  <c r="I204" i="35" s="1"/>
  <c r="F25" i="26" a="1"/>
  <c r="F25" i="26" s="1"/>
  <c r="G209" i="35" s="1"/>
  <c r="G33" i="26" a="1"/>
  <c r="G33" i="26" s="1"/>
  <c r="H217" i="35" s="1"/>
  <c r="G40" i="26" a="1"/>
  <c r="G40" i="26" s="1"/>
  <c r="H224" i="35" s="1"/>
  <c r="E36" i="26" a="1"/>
  <c r="E36" i="26" s="1"/>
  <c r="I199" i="35" s="1"/>
  <c r="H86" i="58"/>
  <c r="H86" i="41" s="1"/>
  <c r="H83" i="58"/>
  <c r="H83" i="41" s="1"/>
  <c r="H85" i="58"/>
  <c r="H85" i="41" s="1"/>
  <c r="H84" i="58"/>
  <c r="H84" i="41" s="1"/>
  <c r="J85" i="58"/>
  <c r="J84" i="58"/>
  <c r="J83" i="58"/>
  <c r="J86" i="58"/>
  <c r="I45" i="58"/>
  <c r="I46" i="58"/>
  <c r="I44" i="58"/>
  <c r="I43" i="58"/>
  <c r="J23" i="58"/>
  <c r="J26" i="58"/>
  <c r="J25" i="58"/>
  <c r="J24" i="58"/>
  <c r="I87" i="37"/>
  <c r="I89" i="37"/>
  <c r="I90" i="37"/>
  <c r="I88" i="37"/>
  <c r="H92" i="58"/>
  <c r="H92" i="41" s="1"/>
  <c r="H93" i="58"/>
  <c r="H93" i="41" s="1"/>
  <c r="H91" i="58"/>
  <c r="H91" i="41" s="1"/>
  <c r="H94" i="58"/>
  <c r="H94" i="41" s="1"/>
  <c r="G41" i="26" a="1"/>
  <c r="G41" i="26" s="1"/>
  <c r="H225" i="35" s="1"/>
  <c r="D36" i="26" a="1"/>
  <c r="D36" i="26" s="1"/>
  <c r="H199" i="35" s="1"/>
  <c r="F28" i="26" a="1"/>
  <c r="F28" i="26" s="1"/>
  <c r="G212" i="35" s="1"/>
  <c r="G24" i="26" a="1"/>
  <c r="G24" i="26" s="1"/>
  <c r="H208" i="35" s="1"/>
  <c r="J39" i="37"/>
  <c r="J41" i="37"/>
  <c r="J40" i="37"/>
  <c r="J42" i="37"/>
  <c r="J23" i="37"/>
  <c r="J24" i="37"/>
  <c r="J25" i="37"/>
  <c r="J26" i="37"/>
  <c r="G207" i="35"/>
  <c r="I86" i="37"/>
  <c r="I85" i="37"/>
  <c r="I84" i="37"/>
  <c r="I83" i="37"/>
  <c r="I39" i="58"/>
  <c r="I42" i="58"/>
  <c r="I41" i="58"/>
  <c r="I40" i="58"/>
  <c r="I23" i="58"/>
  <c r="I26" i="58"/>
  <c r="I25" i="58"/>
  <c r="I24" i="58"/>
  <c r="I30" i="58"/>
  <c r="I29" i="58"/>
  <c r="I28" i="58"/>
  <c r="I27" i="58"/>
  <c r="I190" i="35"/>
  <c r="D51" i="26"/>
  <c r="AL94" i="72"/>
  <c r="AL127" i="72" s="1"/>
  <c r="H38" i="26" a="1"/>
  <c r="H38" i="26" s="1"/>
  <c r="I222" i="35" s="1"/>
  <c r="G38" i="26" a="1"/>
  <c r="G38" i="26" s="1"/>
  <c r="H222" i="35" s="1"/>
  <c r="G32" i="26" a="1"/>
  <c r="G32" i="26" s="1"/>
  <c r="H216" i="35" s="1"/>
  <c r="H23" i="26" a="1"/>
  <c r="H23" i="26" s="1"/>
  <c r="F26" i="26" a="1"/>
  <c r="F26" i="26" s="1"/>
  <c r="G210" i="35" s="1"/>
  <c r="G23" i="26" a="1"/>
  <c r="G23" i="26" s="1"/>
  <c r="F41" i="26" a="1"/>
  <c r="F41" i="26" s="1"/>
  <c r="G225" i="35" s="1"/>
  <c r="J37" i="41" l="1"/>
  <c r="J53" i="41"/>
  <c r="I42" i="37"/>
  <c r="C52" i="26"/>
  <c r="I41" i="37"/>
  <c r="I41" i="41" s="1"/>
  <c r="I39" i="37"/>
  <c r="J19" i="41"/>
  <c r="J36" i="41"/>
  <c r="J26" i="41"/>
  <c r="J25" i="41"/>
  <c r="J38" i="41"/>
  <c r="J22" i="41"/>
  <c r="J23" i="41"/>
  <c r="J54" i="41"/>
  <c r="D54" i="26"/>
  <c r="J54" i="26" s="1"/>
  <c r="J51" i="41"/>
  <c r="C51" i="26"/>
  <c r="J44" i="41"/>
  <c r="E52" i="26"/>
  <c r="H52" i="26" s="1"/>
  <c r="J55" i="41"/>
  <c r="H87" i="58"/>
  <c r="H87" i="41" s="1"/>
  <c r="H88" i="58"/>
  <c r="H88" i="41" s="1"/>
  <c r="H90" i="58"/>
  <c r="H90" i="41" s="1"/>
  <c r="H89" i="58"/>
  <c r="H89" i="41" s="1"/>
  <c r="I93" i="37"/>
  <c r="I93" i="41" s="1"/>
  <c r="I94" i="37"/>
  <c r="I94" i="41" s="1"/>
  <c r="I91" i="37"/>
  <c r="I91" i="41" s="1"/>
  <c r="I92" i="37"/>
  <c r="I92" i="41" s="1"/>
  <c r="I26" i="41"/>
  <c r="H215" i="35"/>
  <c r="F52" i="26"/>
  <c r="G51" i="26"/>
  <c r="J51" i="26" s="1"/>
  <c r="I211" i="35"/>
  <c r="I40" i="41"/>
  <c r="F53" i="26"/>
  <c r="H219" i="35"/>
  <c r="E54" i="26"/>
  <c r="H54" i="26" s="1"/>
  <c r="H207" i="35"/>
  <c r="F50" i="26"/>
  <c r="J34" i="37"/>
  <c r="J31" i="37"/>
  <c r="J32" i="37"/>
  <c r="J33" i="37"/>
  <c r="I31" i="37"/>
  <c r="I33" i="37"/>
  <c r="I32" i="37"/>
  <c r="I34" i="37"/>
  <c r="C53" i="26"/>
  <c r="I20" i="37"/>
  <c r="I22" i="37"/>
  <c r="I21" i="37"/>
  <c r="I19" i="37"/>
  <c r="I25" i="41"/>
  <c r="J60" i="58"/>
  <c r="J61" i="58"/>
  <c r="J59" i="58"/>
  <c r="J62" i="58"/>
  <c r="J58" i="41"/>
  <c r="J85" i="41"/>
  <c r="H56" i="58"/>
  <c r="H56" i="41" s="1"/>
  <c r="H57" i="58"/>
  <c r="H57" i="41" s="1"/>
  <c r="H55" i="58"/>
  <c r="H55" i="41" s="1"/>
  <c r="H58" i="58"/>
  <c r="H58" i="41" s="1"/>
  <c r="I39" i="41"/>
  <c r="H39" i="58"/>
  <c r="H39" i="41" s="1"/>
  <c r="H40" i="58"/>
  <c r="H40" i="41" s="1"/>
  <c r="H41" i="58"/>
  <c r="H41" i="41" s="1"/>
  <c r="H42" i="58"/>
  <c r="H42" i="41" s="1"/>
  <c r="H79" i="58"/>
  <c r="H79" i="41" s="1"/>
  <c r="H80" i="58"/>
  <c r="H80" i="41" s="1"/>
  <c r="H82" i="58"/>
  <c r="H82" i="41" s="1"/>
  <c r="H81" i="58"/>
  <c r="H81" i="41" s="1"/>
  <c r="H27" i="58"/>
  <c r="H27" i="41" s="1"/>
  <c r="H30" i="58"/>
  <c r="H30" i="41" s="1"/>
  <c r="H28" i="58"/>
  <c r="H28" i="41" s="1"/>
  <c r="H29" i="58"/>
  <c r="H29" i="41" s="1"/>
  <c r="E50" i="26"/>
  <c r="H50" i="26" s="1"/>
  <c r="J68" i="37"/>
  <c r="J70" i="37"/>
  <c r="J67" i="37"/>
  <c r="J69" i="37"/>
  <c r="I63" i="37"/>
  <c r="I66" i="37"/>
  <c r="I65" i="37"/>
  <c r="I64" i="37"/>
  <c r="J72" i="58"/>
  <c r="J72" i="41" s="1"/>
  <c r="J71" i="58"/>
  <c r="J71" i="41" s="1"/>
  <c r="J74" i="58"/>
  <c r="J74" i="41" s="1"/>
  <c r="J73" i="58"/>
  <c r="J73" i="41" s="1"/>
  <c r="I23" i="41"/>
  <c r="H211" i="35"/>
  <c r="F51" i="26"/>
  <c r="J57" i="41"/>
  <c r="J83" i="41"/>
  <c r="J82" i="58"/>
  <c r="J80" i="58"/>
  <c r="J79" i="58"/>
  <c r="J81" i="58"/>
  <c r="I53" i="37"/>
  <c r="I52" i="37"/>
  <c r="I54" i="37"/>
  <c r="I51" i="37"/>
  <c r="I60" i="41"/>
  <c r="I79" i="37"/>
  <c r="I81" i="37"/>
  <c r="I82" i="37"/>
  <c r="I80" i="37"/>
  <c r="I207" i="35"/>
  <c r="G50" i="26"/>
  <c r="H15" i="58"/>
  <c r="H17" i="58"/>
  <c r="H16" i="58"/>
  <c r="H18" i="58"/>
  <c r="H18" i="41" s="1"/>
  <c r="I84" i="58"/>
  <c r="I84" i="41" s="1"/>
  <c r="I85" i="58"/>
  <c r="I85" i="41" s="1"/>
  <c r="I83" i="58"/>
  <c r="I83" i="41" s="1"/>
  <c r="I86" i="58"/>
  <c r="I86" i="41" s="1"/>
  <c r="I28" i="37"/>
  <c r="I28" i="41" s="1"/>
  <c r="I30" i="37"/>
  <c r="I30" i="41" s="1"/>
  <c r="I29" i="37"/>
  <c r="I29" i="41" s="1"/>
  <c r="I27" i="37"/>
  <c r="I27" i="41" s="1"/>
  <c r="I24" i="41"/>
  <c r="J29" i="58"/>
  <c r="J30" i="58"/>
  <c r="J27" i="58"/>
  <c r="J28" i="58"/>
  <c r="J56" i="41"/>
  <c r="J84" i="41"/>
  <c r="E51" i="26"/>
  <c r="H51" i="26" s="1"/>
  <c r="I36" i="37"/>
  <c r="I36" i="41" s="1"/>
  <c r="I37" i="37"/>
  <c r="I37" i="41" s="1"/>
  <c r="I38" i="37"/>
  <c r="I38" i="41" s="1"/>
  <c r="I35" i="37"/>
  <c r="I35" i="41" s="1"/>
  <c r="I59" i="41"/>
  <c r="C54" i="26"/>
  <c r="I53" i="58"/>
  <c r="I52" i="58"/>
  <c r="I54" i="58"/>
  <c r="I51" i="58"/>
  <c r="I20" i="58"/>
  <c r="I21" i="58"/>
  <c r="I19" i="58"/>
  <c r="I22" i="58"/>
  <c r="I58" i="58"/>
  <c r="I58" i="41" s="1"/>
  <c r="I56" i="58"/>
  <c r="I56" i="41" s="1"/>
  <c r="I57" i="58"/>
  <c r="I57" i="41" s="1"/>
  <c r="I55" i="58"/>
  <c r="I55" i="41" s="1"/>
  <c r="J45" i="41"/>
  <c r="J41" i="41"/>
  <c r="I43" i="41"/>
  <c r="I69" i="58"/>
  <c r="I68" i="58"/>
  <c r="I70" i="58"/>
  <c r="I67" i="58"/>
  <c r="J86" i="41"/>
  <c r="H32" i="58"/>
  <c r="H32" i="41" s="1"/>
  <c r="H31" i="58"/>
  <c r="H31" i="41" s="1"/>
  <c r="H33" i="58"/>
  <c r="H33" i="41" s="1"/>
  <c r="H34" i="58"/>
  <c r="H34" i="41" s="1"/>
  <c r="J28" i="37"/>
  <c r="J30" i="37"/>
  <c r="J29" i="37"/>
  <c r="J27" i="37"/>
  <c r="I62" i="41"/>
  <c r="D52" i="26"/>
  <c r="I77" i="58"/>
  <c r="I77" i="41" s="1"/>
  <c r="I78" i="58"/>
  <c r="I78" i="41" s="1"/>
  <c r="I76" i="58"/>
  <c r="I76" i="41" s="1"/>
  <c r="I75" i="58"/>
  <c r="I75" i="41" s="1"/>
  <c r="H37" i="58"/>
  <c r="H37" i="41" s="1"/>
  <c r="H36" i="58"/>
  <c r="H36" i="41" s="1"/>
  <c r="H38" i="58"/>
  <c r="H38" i="41" s="1"/>
  <c r="H35" i="58"/>
  <c r="H35" i="41" s="1"/>
  <c r="H25" i="58"/>
  <c r="H25" i="41" s="1"/>
  <c r="H24" i="58"/>
  <c r="H24" i="41" s="1"/>
  <c r="H26" i="58"/>
  <c r="H26" i="41" s="1"/>
  <c r="H23" i="58"/>
  <c r="H23" i="41" s="1"/>
  <c r="J43" i="41"/>
  <c r="I49" i="37"/>
  <c r="I48" i="37"/>
  <c r="I50" i="37"/>
  <c r="I47" i="37"/>
  <c r="J39" i="41"/>
  <c r="I46" i="41"/>
  <c r="J75" i="37"/>
  <c r="J76" i="37"/>
  <c r="J77" i="37"/>
  <c r="J78" i="37"/>
  <c r="J63" i="58"/>
  <c r="J64" i="58"/>
  <c r="J66" i="58"/>
  <c r="J65" i="58"/>
  <c r="J92" i="37"/>
  <c r="J92" i="41" s="1"/>
  <c r="J91" i="37"/>
  <c r="J91" i="41" s="1"/>
  <c r="J93" i="37"/>
  <c r="J93" i="41" s="1"/>
  <c r="J94" i="37"/>
  <c r="J94" i="41" s="1"/>
  <c r="I61" i="41"/>
  <c r="J47" i="37"/>
  <c r="J50" i="37"/>
  <c r="J49" i="37"/>
  <c r="J48" i="37"/>
  <c r="J77" i="58"/>
  <c r="J75" i="58"/>
  <c r="J78" i="58"/>
  <c r="J76" i="58"/>
  <c r="J24" i="41"/>
  <c r="I68" i="37"/>
  <c r="I70" i="37"/>
  <c r="I67" i="37"/>
  <c r="I69" i="37"/>
  <c r="J90" i="37"/>
  <c r="J90" i="41" s="1"/>
  <c r="J89" i="37"/>
  <c r="J89" i="41" s="1"/>
  <c r="J87" i="37"/>
  <c r="J87" i="41" s="1"/>
  <c r="J88" i="37"/>
  <c r="J88" i="41" s="1"/>
  <c r="I73" i="58"/>
  <c r="I73" i="41" s="1"/>
  <c r="I72" i="58"/>
  <c r="I72" i="41" s="1"/>
  <c r="I71" i="58"/>
  <c r="I71" i="41" s="1"/>
  <c r="I74" i="58"/>
  <c r="I74" i="41" s="1"/>
  <c r="J40" i="41"/>
  <c r="I45" i="41"/>
  <c r="I186" i="35"/>
  <c r="D50" i="26"/>
  <c r="G53" i="26"/>
  <c r="I42" i="41"/>
  <c r="F54" i="26"/>
  <c r="I215" i="35"/>
  <c r="G52" i="26"/>
  <c r="C50" i="26"/>
  <c r="J21" i="41"/>
  <c r="I88" i="58"/>
  <c r="I88" i="41" s="1"/>
  <c r="I87" i="58"/>
  <c r="I87" i="41" s="1"/>
  <c r="I90" i="58"/>
  <c r="I90" i="41" s="1"/>
  <c r="I89" i="58"/>
  <c r="I89" i="41" s="1"/>
  <c r="J79" i="37"/>
  <c r="J81" i="37"/>
  <c r="J82" i="37"/>
  <c r="J80" i="37"/>
  <c r="D53" i="26"/>
  <c r="I198" i="35"/>
  <c r="J46" i="41"/>
  <c r="G219" i="35"/>
  <c r="E53" i="26"/>
  <c r="H53" i="26" s="1"/>
  <c r="J42" i="41"/>
  <c r="I44" i="41"/>
  <c r="J60" i="37"/>
  <c r="J59" i="37"/>
  <c r="J61" i="37"/>
  <c r="J62" i="37"/>
  <c r="H47" i="58"/>
  <c r="H47" i="41" s="1"/>
  <c r="H50" i="58"/>
  <c r="H50" i="41" s="1"/>
  <c r="H49" i="58"/>
  <c r="H49" i="41" s="1"/>
  <c r="H48" i="58"/>
  <c r="H48" i="41" s="1"/>
  <c r="I80" i="58"/>
  <c r="I81" i="58"/>
  <c r="I82" i="58"/>
  <c r="I79" i="58"/>
  <c r="J67" i="58"/>
  <c r="J69" i="58"/>
  <c r="J68" i="58"/>
  <c r="J70" i="58"/>
  <c r="I17" i="37"/>
  <c r="I18" i="37"/>
  <c r="I15" i="37"/>
  <c r="I16" i="37"/>
  <c r="J20" i="41"/>
  <c r="I52" i="26" l="1"/>
  <c r="J59" i="41"/>
  <c r="J60" i="41"/>
  <c r="J30" i="41"/>
  <c r="I50" i="26"/>
  <c r="J61" i="41"/>
  <c r="J80" i="41"/>
  <c r="J50" i="26"/>
  <c r="J79" i="41"/>
  <c r="I69" i="41"/>
  <c r="I67" i="41"/>
  <c r="J76" i="41"/>
  <c r="J81" i="41"/>
  <c r="J28" i="41"/>
  <c r="I51" i="41"/>
  <c r="I51" i="26"/>
  <c r="I68" i="41"/>
  <c r="J29" i="41"/>
  <c r="I54" i="41"/>
  <c r="I54" i="26"/>
  <c r="I70" i="41"/>
  <c r="J75" i="41"/>
  <c r="J27" i="41"/>
  <c r="H63" i="58"/>
  <c r="H63" i="41" s="1"/>
  <c r="H66" i="58"/>
  <c r="H66" i="41" s="1"/>
  <c r="H65" i="58"/>
  <c r="H65" i="41" s="1"/>
  <c r="H64" i="58"/>
  <c r="H64" i="41" s="1"/>
  <c r="J16" i="37"/>
  <c r="J17" i="37"/>
  <c r="J15" i="37"/>
  <c r="J18" i="37"/>
  <c r="J70" i="41"/>
  <c r="I22" i="41"/>
  <c r="I423" i="37"/>
  <c r="I424" i="37"/>
  <c r="E17" i="53" s="1"/>
  <c r="F17" i="53" s="1"/>
  <c r="J62" i="41"/>
  <c r="I52" i="41"/>
  <c r="J68" i="41"/>
  <c r="I20" i="41"/>
  <c r="I47" i="58"/>
  <c r="I47" i="41" s="1"/>
  <c r="I49" i="58"/>
  <c r="I49" i="41" s="1"/>
  <c r="I48" i="58"/>
  <c r="I48" i="41" s="1"/>
  <c r="I50" i="58"/>
  <c r="I50" i="41" s="1"/>
  <c r="J65" i="37"/>
  <c r="J65" i="41" s="1"/>
  <c r="J63" i="37"/>
  <c r="J63" i="41" s="1"/>
  <c r="J66" i="37"/>
  <c r="J66" i="41" s="1"/>
  <c r="J64" i="37"/>
  <c r="J64" i="41" s="1"/>
  <c r="H16" i="41"/>
  <c r="I80" i="41"/>
  <c r="I53" i="41"/>
  <c r="I53" i="26"/>
  <c r="C18" i="63"/>
  <c r="J53" i="26"/>
  <c r="J47" i="58"/>
  <c r="J47" i="41" s="1"/>
  <c r="J48" i="58"/>
  <c r="J48" i="41" s="1"/>
  <c r="J49" i="58"/>
  <c r="J49" i="41" s="1"/>
  <c r="J50" i="58"/>
  <c r="J50" i="41" s="1"/>
  <c r="H17" i="41"/>
  <c r="I82" i="41"/>
  <c r="I31" i="58"/>
  <c r="I31" i="41" s="1"/>
  <c r="I32" i="58"/>
  <c r="I32" i="41" s="1"/>
  <c r="I33" i="58"/>
  <c r="I33" i="41" s="1"/>
  <c r="I34" i="58"/>
  <c r="I34" i="41" s="1"/>
  <c r="I63" i="58"/>
  <c r="I63" i="41" s="1"/>
  <c r="I65" i="58"/>
  <c r="I65" i="41" s="1"/>
  <c r="I66" i="58"/>
  <c r="I66" i="41" s="1"/>
  <c r="I64" i="58"/>
  <c r="I64" i="41" s="1"/>
  <c r="J78" i="41"/>
  <c r="H15" i="41"/>
  <c r="I81" i="41"/>
  <c r="J82" i="41"/>
  <c r="J77" i="41"/>
  <c r="J52" i="26"/>
  <c r="I79" i="41"/>
  <c r="J17" i="58"/>
  <c r="J15" i="58"/>
  <c r="J16" i="58"/>
  <c r="J18" i="58"/>
  <c r="J69" i="41"/>
  <c r="I19" i="41"/>
  <c r="I18" i="58"/>
  <c r="I18" i="41" s="1"/>
  <c r="I16" i="58"/>
  <c r="I15" i="58"/>
  <c r="I17" i="58"/>
  <c r="J32" i="58"/>
  <c r="J32" i="41" s="1"/>
  <c r="J34" i="58"/>
  <c r="J34" i="41" s="1"/>
  <c r="J33" i="58"/>
  <c r="J33" i="41" s="1"/>
  <c r="J31" i="58"/>
  <c r="J31" i="41" s="1"/>
  <c r="J67" i="41"/>
  <c r="I21" i="41"/>
  <c r="C38" i="63" l="1"/>
  <c r="H423" i="58"/>
  <c r="E299" i="38" s="1"/>
  <c r="M194" i="66" s="1"/>
  <c r="H424" i="58"/>
  <c r="H424" i="41" s="1"/>
  <c r="H23" i="53"/>
  <c r="I425" i="37"/>
  <c r="F98" i="66"/>
  <c r="E311" i="38"/>
  <c r="M98" i="66" s="1"/>
  <c r="J16" i="41"/>
  <c r="C48" i="63"/>
  <c r="I423" i="58"/>
  <c r="I424" i="58"/>
  <c r="F241" i="66" s="1"/>
  <c r="J424" i="58"/>
  <c r="E35" i="53" s="1"/>
  <c r="F35" i="53" s="1"/>
  <c r="H29" i="53" s="1"/>
  <c r="J423" i="58"/>
  <c r="C58" i="63"/>
  <c r="I17" i="41"/>
  <c r="J18" i="41"/>
  <c r="F97" i="66"/>
  <c r="J424" i="37"/>
  <c r="J15" i="41"/>
  <c r="J423" i="37"/>
  <c r="I16" i="41"/>
  <c r="I15" i="41"/>
  <c r="J17" i="41"/>
  <c r="C28" i="63"/>
  <c r="F194" i="66" l="1"/>
  <c r="N194" i="66" s="1"/>
  <c r="H423" i="41"/>
  <c r="E11" i="53"/>
  <c r="F11" i="53" s="1"/>
  <c r="G11" i="53" s="1"/>
  <c r="E293" i="38" s="1"/>
  <c r="H425" i="58"/>
  <c r="H425" i="41" s="1"/>
  <c r="M3" i="41" s="1"/>
  <c r="F193" i="66"/>
  <c r="E335" i="38"/>
  <c r="M146" i="66" s="1"/>
  <c r="J423" i="41"/>
  <c r="J425" i="37"/>
  <c r="F146" i="66"/>
  <c r="E23" i="53"/>
  <c r="F23" i="53" s="1"/>
  <c r="I425" i="58"/>
  <c r="I425" i="41" s="1"/>
  <c r="N3" i="41" s="1"/>
  <c r="F242" i="66"/>
  <c r="E323" i="38"/>
  <c r="M242" i="66" s="1"/>
  <c r="N98" i="66"/>
  <c r="E29" i="53"/>
  <c r="F29" i="53" s="1"/>
  <c r="J424" i="41"/>
  <c r="F289" i="66"/>
  <c r="C19" i="63"/>
  <c r="C12" i="63"/>
  <c r="I424" i="41"/>
  <c r="I423" i="41"/>
  <c r="J425" i="58"/>
  <c r="E347" i="38"/>
  <c r="M290" i="66" s="1"/>
  <c r="F290" i="66"/>
  <c r="F145" i="66"/>
  <c r="C32" i="63" l="1"/>
  <c r="C39" i="63"/>
  <c r="H5" i="53"/>
  <c r="G5" i="53" s="1"/>
  <c r="E281" i="38" s="1"/>
  <c r="H484" i="37" s="1"/>
  <c r="N242" i="66"/>
  <c r="Y98" i="66" s="1"/>
  <c r="C49" i="63"/>
  <c r="C42" i="63"/>
  <c r="H17" i="53"/>
  <c r="G17" i="53" s="1"/>
  <c r="E305" i="38" s="1"/>
  <c r="G23" i="53"/>
  <c r="E317" i="38" s="1"/>
  <c r="N290" i="66"/>
  <c r="N146" i="66"/>
  <c r="Y194" i="66"/>
  <c r="Z194" i="66"/>
  <c r="Z50" i="66"/>
  <c r="Y50" i="66"/>
  <c r="C59" i="63"/>
  <c r="C52" i="63"/>
  <c r="H35" i="53"/>
  <c r="G35" i="53" s="1"/>
  <c r="E341" i="38" s="1"/>
  <c r="G29" i="53"/>
  <c r="E329" i="38" s="1"/>
  <c r="C29" i="63"/>
  <c r="J425" i="41"/>
  <c r="O3" i="41" s="1"/>
  <c r="C22" i="63"/>
  <c r="Y242" i="66"/>
  <c r="Z242" i="66"/>
  <c r="Z98" i="66"/>
  <c r="H484" i="58"/>
  <c r="L193" i="66"/>
  <c r="L49" i="66" l="1"/>
  <c r="N49" i="66" s="1"/>
  <c r="L289" i="66"/>
  <c r="J484" i="58"/>
  <c r="L145" i="66"/>
  <c r="J484" i="37"/>
  <c r="Y146" i="66"/>
  <c r="Z146" i="66"/>
  <c r="Z290" i="66"/>
  <c r="Y290" i="66"/>
  <c r="H484" i="41"/>
  <c r="L241" i="66"/>
  <c r="I484" i="58"/>
  <c r="P193" i="66"/>
  <c r="V193" i="66" s="1"/>
  <c r="X193" i="66" s="1"/>
  <c r="R193" i="66"/>
  <c r="T193" i="66" s="1"/>
  <c r="N193" i="66"/>
  <c r="L97" i="66"/>
  <c r="I484" i="37"/>
  <c r="R49" i="66" l="1"/>
  <c r="T49" i="66" s="1"/>
  <c r="P49" i="66"/>
  <c r="V49" i="66" s="1"/>
  <c r="X49" i="66" s="1"/>
  <c r="O193" i="66"/>
  <c r="U193" i="66" s="1"/>
  <c r="J484" i="41"/>
  <c r="I484" i="41"/>
  <c r="P241" i="66"/>
  <c r="N241" i="66"/>
  <c r="P145" i="66"/>
  <c r="N145" i="66"/>
  <c r="P97" i="66"/>
  <c r="N97" i="66"/>
  <c r="Y193" i="66"/>
  <c r="O49" i="66"/>
  <c r="Y49" i="66"/>
  <c r="Z193" i="66"/>
  <c r="Z49" i="66"/>
  <c r="P289" i="66"/>
  <c r="N289" i="66"/>
  <c r="Q193" i="66" l="1"/>
  <c r="O241" i="66"/>
  <c r="Q241" i="66" s="1"/>
  <c r="R241" i="66" s="1"/>
  <c r="T241" i="66" s="1"/>
  <c r="O289" i="66"/>
  <c r="U289" i="66" s="1"/>
  <c r="O97" i="66"/>
  <c r="Z241" i="66"/>
  <c r="Z97" i="66"/>
  <c r="Y97" i="66"/>
  <c r="Y241" i="66"/>
  <c r="O145" i="66"/>
  <c r="Z145" i="66"/>
  <c r="Y289" i="66"/>
  <c r="Z289" i="66"/>
  <c r="Y145" i="66"/>
  <c r="Q49" i="66"/>
  <c r="U49" i="66"/>
  <c r="U241" i="66" l="1"/>
  <c r="V241" i="66"/>
  <c r="X241" i="66" s="1"/>
  <c r="V289" i="66"/>
  <c r="X289" i="66" s="1"/>
  <c r="Q289" i="66"/>
  <c r="R289" i="66" s="1"/>
  <c r="T289" i="66" s="1"/>
  <c r="U97" i="66"/>
  <c r="Q97" i="66"/>
  <c r="R97" i="66" s="1"/>
  <c r="T97" i="66" s="1"/>
  <c r="V97" i="66"/>
  <c r="X97" i="66" s="1"/>
  <c r="U145" i="66"/>
  <c r="V145" i="66"/>
  <c r="X145" i="66" s="1"/>
  <c r="Q145" i="66"/>
  <c r="R145" i="66" s="1"/>
  <c r="T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<sst xmlns="http://schemas.openxmlformats.org/spreadsheetml/2006/main" count="4761" uniqueCount="340">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</sst>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167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2228369.9999999995</c:v>
                </c:pt>
                <c:pt idx="2">
                  <c:v>1899636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5983472.0830119411</c:v>
                </c:pt>
                <c:pt idx="2">
                  <c:v>4325611.8575397506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-3404236.3224875946</c:v>
                </c:pt>
                <c:pt idx="2">
                  <c:v>-5008646.9254477425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-326333.33333333331</c:v>
                </c:pt>
                <c:pt idx="2">
                  <c:v>-652666.66666666663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-674720.29971579439</c:v>
                </c:pt>
                <c:pt idx="2">
                  <c:v>-2235512.0604671068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5944363.3032441009</c:v>
                </c:pt>
                <c:pt idx="2">
                  <c:v>-97929.093596754246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264117.89004586969</c:v>
                </c:pt>
                <c:pt idx="2">
                  <c:v>231755.59199999995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4458.757841012437</c:v>
                </c:pt>
                <c:pt idx="2">
                  <c:v>3856.6246242587122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212028.31380976731</c:v>
                </c:pt>
                <c:pt idx="2">
                  <c:v>246952.67999999996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64589.359990751684</c:v>
                </c:pt>
                <c:pt idx="2">
                  <c:v>74085.803999999989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16716.165394297434</c:v>
                </c:pt>
                <c:pt idx="2">
                  <c:v>14412.414806996741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48402.381741449251</c:v>
                </c:pt>
                <c:pt idx="2">
                  <c:v>41596.868517815572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905088.02622703218</c:v>
                </c:pt>
                <c:pt idx="2">
                  <c:v>778850.75999999989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124875.40669382241</c:v>
                </c:pt>
                <c:pt idx="2">
                  <c:v>106379.61599999998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61589.243977212194</c:v>
                </c:pt>
                <c:pt idx="2">
                  <c:v>53130.292819429109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142665.2056189712</c:v>
                </c:pt>
                <c:pt idx="2">
                  <c:v>124102.62830577194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29068.040345226058</c:v>
                </c:pt>
                <c:pt idx="2">
                  <c:v>75985.439999999988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255816.30203413824</c:v>
                </c:pt>
                <c:pt idx="2">
                  <c:v>66487.259999999995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6954.751488188539</c:v>
                </c:pt>
                <c:pt idx="2">
                  <c:v>5542.2060385333634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91124.174041285412</c:v>
                </c:pt>
                <c:pt idx="2">
                  <c:v>76736.379999162556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21.127438453286224</c:v>
                </c:pt>
                <c:pt idx="2">
                  <c:v>20.013296105177979</c:v>
                </c:pt>
                <c:pt idx="3">
                  <c:v>7.483154704207001</c:v>
                </c:pt>
                <c:pt idx="4">
                  <c:v>5.3593897439621303</c:v>
                </c:pt>
                <c:pt idx="5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1.8768062083648245</c:v>
                </c:pt>
                <c:pt idx="2">
                  <c:v>0.51656795659625476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3.0910231340632697</c:v>
                </c:pt>
                <c:pt idx="2">
                  <c:v>3.2455399152412623</c:v>
                </c:pt>
                <c:pt idx="3">
                  <c:v>0.45076703431999998</c:v>
                </c:pt>
                <c:pt idx="4">
                  <c:v>4.6124320000000001</c:v>
                </c:pt>
                <c:pt idx="5">
                  <c:v>1.4413849999999999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4.8379999999999992</c:v>
                </c:pt>
                <c:pt idx="2">
                  <c:v>9.6759999999999984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6.6240810463868627</c:v>
                </c:pt>
                <c:pt idx="2">
                  <c:v>5.6341600429794019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44.966727493106276</c:v>
                </c:pt>
                <c:pt idx="2">
                  <c:v>49.306462987563584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184012.35316469875</c:v>
                </c:pt>
                <c:pt idx="2">
                  <c:v>72299.899439519868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934200.74426179938</c:v>
                </c:pt>
                <c:pt idx="2">
                  <c:v>479407.95448728558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1499775.7508217124</c:v>
                </c:pt>
                <c:pt idx="2">
                  <c:v>1655938.2672662933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300000</c:v>
                </c:pt>
                <c:pt idx="2">
                  <c:v>300000</c:v>
                </c:pt>
                <c:pt idx="9">
                  <c:v>0</c:v>
                </c:pt>
                <c:pt idx="10">
                  <c:v>63994.971742743859</c:v>
                </c:pt>
                <c:pt idx="11">
                  <c:v>69776.815109599527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800000</c:v>
                </c:pt>
                <c:pt idx="2">
                  <c:v>250000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299059.69913152861</c:v>
                </c:pt>
                <c:pt idx="11">
                  <c:v>314009.35822033597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</c:v>
                </c:pt>
                <c:pt idx="26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591435.80771311279</c:v>
                </c:pt>
                <c:pt idx="23">
                  <c:v>503050.00383744668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162920.24875184946</c:v>
                </c:pt>
                <c:pt idx="11">
                  <c:v>125003.78132033482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2895697.75418304</c:v>
                </c:pt>
                <c:pt idx="11">
                  <c:v>3243258.6986049283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5-4E5E-B75C-BD1B8D8E096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189259.4584681961</c:v>
                </c:pt>
                <c:pt idx="11">
                  <c:v>160976.00122798292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55-4E5E-B75C-BD1B8D8E0963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14828345.181564413</c:v>
                </c:pt>
                <c:pt idx="17">
                  <c:v>17320152.124502886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55-4E5E-B75C-BD1B8D8E0963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1265113.8193075224</c:v>
                </c:pt>
                <c:pt idx="17">
                  <c:v>1427755.8058225526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55-4E5E-B75C-BD1B8D8E0963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</c:v>
                </c:pt>
                <c:pt idx="11">
                  <c:v>560000.00000000012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55-4E5E-B75C-BD1B8D8E0963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</c:v>
                </c:pt>
                <c:pt idx="11">
                  <c:v>140000.00000000003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55-4E5E-B75C-BD1B8D8E0963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799072.903388076</c:v>
                </c:pt>
                <c:pt idx="14">
                  <c:v>976649.60781058134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55-4E5E-B75C-BD1B8D8E0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98243.127760041971</c:v>
                </c:pt>
                <c:pt idx="2">
                  <c:v>109313.87915221718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1265113.8193075224</c:v>
                </c:pt>
                <c:pt idx="2">
                  <c:v>1427755.8058225526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38032.406092506018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164626.65326344536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58-4D75-9763-687E42F185A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420629.98984142789</c:v>
                </c:pt>
                <c:pt idx="1">
                  <c:v>445438.57445291564</c:v>
                </c:pt>
                <c:pt idx="2">
                  <c:v>471495.08469880058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58-4D75-9763-687E42F185AC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58-4D75-9763-687E42F18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818750.9421422208</c:v>
                </c:pt>
                <c:pt idx="2">
                  <c:v>606927.20989221707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4083949.8291124925</c:v>
                </c:pt>
                <c:pt idx="2">
                  <c:v>6218047.3733939501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1238021.3933947089</c:v>
                </c:pt>
                <c:pt idx="2">
                  <c:v>1013965.6714587077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316503.84739456628</c:v>
                </c:pt>
                <c:pt idx="2">
                  <c:v>230753.74833062105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899921.68325131456</c:v>
                </c:pt>
                <c:pt idx="2">
                  <c:v>1055000.575828776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1716518.6237022071</c:v>
                </c:pt>
                <c:pt idx="2">
                  <c:v>1393392.219080769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25629.499689819873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476956.37947110087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791123.49481720233</c:v>
                </c:pt>
                <c:pt idx="2">
                  <c:v>666394.02963851194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3-41EC-A1C2-7DDE26DAB42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1736814.9544858108</c:v>
                </c:pt>
                <c:pt idx="2">
                  <c:v>1463941.3963636679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3-41EC-A1C2-7DDE26DAB42C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44059.112886068804</c:v>
                </c:pt>
                <c:pt idx="2">
                  <c:v>42785.020715148916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3-41EC-A1C2-7DDE26DAB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2228369.9999999995</c:v>
                </c:pt>
                <c:pt idx="2">
                  <c:v>1899636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5983472.0830119411</c:v>
                </c:pt>
                <c:pt idx="2">
                  <c:v>4325611.8575397506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-3404236.3224875946</c:v>
                </c:pt>
                <c:pt idx="2">
                  <c:v>-5008646.9254477425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-326333.33333333331</c:v>
                </c:pt>
                <c:pt idx="2">
                  <c:v>-652666.66666666663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-674720.29971579439</c:v>
                </c:pt>
                <c:pt idx="2">
                  <c:v>-2235512.0604671068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5944363.3032441009</c:v>
                </c:pt>
                <c:pt idx="2">
                  <c:v>-97929.093596754246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98243.127760041971</c:v>
                </c:pt>
                <c:pt idx="2">
                  <c:v>109313.87915221718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1265113.8193075224</c:v>
                </c:pt>
                <c:pt idx="2">
                  <c:v>1427755.8058225526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38032.406092506018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164626.65326344536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F1-4005-BECB-833A83989A85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420629.98984142789</c:v>
                </c:pt>
                <c:pt idx="1">
                  <c:v>445438.57445291564</c:v>
                </c:pt>
                <c:pt idx="2">
                  <c:v>471495.08469880058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F1-4005-BECB-833A83989A85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F1-4005-BECB-833A83989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818750.9421422208</c:v>
                </c:pt>
                <c:pt idx="2">
                  <c:v>606927.20989221707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4083949.8291124925</c:v>
                </c:pt>
                <c:pt idx="2">
                  <c:v>6218047.3733939501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1238021.3933947089</c:v>
                </c:pt>
                <c:pt idx="2">
                  <c:v>1013965.6714587077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316503.84739456628</c:v>
                </c:pt>
                <c:pt idx="2">
                  <c:v>230753.74833062105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899921.68325131456</c:v>
                </c:pt>
                <c:pt idx="2">
                  <c:v>1055000.575828776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1716518.6237022071</c:v>
                </c:pt>
                <c:pt idx="2">
                  <c:v>1393392.219080769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25629.499689819873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476956.37947110087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791123.49481720233</c:v>
                </c:pt>
                <c:pt idx="2">
                  <c:v>666394.02963851194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65-4843-ABF1-00BFDC34CB34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1736814.9544858108</c:v>
                </c:pt>
                <c:pt idx="2">
                  <c:v>1463941.3963636679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65-4843-ABF1-00BFDC34CB34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44059.112886068804</c:v>
                </c:pt>
                <c:pt idx="2">
                  <c:v>42785.020715148916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65-4843-ABF1-00BFDC34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5983472.0830119411</c:v>
                </c:pt>
                <c:pt idx="2">
                  <c:v>4325611.8575397506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-3404236.3224875946</c:v>
                </c:pt>
                <c:pt idx="2">
                  <c:v>-5008646.9254477425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-326333.33333333331</c:v>
                </c:pt>
                <c:pt idx="2">
                  <c:v>-652666.66666666663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-674720.29971579439</c:v>
                </c:pt>
                <c:pt idx="2">
                  <c:v>-2235512.0604671068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5944363.3032441009</c:v>
                </c:pt>
                <c:pt idx="2">
                  <c:v>-97929.093596754246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98243.127760041971</c:v>
                </c:pt>
                <c:pt idx="2">
                  <c:v>109313.87915221718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1265113.8193075224</c:v>
                </c:pt>
                <c:pt idx="2">
                  <c:v>1427755.8058225526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38032.406092506018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164626.65326344536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D-4922-9E3E-56A7D4059FE3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420629.98984142789</c:v>
                </c:pt>
                <c:pt idx="1">
                  <c:v>445438.57445291564</c:v>
                </c:pt>
                <c:pt idx="2">
                  <c:v>471495.08469880058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D-4922-9E3E-56A7D4059FE3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DD-4922-9E3E-56A7D4059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818750.9421422208</c:v>
                </c:pt>
                <c:pt idx="2">
                  <c:v>606927.20989221707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4083949.8291124925</c:v>
                </c:pt>
                <c:pt idx="2">
                  <c:v>6218047.3733939501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1238021.3933947089</c:v>
                </c:pt>
                <c:pt idx="2">
                  <c:v>1013965.6714587077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316503.84739456628</c:v>
                </c:pt>
                <c:pt idx="2">
                  <c:v>230753.74833062105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899921.68325131456</c:v>
                </c:pt>
                <c:pt idx="2">
                  <c:v>1055000.575828776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1716518.6237022071</c:v>
                </c:pt>
                <c:pt idx="2">
                  <c:v>1393392.219080769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25629.499689819873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476956.37947110087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791123.49481720233</c:v>
                </c:pt>
                <c:pt idx="2">
                  <c:v>666394.02963851194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E-465E-8532-61CAA0766AC6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1736814.9544858108</c:v>
                </c:pt>
                <c:pt idx="2">
                  <c:v>1463941.3963636679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E-465E-8532-61CAA0766AC6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44059.112886068804</c:v>
                </c:pt>
                <c:pt idx="2">
                  <c:v>42785.020715148916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E-465E-8532-61CAA0766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2895697.75418304</c:v>
                </c:pt>
                <c:pt idx="2">
                  <c:v>3243258.6986049283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799072.903388076</c:v>
                </c:pt>
                <c:pt idx="2">
                  <c:v>976649.60781058134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14007.168080141319</c:v>
                </c:pt>
                <c:pt idx="2">
                  <c:v>29043.368597515822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126064.51272127185</c:v>
                </c:pt>
                <c:pt idx="2">
                  <c:v>261390.3173776425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14007.168080141319</c:v>
                </c:pt>
                <c:pt idx="2">
                  <c:v>29043.368597515822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126064.51272127185</c:v>
                </c:pt>
                <c:pt idx="2">
                  <c:v>261390.31737764258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818750.9421422208</c:v>
                </c:pt>
                <c:pt idx="1">
                  <c:v>144478.95980254692</c:v>
                </c:pt>
                <c:pt idx="2">
                  <c:v>27304.146222176485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606927.20989221707</c:v>
                </c:pt>
                <c:pt idx="1">
                  <c:v>92858.458097270282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300000</c:v>
                </c:pt>
                <c:pt idx="2">
                  <c:v>300000</c:v>
                </c:pt>
                <c:pt idx="9">
                  <c:v>0</c:v>
                </c:pt>
                <c:pt idx="10">
                  <c:v>63994.971742743859</c:v>
                </c:pt>
                <c:pt idx="11">
                  <c:v>69776.815109599527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800000</c:v>
                </c:pt>
                <c:pt idx="2">
                  <c:v>250000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299059.69913152861</c:v>
                </c:pt>
                <c:pt idx="11">
                  <c:v>314009.35822033597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</c:v>
                </c:pt>
                <c:pt idx="26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591435.80771311279</c:v>
                </c:pt>
                <c:pt idx="23">
                  <c:v>503050.00383744668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162920.24875184946</c:v>
                </c:pt>
                <c:pt idx="11">
                  <c:v>125003.78132033482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2895697.75418304</c:v>
                </c:pt>
                <c:pt idx="11">
                  <c:v>3243258.6986049283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4-4C51-B492-43F3A736DB5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189259.4584681961</c:v>
                </c:pt>
                <c:pt idx="11">
                  <c:v>160976.00122798292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A4-4C51-B492-43F3A736DB5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14828345.181564413</c:v>
                </c:pt>
                <c:pt idx="17">
                  <c:v>17320152.124502886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A4-4C51-B492-43F3A736DB5F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1265113.8193075224</c:v>
                </c:pt>
                <c:pt idx="17">
                  <c:v>1427755.8058225526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A4-4C51-B492-43F3A736DB5F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</c:v>
                </c:pt>
                <c:pt idx="11">
                  <c:v>560000.00000000012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A4-4C51-B492-43F3A736DB5F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</c:v>
                </c:pt>
                <c:pt idx="11">
                  <c:v>140000.00000000003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A4-4C51-B492-43F3A736DB5F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799072.903388076</c:v>
                </c:pt>
                <c:pt idx="14">
                  <c:v>976649.60781058134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A4-4C51-B492-43F3A736D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98243.127760041971</c:v>
                </c:pt>
                <c:pt idx="2">
                  <c:v>109313.87915221718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1265113.8193075224</c:v>
                </c:pt>
                <c:pt idx="2">
                  <c:v>1427755.8058225526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38032.406092506018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164626.65326344536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C-40BE-887F-CE4D700DA2F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420629.98984142789</c:v>
                </c:pt>
                <c:pt idx="1">
                  <c:v>445438.57445291564</c:v>
                </c:pt>
                <c:pt idx="2">
                  <c:v>471495.08469880058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C-40BE-887F-CE4D700DA2F2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BC-40BE-887F-CE4D700DA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818750.9421422208</c:v>
                </c:pt>
                <c:pt idx="2">
                  <c:v>606927.20989221707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4083949.8291124925</c:v>
                </c:pt>
                <c:pt idx="2">
                  <c:v>6218047.3733939501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1238021.3933947089</c:v>
                </c:pt>
                <c:pt idx="2">
                  <c:v>1013965.6714587077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316503.84739456628</c:v>
                </c:pt>
                <c:pt idx="2">
                  <c:v>230753.74833062105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899921.68325131456</c:v>
                </c:pt>
                <c:pt idx="2">
                  <c:v>1055000.575828776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1716518.6237022071</c:v>
                </c:pt>
                <c:pt idx="2">
                  <c:v>1393392.219080769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2">
                  <c:v>25629.499689819873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476956.37947110087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791123.49481720233</c:v>
                </c:pt>
                <c:pt idx="2">
                  <c:v>666394.02963851194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A-4454-A8A0-4B3B5A090E3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1736814.9544858108</c:v>
                </c:pt>
                <c:pt idx="2">
                  <c:v>1463941.3963636679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A-4454-A8A0-4B3B5A090E3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44059.112886068804</c:v>
                </c:pt>
                <c:pt idx="2">
                  <c:v>42785.020715148916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A-4454-A8A0-4B3B5A090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21.127438453286224</c:v>
                </c:pt>
                <c:pt idx="2">
                  <c:v>20.013296105177979</c:v>
                </c:pt>
                <c:pt idx="3">
                  <c:v>7.483154704207001</c:v>
                </c:pt>
                <c:pt idx="4">
                  <c:v>5.3593897439621303</c:v>
                </c:pt>
                <c:pt idx="5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1.8768062083648245</c:v>
                </c:pt>
                <c:pt idx="2">
                  <c:v>0.51656795659625476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3.0910231340632697</c:v>
                </c:pt>
                <c:pt idx="2">
                  <c:v>3.2455399152412623</c:v>
                </c:pt>
                <c:pt idx="3">
                  <c:v>0.45076703431999998</c:v>
                </c:pt>
                <c:pt idx="4">
                  <c:v>4.6124320000000001</c:v>
                </c:pt>
                <c:pt idx="5">
                  <c:v>1.4413849999999999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4.8379999999999992</c:v>
                </c:pt>
                <c:pt idx="2">
                  <c:v>9.6759999999999984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6.6240810463868627</c:v>
                </c:pt>
                <c:pt idx="2">
                  <c:v>5.6341600429794019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44.966727493106276</c:v>
                </c:pt>
                <c:pt idx="2">
                  <c:v>49.306462987563584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[Teknologiuafhaengig_skov.xlsm]Resultat-Tørstof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184012.35316469875</c:v>
                </c:pt>
                <c:pt idx="2">
                  <c:v>72299.899439519868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934200.74426179938</c:v>
                </c:pt>
                <c:pt idx="2">
                  <c:v>479407.95448728558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1499775.7508217124</c:v>
                </c:pt>
                <c:pt idx="2">
                  <c:v>1655938.2672662933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167</xdr:row>
      <xdr:rowOff>69273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42875" y="722168"/>
          <a:ext cx="1363518" cy="42747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9280" y="3769445"/>
          <a:ext cx="1183048" cy="3617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807841" y="182469"/>
          <a:ext cx="1205432" cy="37569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640286" y="200025"/>
          <a:ext cx="1204472" cy="38508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61400" y="419100"/>
          <a:ext cx="120537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3529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2785763888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3973217.7239391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278587962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278611111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025.8128016018145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278634259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0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2786574073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482738.6320478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217.723939186"/>
    </cacheField>
    <cacheField name="Energi" numFmtId="3">
      <sharedItems containsSemiMixedTypes="0" containsString="0" containsNumber="1" minValue="0" maxValue="466482738.63204789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476.1337912101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482738.63204789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4424144157225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4424144157225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77697.3191734347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77697.3191734347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278668981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482738.6320478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217.723939186"/>
    </cacheField>
    <cacheField name="Energi" numFmtId="3">
      <sharedItems containsSemiMixedTypes="0" containsString="0" containsNumber="1" minValue="0" maxValue="466482738.63204789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476.1337912101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482738.63204789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4424144157225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4424144157225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77697.3191734347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77697.3191734347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278692129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370739.0801433669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88.55278703703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482738.6320478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217.723939186"/>
    </cacheField>
    <cacheField name="Energi" numFmtId="3">
      <sharedItems containsSemiMixedTypes="0" containsString="0" containsNumber="1" minValue="0" maxValue="466482738.63204789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476.1337912101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482738.63204789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4424144157225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4424144157225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77697.3191734347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77697.31917343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406804.0997494543"/>
  </r>
  <r>
    <x v="1"/>
    <s v="Vestdanmark"/>
    <x v="15"/>
    <x v="1"/>
    <n v="5517986.1023177085"/>
  </r>
  <r>
    <x v="1"/>
    <s v="Vestdanmark"/>
    <x v="16"/>
    <x v="1"/>
    <n v="4171.3630677727415"/>
  </r>
  <r>
    <x v="1"/>
    <s v="Vestdanmark"/>
    <x v="17"/>
    <x v="1"/>
    <n v="1977823.4396235351"/>
  </r>
  <r>
    <x v="1"/>
    <s v="Vestdanmark"/>
    <x v="18"/>
    <x v="1"/>
    <n v="160784.27543959947"/>
  </r>
  <r>
    <x v="1"/>
    <s v="Vestdanmark"/>
    <x v="19"/>
    <x v="1"/>
    <n v="423836.45238569059"/>
  </r>
  <r>
    <x v="1"/>
    <s v="Vestdanmark"/>
    <x v="20"/>
    <x v="1"/>
    <n v="1138187.530199375"/>
  </r>
  <r>
    <x v="1"/>
    <s v="Vestdanmark"/>
    <x v="21"/>
    <x v="1"/>
    <n v="480579.40695576021"/>
  </r>
  <r>
    <x v="1"/>
    <s v="Vestdanmark"/>
    <x v="22"/>
    <x v="1"/>
    <n v="576627.94121745997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576953.1779792681"/>
  </r>
  <r>
    <x v="1"/>
    <s v="Vestdanmark"/>
    <x v="15"/>
    <x v="2"/>
    <n v="6686088.4138386576"/>
  </r>
  <r>
    <x v="1"/>
    <s v="Vestdanmark"/>
    <x v="16"/>
    <x v="2"/>
    <n v="6461.6487918618159"/>
  </r>
  <r>
    <x v="1"/>
    <s v="Vestdanmark"/>
    <x v="17"/>
    <x v="2"/>
    <n v="3064487.162285368"/>
  </r>
  <r>
    <x v="1"/>
    <s v="Vestdanmark"/>
    <x v="18"/>
    <x v="2"/>
    <n v="160218.91589496989"/>
  </r>
  <r>
    <x v="1"/>
    <s v="Vestdanmark"/>
    <x v="19"/>
    <x v="2"/>
    <n v="412791.92061072221"/>
  </r>
  <r>
    <x v="1"/>
    <s v="Vestdanmark"/>
    <x v="20"/>
    <x v="2"/>
    <n v="1489555.1093907373"/>
  </r>
  <r>
    <x v="1"/>
    <s v="Vestdanmark"/>
    <x v="21"/>
    <x v="2"/>
    <n v="971882.6717253268"/>
  </r>
  <r>
    <x v="1"/>
    <s v="Vestdanmark"/>
    <x v="22"/>
    <x v="2"/>
    <n v="174056.00966953213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8327.43116820953"/>
  </r>
  <r>
    <x v="1"/>
    <s v="Østdanmark"/>
    <x v="15"/>
    <x v="1"/>
    <n v="392185.39838313882"/>
  </r>
  <r>
    <x v="1"/>
    <s v="Østdanmark"/>
    <x v="16"/>
    <x v="1"/>
    <n v="350.10096257642732"/>
  </r>
  <r>
    <x v="1"/>
    <s v="Østdanmark"/>
    <x v="17"/>
    <x v="1"/>
    <n v="1671377.9933219841"/>
  </r>
  <r>
    <x v="1"/>
    <s v="Østdanmark"/>
    <x v="18"/>
    <x v="1"/>
    <n v="139215.72456040053"/>
  </r>
  <r>
    <x v="1"/>
    <s v="Østdanmark"/>
    <x v="19"/>
    <x v="1"/>
    <n v="176163.54761430927"/>
  </r>
  <r>
    <x v="1"/>
    <s v="Østdanmark"/>
    <x v="20"/>
    <x v="1"/>
    <n v="153070.96986312003"/>
  </r>
  <r>
    <x v="1"/>
    <s v="Østdanmark"/>
    <x v="21"/>
    <x v="1"/>
    <n v="58889.552918757603"/>
  </r>
  <r>
    <x v="1"/>
    <s v="Østdanmark"/>
    <x v="22"/>
    <x v="1"/>
    <n v="223372.05878254003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097878.6568595667"/>
  </r>
  <r>
    <x v="1"/>
    <s v="Østdanmark"/>
    <x v="15"/>
    <x v="2"/>
    <n v="475207.11353455763"/>
  </r>
  <r>
    <x v="1"/>
    <s v="Østdanmark"/>
    <x v="16"/>
    <x v="2"/>
    <n v="542.32379802641481"/>
  </r>
  <r>
    <x v="1"/>
    <s v="Østdanmark"/>
    <x v="17"/>
    <x v="2"/>
    <n v="2623300.1316456911"/>
  </r>
  <r>
    <x v="1"/>
    <s v="Østdanmark"/>
    <x v="18"/>
    <x v="2"/>
    <n v="139781.08410503011"/>
  </r>
  <r>
    <x v="1"/>
    <s v="Østdanmark"/>
    <x v="19"/>
    <x v="2"/>
    <n v="187208.07938927782"/>
  </r>
  <r>
    <x v="1"/>
    <s v="Østdanmark"/>
    <x v="20"/>
    <x v="2"/>
    <n v="200567.127919394"/>
  </r>
  <r>
    <x v="1"/>
    <s v="Østdanmark"/>
    <x v="21"/>
    <x v="2"/>
    <n v="118815.58688817199"/>
  </r>
  <r>
    <x v="1"/>
    <s v="Østdanmark"/>
    <x v="22"/>
    <x v="2"/>
    <n v="75943.990330467859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024222.9237584407"/>
  </r>
  <r>
    <x v="2"/>
    <s v="Vestdanmark"/>
    <x v="22"/>
    <x v="1"/>
    <n v="594794.43348335079"/>
  </r>
  <r>
    <x v="2"/>
    <s v="Vestdanmark"/>
    <x v="2"/>
    <x v="1"/>
    <n v="0"/>
  </r>
  <r>
    <x v="2"/>
    <s v="Vestdanmark"/>
    <x v="5"/>
    <x v="1"/>
    <n v="55111.238296058225"/>
  </r>
  <r>
    <x v="2"/>
    <s v="Vestdanmark"/>
    <x v="25"/>
    <x v="1"/>
    <n v="1558650.6941574311"/>
  </r>
  <r>
    <x v="2"/>
    <s v="Vestdanmark"/>
    <x v="24"/>
    <x v="1"/>
    <n v="4906538.3992409762"/>
  </r>
  <r>
    <x v="2"/>
    <s v="Vestdanmark"/>
    <x v="28"/>
    <x v="1"/>
    <n v="224187.19428812375"/>
  </r>
  <r>
    <x v="2"/>
    <s v="Vestdanmark"/>
    <x v="7"/>
    <x v="1"/>
    <n v="83111.484468738956"/>
  </r>
  <r>
    <x v="2"/>
    <s v="Vestdanmark"/>
    <x v="6"/>
    <x v="1"/>
    <n v="120246.40306115421"/>
  </r>
  <r>
    <x v="2"/>
    <s v="Vestdanmark"/>
    <x v="23"/>
    <x v="1"/>
    <n v="10194486.876003446"/>
  </r>
  <r>
    <x v="2"/>
    <s v="Vestdanmark"/>
    <x v="29"/>
    <x v="1"/>
    <n v="1173309.8106791691"/>
  </r>
  <r>
    <x v="2"/>
    <s v="Vestdanmark"/>
    <x v="30"/>
    <x v="1"/>
    <n v="694117.89226639119"/>
  </r>
  <r>
    <x v="2"/>
    <s v="Vestdanmark"/>
    <x v="31"/>
    <x v="1"/>
    <n v="328819.25491631991"/>
  </r>
  <r>
    <x v="2"/>
    <s v="Vestdanmark"/>
    <x v="32"/>
    <x v="1"/>
    <n v="36992.166178085987"/>
  </r>
  <r>
    <x v="2"/>
    <s v="Vestdanmark"/>
    <x v="33"/>
    <x v="1"/>
    <n v="2068314.9750861605"/>
  </r>
  <r>
    <x v="2"/>
    <s v="Vestdanmark"/>
    <x v="0"/>
    <x v="2"/>
    <n v="4168434.2736686366"/>
  </r>
  <r>
    <x v="2"/>
    <s v="Vestdanmark"/>
    <x v="22"/>
    <x v="2"/>
    <n v="493481.5870918"/>
  </r>
  <r>
    <x v="2"/>
    <s v="Vestdanmark"/>
    <x v="2"/>
    <x v="2"/>
    <n v="0"/>
  </r>
  <r>
    <x v="2"/>
    <s v="Vestdanmark"/>
    <x v="5"/>
    <x v="2"/>
    <n v="45724.00111692449"/>
  </r>
  <r>
    <x v="2"/>
    <s v="Vestdanmark"/>
    <x v="25"/>
    <x v="2"/>
    <n v="5234226.1839023503"/>
  </r>
  <r>
    <x v="2"/>
    <s v="Vestdanmark"/>
    <x v="24"/>
    <x v="2"/>
    <n v="4070795.253083135"/>
  </r>
  <r>
    <x v="2"/>
    <s v="Vestdanmark"/>
    <x v="28"/>
    <x v="2"/>
    <n v="186000.82014059028"/>
  </r>
  <r>
    <x v="2"/>
    <s v="Vestdanmark"/>
    <x v="7"/>
    <x v="2"/>
    <n v="68954.894249757344"/>
  </r>
  <r>
    <x v="2"/>
    <s v="Vestdanmark"/>
    <x v="6"/>
    <x v="2"/>
    <n v="166274.21308452127"/>
  </r>
  <r>
    <x v="2"/>
    <s v="Vestdanmark"/>
    <x v="23"/>
    <x v="2"/>
    <n v="8458034.0365568101"/>
  </r>
  <r>
    <x v="2"/>
    <s v="Vestdanmark"/>
    <x v="29"/>
    <x v="2"/>
    <n v="973456.97089571541"/>
  </r>
  <r>
    <x v="2"/>
    <s v="Vestdanmark"/>
    <x v="30"/>
    <x v="2"/>
    <n v="909295.30878800887"/>
  </r>
  <r>
    <x v="2"/>
    <s v="Vestdanmark"/>
    <x v="31"/>
    <x v="2"/>
    <n v="443317.28375843994"/>
  </r>
  <r>
    <x v="2"/>
    <s v="Vestdanmark"/>
    <x v="32"/>
    <x v="2"/>
    <n v="34101.32951987999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15661.50663535297"/>
  </r>
  <r>
    <x v="2"/>
    <s v="Østdanmark"/>
    <x v="22"/>
    <x v="1"/>
    <n v="72885.308357843693"/>
  </r>
  <r>
    <x v="2"/>
    <s v="Østdanmark"/>
    <x v="2"/>
    <x v="1"/>
    <n v="0"/>
  </r>
  <r>
    <x v="2"/>
    <s v="Østdanmark"/>
    <x v="5"/>
    <x v="1"/>
    <n v="6753.2568750969058"/>
  </r>
  <r>
    <x v="2"/>
    <s v="Østdanmark"/>
    <x v="25"/>
    <x v="1"/>
    <n v="190994.95568667154"/>
  </r>
  <r>
    <x v="2"/>
    <s v="Østdanmark"/>
    <x v="24"/>
    <x v="1"/>
    <n v="601240.60358794441"/>
  </r>
  <r>
    <x v="2"/>
    <s v="Østdanmark"/>
    <x v="28"/>
    <x v="1"/>
    <n v="27471.596682363863"/>
  </r>
  <r>
    <x v="2"/>
    <s v="Østdanmark"/>
    <x v="7"/>
    <x v="1"/>
    <n v="10184.369309084559"/>
  </r>
  <r>
    <x v="2"/>
    <s v="Østdanmark"/>
    <x v="6"/>
    <x v="1"/>
    <n v="14734.832191867023"/>
  </r>
  <r>
    <x v="2"/>
    <s v="Østdanmark"/>
    <x v="23"/>
    <x v="1"/>
    <n v="1249218.6841023962"/>
  </r>
  <r>
    <x v="2"/>
    <s v="Østdanmark"/>
    <x v="29"/>
    <x v="1"/>
    <n v="143775.80309521878"/>
  </r>
  <r>
    <x v="2"/>
    <s v="Østdanmark"/>
    <x v="30"/>
    <x v="1"/>
    <n v="85056.271152794114"/>
  </r>
  <r>
    <x v="2"/>
    <s v="Østdanmark"/>
    <x v="31"/>
    <x v="1"/>
    <n v="40293.068393760004"/>
  </r>
  <r>
    <x v="2"/>
    <s v="Østdanmark"/>
    <x v="32"/>
    <x v="1"/>
    <n v="4532.970194298"/>
  </r>
  <r>
    <x v="2"/>
    <s v="Østdanmark"/>
    <x v="33"/>
    <x v="1"/>
    <n v="253448.52986846305"/>
  </r>
  <r>
    <x v="2"/>
    <s v="Østdanmark"/>
    <x v="0"/>
    <x v="2"/>
    <n v="509603.65797187964"/>
  </r>
  <r>
    <x v="2"/>
    <s v="Østdanmark"/>
    <x v="22"/>
    <x v="2"/>
    <n v="60329.611891042863"/>
  </r>
  <r>
    <x v="2"/>
    <s v="Østdanmark"/>
    <x v="2"/>
    <x v="2"/>
    <n v="0"/>
  </r>
  <r>
    <x v="2"/>
    <s v="Østdanmark"/>
    <x v="5"/>
    <x v="2"/>
    <n v="5589.8969964537146"/>
  </r>
  <r>
    <x v="2"/>
    <s v="Østdanmark"/>
    <x v="25"/>
    <x v="2"/>
    <n v="639899.9324082589"/>
  </r>
  <r>
    <x v="2"/>
    <s v="Østdanmark"/>
    <x v="24"/>
    <x v="2"/>
    <n v="497666.99331928522"/>
  </r>
  <r>
    <x v="2"/>
    <s v="Østdanmark"/>
    <x v="28"/>
    <x v="2"/>
    <n v="22739.161062984149"/>
  </r>
  <r>
    <x v="2"/>
    <s v="Østdanmark"/>
    <x v="7"/>
    <x v="2"/>
    <n v="8429.9437241249998"/>
  </r>
  <r>
    <x v="2"/>
    <s v="Østdanmark"/>
    <x v="6"/>
    <x v="2"/>
    <n v="20327.523873776598"/>
  </r>
  <r>
    <x v="2"/>
    <s v="Østdanmark"/>
    <x v="23"/>
    <x v="2"/>
    <n v="1034020.1623202205"/>
  </r>
  <r>
    <x v="2"/>
    <s v="Østdanmark"/>
    <x v="29"/>
    <x v="2"/>
    <n v="119008.04970833447"/>
  </r>
  <r>
    <x v="2"/>
    <s v="Østdanmark"/>
    <x v="30"/>
    <x v="2"/>
    <n v="111164.09306538459"/>
  </r>
  <r>
    <x v="2"/>
    <s v="Østdanmark"/>
    <x v="31"/>
    <x v="2"/>
    <n v="54196.874560919998"/>
  </r>
  <r>
    <x v="2"/>
    <s v="Østdanmark"/>
    <x v="32"/>
    <x v="2"/>
    <n v="4168.990350839999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2016.78344392357"/>
  </r>
  <r>
    <x v="3"/>
    <s v="Vestdanmark"/>
    <x v="34"/>
    <x v="1"/>
    <n v="143145.78898679407"/>
  </r>
  <r>
    <x v="3"/>
    <s v="Vestdanmark"/>
    <x v="35"/>
    <x v="1"/>
    <n v="125748.23741197774"/>
  </r>
  <r>
    <x v="3"/>
    <s v="Vestdanmark"/>
    <x v="36"/>
    <x v="1"/>
    <n v="2245425.4149825461"/>
  </r>
  <r>
    <x v="3"/>
    <s v="Vestdanmark"/>
    <x v="26"/>
    <x v="1"/>
    <n v="526734.10986839118"/>
  </r>
  <r>
    <x v="3"/>
    <s v="Vestdanmark"/>
    <x v="18"/>
    <x v="1"/>
    <n v="34297.95054478239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9954.0232791327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97042.91568760504"/>
  </r>
  <r>
    <x v="3"/>
    <s v="Østdanmark"/>
    <x v="34"/>
    <x v="1"/>
    <n v="46113.66948140203"/>
  </r>
  <r>
    <x v="3"/>
    <s v="Østdanmark"/>
    <x v="35"/>
    <x v="1"/>
    <n v="37172.011339871715"/>
  </r>
  <r>
    <x v="3"/>
    <s v="Østdanmark"/>
    <x v="36"/>
    <x v="1"/>
    <n v="650272.33920049365"/>
  </r>
  <r>
    <x v="3"/>
    <s v="Østdanmark"/>
    <x v="26"/>
    <x v="1"/>
    <n v="456074.89013160887"/>
  </r>
  <r>
    <x v="3"/>
    <s v="Østdanmark"/>
    <x v="18"/>
    <x v="1"/>
    <n v="29697.021197961469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9118.88010894318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10715.94609210105"/>
  </r>
  <r>
    <x v="3"/>
    <s v="Vestdanmark"/>
    <x v="34"/>
    <x v="2"/>
    <n v="118307.16865247197"/>
  </r>
  <r>
    <x v="3"/>
    <s v="Vestdanmark"/>
    <x v="35"/>
    <x v="2"/>
    <n v="91869.864613650177"/>
  </r>
  <r>
    <x v="3"/>
    <s v="Vestdanmark"/>
    <x v="36"/>
    <x v="2"/>
    <n v="2583381.268758419"/>
  </r>
  <r>
    <x v="3"/>
    <s v="Vestdanmark"/>
    <x v="26"/>
    <x v="2"/>
    <n v="524881.97503939818"/>
  </r>
  <r>
    <x v="3"/>
    <s v="Vestdanmark"/>
    <x v="18"/>
    <x v="2"/>
    <n v="37265.218904879293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85631.25546720112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03293.41212823492"/>
  </r>
  <r>
    <x v="3"/>
    <s v="Østdanmark"/>
    <x v="34"/>
    <x v="2"/>
    <n v="42668.832575510962"/>
  </r>
  <r>
    <x v="3"/>
    <s v="Østdanmark"/>
    <x v="35"/>
    <x v="2"/>
    <n v="33133.916706684649"/>
  </r>
  <r>
    <x v="3"/>
    <s v="Østdanmark"/>
    <x v="36"/>
    <x v="2"/>
    <n v="659877.42984650948"/>
  </r>
  <r>
    <x v="3"/>
    <s v="Østdanmark"/>
    <x v="26"/>
    <x v="2"/>
    <n v="457927.02496060182"/>
  </r>
  <r>
    <x v="3"/>
    <s v="Østdanmark"/>
    <x v="18"/>
    <x v="2"/>
    <n v="32511.5962047202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1018.3523433802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6406804.0997494552"/>
  </r>
  <r>
    <x v="5"/>
    <s v="Vestdanmark"/>
    <x v="15"/>
    <x v="1"/>
    <n v="5517986.1023177085"/>
  </r>
  <r>
    <x v="5"/>
    <s v="Vestdanmark"/>
    <x v="16"/>
    <x v="1"/>
    <n v="4171.3630677727415"/>
  </r>
  <r>
    <x v="5"/>
    <s v="Vestdanmark"/>
    <x v="20"/>
    <x v="1"/>
    <n v="430885.27928976336"/>
  </r>
  <r>
    <x v="5"/>
    <s v="Vestdanmark"/>
    <x v="38"/>
    <x v="1"/>
    <n v="12109903.871574569"/>
  </r>
  <r>
    <x v="5"/>
    <s v="Vestdanmark"/>
    <x v="39"/>
    <x v="1"/>
    <n v="834325.2553194433"/>
  </r>
  <r>
    <x v="5"/>
    <s v="Vestdanmark"/>
    <x v="14"/>
    <x v="2"/>
    <n v="2525651.0593264229"/>
  </r>
  <r>
    <x v="5"/>
    <s v="Vestdanmark"/>
    <x v="15"/>
    <x v="2"/>
    <n v="2228696.1379462192"/>
  </r>
  <r>
    <x v="5"/>
    <s v="Vestdanmark"/>
    <x v="16"/>
    <x v="2"/>
    <n v="2153.8829306206053"/>
  </r>
  <r>
    <x v="5"/>
    <s v="Vestdanmark"/>
    <x v="20"/>
    <x v="2"/>
    <n v="187967.66856597396"/>
  </r>
  <r>
    <x v="5"/>
    <s v="Vestdanmark"/>
    <x v="38"/>
    <x v="2"/>
    <n v="13973217.723939186"/>
  </r>
  <r>
    <x v="5"/>
    <s v="Vestdanmark"/>
    <x v="39"/>
    <x v="2"/>
    <n v="955150.8202911175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928327.43116820953"/>
  </r>
  <r>
    <x v="5"/>
    <s v="Østdanmark"/>
    <x v="15"/>
    <x v="1"/>
    <n v="392185.39838313882"/>
  </r>
  <r>
    <x v="5"/>
    <s v="Østdanmark"/>
    <x v="16"/>
    <x v="1"/>
    <n v="350.10096257642732"/>
  </r>
  <r>
    <x v="5"/>
    <s v="Østdanmark"/>
    <x v="20"/>
    <x v="1"/>
    <n v="57948.295733895437"/>
  </r>
  <r>
    <x v="5"/>
    <s v="Østdanmark"/>
    <x v="38"/>
    <x v="1"/>
    <n v="2718441.3099898444"/>
  </r>
  <r>
    <x v="5"/>
    <s v="Østdanmark"/>
    <x v="39"/>
    <x v="1"/>
    <n v="430788.56398807897"/>
  </r>
  <r>
    <x v="5"/>
    <s v="Østdanmark"/>
    <x v="14"/>
    <x v="2"/>
    <n v="365959.55228652223"/>
  </r>
  <r>
    <x v="5"/>
    <s v="Østdanmark"/>
    <x v="15"/>
    <x v="2"/>
    <n v="158402.37117818589"/>
  </r>
  <r>
    <x v="5"/>
    <s v="Østdanmark"/>
    <x v="16"/>
    <x v="2"/>
    <n v="180.77459934213829"/>
  </r>
  <r>
    <x v="5"/>
    <s v="Østdanmark"/>
    <x v="20"/>
    <x v="2"/>
    <n v="25309.661380304478"/>
  </r>
  <r>
    <x v="5"/>
    <s v="Østdanmark"/>
    <x v="38"/>
    <x v="2"/>
    <n v="3346934.4005636992"/>
  </r>
  <r>
    <x v="5"/>
    <s v="Østdanmark"/>
    <x v="39"/>
    <x v="2"/>
    <n v="472604.98553143517"/>
  </r>
  <r>
    <x v="6"/>
    <s v="Vestdanmark"/>
    <x v="23"/>
    <x v="0"/>
    <n v="0"/>
  </r>
  <r>
    <x v="6"/>
    <s v="Vestdanmark"/>
    <x v="23"/>
    <x v="1"/>
    <n v="1966958.8877732051"/>
  </r>
  <r>
    <x v="6"/>
    <s v="Vestdanmark"/>
    <x v="23"/>
    <x v="2"/>
    <n v="2651872.9008556642"/>
  </r>
  <r>
    <x v="6"/>
    <s v="Østdanmark"/>
    <x v="23"/>
    <x v="0"/>
    <n v="0"/>
  </r>
  <r>
    <x v="6"/>
    <s v="Østdanmark"/>
    <x v="23"/>
    <x v="1"/>
    <n v="241028.49151254582"/>
  </r>
  <r>
    <x v="6"/>
    <s v="Østdanmark"/>
    <x v="23"/>
    <x v="2"/>
    <n v="324199.45764508267"/>
  </r>
  <r>
    <x v="7"/>
    <s v="Vestdanmark"/>
    <x v="40"/>
    <x v="0"/>
    <n v="484833.6848947219"/>
  </r>
  <r>
    <x v="7"/>
    <s v="Vestdanmark"/>
    <x v="40"/>
    <x v="1"/>
    <n v="447330.59058373148"/>
  </r>
  <r>
    <x v="7"/>
    <s v="Vestdanmark"/>
    <x v="40"/>
    <x v="2"/>
    <n v="369709.90203897492"/>
  </r>
  <r>
    <x v="7"/>
    <s v="Østdanmark"/>
    <x v="40"/>
    <x v="0"/>
    <n v="193574.13238370849"/>
  </r>
  <r>
    <x v="7"/>
    <s v="Østdanmark"/>
    <x v="40"/>
    <x v="1"/>
    <n v="144105.21712938134"/>
  </r>
  <r>
    <x v="7"/>
    <s v="Østdanmark"/>
    <x v="40"/>
    <x v="2"/>
    <n v="133340.10179847176"/>
  </r>
  <r>
    <x v="8"/>
    <s v="Vestdanmark"/>
    <x v="22"/>
    <x v="0"/>
    <n v="0"/>
  </r>
  <r>
    <x v="8"/>
    <s v="Vestdanmark"/>
    <x v="22"/>
    <x v="1"/>
    <n v="360392.46326091245"/>
  </r>
  <r>
    <x v="8"/>
    <s v="Vestdanmark"/>
    <x v="22"/>
    <x v="2"/>
    <n v="696224.03867812862"/>
  </r>
  <r>
    <x v="8"/>
    <s v="Østdanmark"/>
    <x v="22"/>
    <x v="0"/>
    <n v="0"/>
  </r>
  <r>
    <x v="8"/>
    <s v="Østdanmark"/>
    <x v="22"/>
    <x v="1"/>
    <n v="139607.53673908752"/>
  </r>
  <r>
    <x v="8"/>
    <s v="Østdanmark"/>
    <x v="22"/>
    <x v="2"/>
    <n v="303775.96132187144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201819.779426111"/>
  </r>
  <r>
    <x v="3"/>
    <s v="Vestdanmark"/>
    <x v="42"/>
    <x v="1"/>
    <n v="50454.944856527749"/>
  </r>
  <r>
    <x v="3"/>
    <s v="Vestdanmark"/>
    <x v="41"/>
    <x v="2"/>
    <n v="389885.46165975207"/>
  </r>
  <r>
    <x v="3"/>
    <s v="Vestdanmark"/>
    <x v="42"/>
    <x v="2"/>
    <n v="97471.365414938016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78180.220573889019"/>
  </r>
  <r>
    <x v="3"/>
    <s v="Østdanmark"/>
    <x v="42"/>
    <x v="1"/>
    <n v="19545.055143472255"/>
  </r>
  <r>
    <x v="3"/>
    <s v="Østdanmark"/>
    <x v="41"/>
    <x v="2"/>
    <n v="170114.53834024802"/>
  </r>
  <r>
    <x v="3"/>
    <s v="Østdanmark"/>
    <x v="42"/>
    <x v="2"/>
    <n v="42528.634585062005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21788.8908663751"/>
  </r>
  <r>
    <x v="0"/>
    <x v="2"/>
    <x v="1"/>
    <s v="JB1-10"/>
    <n v="660346.70696377289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96112.1839026022"/>
  </r>
  <r>
    <x v="0"/>
    <x v="2"/>
    <x v="2"/>
    <s v="JB1-10"/>
    <n v="886023.4139275457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7847.10913362482"/>
  </r>
  <r>
    <x v="1"/>
    <x v="2"/>
    <x v="1"/>
    <s v="JB1-10"/>
    <n v="151553.29303622711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3523.81609739771"/>
  </r>
  <r>
    <x v="1"/>
    <x v="2"/>
    <x v="2"/>
    <s v="JB1-10"/>
    <n v="175876.5860724542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620675.8964980748"/>
  </r>
  <r>
    <x v="1"/>
    <x v="0"/>
    <x v="1"/>
    <n v="727176.60524954333"/>
  </r>
  <r>
    <x v="2"/>
    <x v="0"/>
    <x v="1"/>
    <n v="447330.59058373148"/>
  </r>
  <r>
    <x v="3"/>
    <x v="0"/>
    <x v="1"/>
    <n v="10794528.482848618"/>
  </r>
  <r>
    <x v="4"/>
    <x v="0"/>
    <x v="1"/>
    <n v="1059391.2530405498"/>
  </r>
  <r>
    <x v="5"/>
    <x v="0"/>
    <x v="1"/>
    <n v="1483151.0584480518"/>
  </r>
  <r>
    <x v="6"/>
    <x v="0"/>
    <x v="1"/>
    <n v="1674738.7828463221"/>
  </r>
  <r>
    <x v="7"/>
    <x v="0"/>
    <x v="1"/>
    <n v="4179524.3810275476"/>
  </r>
  <r>
    <x v="8"/>
    <x v="0"/>
    <x v="1"/>
    <n v="27051.16059114927"/>
  </r>
  <r>
    <x v="9"/>
    <x v="0"/>
    <x v="1"/>
    <n v="1317768.395568013"/>
  </r>
  <r>
    <x v="10"/>
    <x v="0"/>
    <x v="1"/>
    <n v="934673.59009641467"/>
  </r>
  <r>
    <x v="11"/>
    <x v="0"/>
    <x v="1"/>
    <n v="600779.78805833985"/>
  </r>
  <r>
    <x v="12"/>
    <x v="0"/>
    <x v="1"/>
    <n v="125748.23741197774"/>
  </r>
  <r>
    <x v="0"/>
    <x v="0"/>
    <x v="2"/>
    <n v="3780840.3396516475"/>
  </r>
  <r>
    <x v="1"/>
    <x v="0"/>
    <x v="2"/>
    <n v="607983.4991327466"/>
  </r>
  <r>
    <x v="2"/>
    <x v="0"/>
    <x v="2"/>
    <n v="369709.90203897492"/>
  </r>
  <r>
    <x v="3"/>
    <x v="0"/>
    <x v="2"/>
    <n v="9332872.9907836542"/>
  </r>
  <r>
    <x v="4"/>
    <x v="0"/>
    <x v="2"/>
    <n v="1161598.8495775687"/>
  </r>
  <r>
    <x v="5"/>
    <x v="0"/>
    <x v="2"/>
    <n v="1200677.4719421556"/>
  </r>
  <r>
    <x v="6"/>
    <x v="0"/>
    <x v="2"/>
    <n v="4196120.6064453982"/>
  </r>
  <r>
    <x v="7"/>
    <x v="0"/>
    <x v="2"/>
    <n v="3376366.5569012994"/>
  </r>
  <r>
    <x v="8"/>
    <x v="0"/>
    <x v="2"/>
    <n v="22253.038843092927"/>
  </r>
  <r>
    <x v="9"/>
    <x v="0"/>
    <x v="2"/>
    <n v="1075904.2363814465"/>
  </r>
  <r>
    <x v="10"/>
    <x v="0"/>
    <x v="2"/>
    <n v="745200.56894188409"/>
  </r>
  <r>
    <x v="11"/>
    <x v="0"/>
    <x v="2"/>
    <n v="489757.41882038367"/>
  </r>
  <r>
    <x v="12"/>
    <x v="0"/>
    <x v="2"/>
    <n v="91869.86461365017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473133.2886241353"/>
  </r>
  <r>
    <x v="1"/>
    <x v="1"/>
    <x v="1"/>
    <n v="234490.9983006705"/>
  </r>
  <r>
    <x v="2"/>
    <x v="1"/>
    <x v="1"/>
    <n v="144105.21712938134"/>
  </r>
  <r>
    <x v="3"/>
    <x v="1"/>
    <x v="1"/>
    <n v="3173668.3039375409"/>
  </r>
  <r>
    <x v="4"/>
    <x v="1"/>
    <x v="1"/>
    <n v="344573.5889961003"/>
  </r>
  <r>
    <x v="5"/>
    <x v="1"/>
    <x v="1"/>
    <n v="463859.66299016302"/>
  </r>
  <r>
    <x v="6"/>
    <x v="1"/>
    <x v="1"/>
    <n v="551863.24646888149"/>
  </r>
  <r>
    <x v="7"/>
    <x v="1"/>
    <x v="1"/>
    <n v="1290222.2157088669"/>
  </r>
  <r>
    <x v="8"/>
    <x v="1"/>
    <x v="1"/>
    <n v="8757.5019871599998"/>
  </r>
  <r>
    <x v="9"/>
    <x v="1"/>
    <x v="1"/>
    <n v="419046.55891779787"/>
  </r>
  <r>
    <x v="10"/>
    <x v="1"/>
    <x v="1"/>
    <n v="303347.80329829425"/>
  </r>
  <r>
    <x v="11"/>
    <x v="1"/>
    <x v="1"/>
    <n v="190343.70675886245"/>
  </r>
  <r>
    <x v="12"/>
    <x v="1"/>
    <x v="1"/>
    <n v="37172.011339871715"/>
  </r>
  <r>
    <x v="0"/>
    <x v="1"/>
    <x v="2"/>
    <n v="1363603.2819044513"/>
  </r>
  <r>
    <x v="1"/>
    <x v="1"/>
    <x v="2"/>
    <n v="219276.19795697337"/>
  </r>
  <r>
    <x v="2"/>
    <x v="1"/>
    <x v="2"/>
    <n v="133340.10179847176"/>
  </r>
  <r>
    <x v="3"/>
    <x v="1"/>
    <x v="2"/>
    <n v="3366007.3149247444"/>
  </r>
  <r>
    <x v="4"/>
    <x v="1"/>
    <x v="2"/>
    <n v="418943.90168465767"/>
  </r>
  <r>
    <x v="5"/>
    <x v="1"/>
    <x v="2"/>
    <n v="433038.05349260336"/>
  </r>
  <r>
    <x v="6"/>
    <x v="1"/>
    <x v="2"/>
    <n v="1513378.8566017656"/>
  </r>
  <r>
    <x v="7"/>
    <x v="1"/>
    <x v="2"/>
    <n v="1217725.1891909407"/>
  </r>
  <r>
    <x v="8"/>
    <x v="1"/>
    <x v="2"/>
    <n v="8025.8128016018145"/>
  </r>
  <r>
    <x v="9"/>
    <x v="1"/>
    <x v="2"/>
    <n v="388037.15998222143"/>
  </r>
  <r>
    <x v="10"/>
    <x v="1"/>
    <x v="2"/>
    <n v="268765.10251682362"/>
  </r>
  <r>
    <x v="11"/>
    <x v="1"/>
    <x v="2"/>
    <n v="176636.61081812825"/>
  </r>
  <r>
    <x v="12"/>
    <x v="1"/>
    <x v="2"/>
    <n v="33133.91670668464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75167.43014575983"/>
    <n v="4031923.6853217762"/>
    <n v="1399944.3823990009"/>
    <n v="1399944.3823990009"/>
  </r>
  <r>
    <x v="0"/>
    <x v="1"/>
    <x v="1"/>
    <s v="Konventionel"/>
    <x v="0"/>
    <s v="Halm"/>
    <n v="171147.38165312857"/>
    <n v="660628.89318107627"/>
    <n v="208635.55547464435"/>
    <n v="208635.55547464435"/>
  </r>
  <r>
    <x v="0"/>
    <x v="2"/>
    <x v="1"/>
    <s v="Konventionel"/>
    <x v="0"/>
    <s v="Halm"/>
    <n v="91647.583160816706"/>
    <n v="403249.36590759351"/>
    <n v="229114.19222771746"/>
    <n v="229114.19222771746"/>
  </r>
  <r>
    <x v="0"/>
    <x v="3"/>
    <x v="1"/>
    <s v="Konventionel"/>
    <x v="0"/>
    <s v="Græs"/>
    <n v="126256.2651539473"/>
    <n v="6264835.8769388646"/>
    <n v="0"/>
    <n v="6264835.8769388646"/>
  </r>
  <r>
    <x v="0"/>
    <x v="4"/>
    <x v="1"/>
    <s v="Konventionel"/>
    <x v="0"/>
    <s v="Grøntsager"/>
    <n v="42085.421717982426"/>
    <n v="873272.50064813532"/>
    <n v="0"/>
    <n v="873272.50064813532"/>
  </r>
  <r>
    <x v="0"/>
    <x v="5"/>
    <x v="1"/>
    <s v="Konventionel"/>
    <x v="0"/>
    <s v="Kartofler"/>
    <n v="30718.547372930658"/>
    <n v="1304644.337367801"/>
    <n v="0"/>
    <n v="1304644.337367801"/>
  </r>
  <r>
    <x v="0"/>
    <x v="6"/>
    <x v="1"/>
    <s v="Konventionel"/>
    <x v="0"/>
    <s v="Roer"/>
    <n v="18892.022925517973"/>
    <n v="1535047.3553211917"/>
    <n v="0"/>
    <n v="1535047.3553211917"/>
  </r>
  <r>
    <x v="0"/>
    <x v="7"/>
    <x v="1"/>
    <s v="Konventionel"/>
    <x v="0"/>
    <s v="Majs"/>
    <n v="78559.45387356721"/>
    <n v="3496681.291912477"/>
    <n v="0"/>
    <n v="3496681.291912477"/>
  </r>
  <r>
    <x v="0"/>
    <x v="8"/>
    <x v="1"/>
    <s v="Konventionel"/>
    <x v="0"/>
    <s v="Frugt"/>
    <n v="2848.0486738842505"/>
    <n v="24179.933241277293"/>
    <n v="0"/>
    <n v="24179.933241277293"/>
  </r>
  <r>
    <x v="0"/>
    <x v="9"/>
    <x v="1"/>
    <s v="Konventionel"/>
    <x v="0"/>
    <s v="Øvrige"/>
    <n v="39235.776034734517"/>
    <n v="1169066.9662307997"/>
    <n v="0"/>
    <n v="1169066.9662307997"/>
  </r>
  <r>
    <x v="0"/>
    <x v="10"/>
    <x v="1"/>
    <s v="Konventionel"/>
    <x v="0"/>
    <s v="Halm"/>
    <n v="56668.45145378921"/>
    <n v="809727.61227932072"/>
    <n v="143099.17361110853"/>
    <n v="143099.17361110853"/>
  </r>
  <r>
    <x v="0"/>
    <x v="11"/>
    <x v="1"/>
    <s v="Konventionel"/>
    <x v="0"/>
    <s v="Juletræer"/>
    <n v="10643.311931460419"/>
    <n v="532165.59657302103"/>
    <n v="0"/>
    <n v="532165.59657302103"/>
  </r>
  <r>
    <x v="0"/>
    <x v="12"/>
    <x v="1"/>
    <s v="Konventionel"/>
    <x v="0"/>
    <s v="Pil &amp; poppel"/>
    <n v="4092.8205610553005"/>
    <n v="99824.891733056109"/>
    <n v="0"/>
    <n v="99824.891733056109"/>
  </r>
  <r>
    <x v="0"/>
    <x v="13"/>
    <x v="1"/>
    <s v="Konventionel"/>
    <x v="0"/>
    <s v="Græs"/>
    <n v="154313.21296593559"/>
    <n v="2127979.2068002517"/>
    <n v="0"/>
    <n v="2127979.2068002517"/>
  </r>
  <r>
    <x v="0"/>
    <x v="0"/>
    <x v="2"/>
    <s v="Konventionel"/>
    <x v="0"/>
    <s v="Halm"/>
    <n v="472234.94620505511"/>
    <n v="3310366.9728974365"/>
    <n v="1235346.1951110007"/>
    <n v="1235346.1951110007"/>
  </r>
  <r>
    <x v="0"/>
    <x v="1"/>
    <x v="2"/>
    <s v="Konventionel"/>
    <x v="0"/>
    <s v="Halm"/>
    <n v="140518.69130979691"/>
    <n v="542402.14845581609"/>
    <n v="184105.27079568928"/>
    <n v="184105.27079568928"/>
  </r>
  <r>
    <x v="0"/>
    <x v="2"/>
    <x v="2"/>
    <s v="Konventionel"/>
    <x v="0"/>
    <s v="Halm"/>
    <n v="75246.248718922972"/>
    <n v="331083.4943632611"/>
    <n v="202176.13583292536"/>
    <n v="202176.13583292536"/>
  </r>
  <r>
    <x v="0"/>
    <x v="3"/>
    <x v="2"/>
    <s v="Konventionel"/>
    <x v="0"/>
    <s v="Græs"/>
    <n v="149733.03172355407"/>
    <n v="7429753.0341227539"/>
    <n v="0"/>
    <n v="7429753.0341227539"/>
  </r>
  <r>
    <x v="0"/>
    <x v="4"/>
    <x v="2"/>
    <s v="Konventionel"/>
    <x v="0"/>
    <s v="Grøntsager"/>
    <n v="44919.909517066219"/>
    <n v="932088.12247912399"/>
    <n v="0"/>
    <n v="932088.12247912399"/>
  </r>
  <r>
    <x v="0"/>
    <x v="5"/>
    <x v="2"/>
    <s v="Konventionel"/>
    <x v="0"/>
    <s v="Kartofler"/>
    <n v="25221.128328627925"/>
    <n v="1071164.0057878112"/>
    <n v="0"/>
    <n v="1071164.0057878112"/>
  </r>
  <r>
    <x v="0"/>
    <x v="6"/>
    <x v="2"/>
    <s v="Konventionel"/>
    <x v="0"/>
    <s v="Roer"/>
    <n v="46071.702068785875"/>
    <n v="3743497.7024249295"/>
    <n v="0"/>
    <n v="3743497.7024249295"/>
  </r>
  <r>
    <x v="0"/>
    <x v="7"/>
    <x v="2"/>
    <s v="Konventionel"/>
    <x v="0"/>
    <s v="Majs"/>
    <n v="64500.382896300216"/>
    <n v="2870912.0427143229"/>
    <n v="0"/>
    <n v="2870912.0427143229"/>
  </r>
  <r>
    <x v="0"/>
    <x v="8"/>
    <x v="2"/>
    <s v="Konventionel"/>
    <x v="0"/>
    <s v="Frugt"/>
    <n v="2338.3593051509692"/>
    <n v="19852.670500731732"/>
    <n v="0"/>
    <n v="19852.670500731732"/>
  </r>
  <r>
    <x v="0"/>
    <x v="9"/>
    <x v="2"/>
    <s v="Konventionel"/>
    <x v="0"/>
    <s v="Øvrige"/>
    <n v="32214.106039316102"/>
    <n v="959849.68371418584"/>
    <n v="0"/>
    <n v="959849.68371418584"/>
  </r>
  <r>
    <x v="0"/>
    <x v="10"/>
    <x v="2"/>
    <s v="Konventionel"/>
    <x v="0"/>
    <s v="Halm"/>
    <n v="46527.014085311035"/>
    <n v="664818.02582001023"/>
    <n v="126274.31622753412"/>
    <n v="126274.31622753412"/>
  </r>
  <r>
    <x v="0"/>
    <x v="11"/>
    <x v="2"/>
    <s v="Konventionel"/>
    <x v="0"/>
    <s v="Juletræer"/>
    <n v="8738.5751938754584"/>
    <n v="436928.75969377294"/>
    <n v="0"/>
    <n v="436928.75969377294"/>
  </r>
  <r>
    <x v="0"/>
    <x v="12"/>
    <x v="2"/>
    <s v="Konventionel"/>
    <x v="0"/>
    <s v="Pil &amp; poppel"/>
    <n v="3360.3656886258095"/>
    <n v="81960.138746970973"/>
    <n v="0"/>
    <n v="81960.138746970973"/>
  </r>
  <r>
    <x v="0"/>
    <x v="13"/>
    <x v="2"/>
    <s v="Konventionel"/>
    <x v="0"/>
    <s v="Græs"/>
    <n v="40312.739310187637"/>
    <n v="555912.67508748756"/>
    <n v="0"/>
    <n v="555912.6750874875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89766.01510945386"/>
    <n v="421604.04316457198"/>
    <n v="146387.24784738687"/>
    <n v="146387.24784738687"/>
  </r>
  <r>
    <x v="0"/>
    <x v="1"/>
    <x v="1"/>
    <s v="Økologisk"/>
    <x v="0"/>
    <s v="Halm"/>
    <n v="26710.863032569199"/>
    <n v="58769.240844258748"/>
    <n v="18560.122536154777"/>
    <n v="18560.122536154777"/>
  </r>
  <r>
    <x v="0"/>
    <x v="2"/>
    <x v="1"/>
    <s v="Økologisk"/>
    <x v="0"/>
    <s v="Halm"/>
    <n v="14303.380030878912"/>
    <n v="34614.179674726969"/>
    <n v="19666.738465789625"/>
    <n v="19666.738465789625"/>
  </r>
  <r>
    <x v="0"/>
    <x v="3"/>
    <x v="1"/>
    <s v="Økologisk"/>
    <x v="0"/>
    <s v="Græs"/>
    <n v="19704.73502402646"/>
    <n v="762644.18247591064"/>
    <n v="0"/>
    <n v="762644.18247591064"/>
  </r>
  <r>
    <x v="0"/>
    <x v="4"/>
    <x v="1"/>
    <s v="Økologisk"/>
    <x v="0"/>
    <s v="Grøntsager"/>
    <n v="6568.2450080088183"/>
    <n v="77685.917832224295"/>
    <n v="0"/>
    <n v="77685.917832224295"/>
  </r>
  <r>
    <x v="0"/>
    <x v="5"/>
    <x v="1"/>
    <s v="Økologisk"/>
    <x v="0"/>
    <s v="Kartofler"/>
    <n v="4794.2241564689475"/>
    <n v="116060.55694849975"/>
    <n v="0"/>
    <n v="116060.55694849975"/>
  </r>
  <r>
    <x v="0"/>
    <x v="6"/>
    <x v="1"/>
    <s v="Økologisk"/>
    <x v="0"/>
    <s v="Roer"/>
    <n v="2948.4660057166784"/>
    <n v="136557.10288088521"/>
    <n v="0"/>
    <n v="136557.10288088521"/>
  </r>
  <r>
    <x v="0"/>
    <x v="7"/>
    <x v="1"/>
    <s v="Økologisk"/>
    <x v="0"/>
    <s v="Majs"/>
    <n v="12260.724014949797"/>
    <n v="452951.60550149484"/>
    <n v="0"/>
    <n v="452951.60550149484"/>
  </r>
  <r>
    <x v="0"/>
    <x v="8"/>
    <x v="1"/>
    <s v="Økologisk"/>
    <x v="0"/>
    <s v="Frugt"/>
    <n v="444.49314563511427"/>
    <n v="2151.0356796720089"/>
    <n v="0"/>
    <n v="2151.0356796720089"/>
  </r>
  <r>
    <x v="0"/>
    <x v="9"/>
    <x v="1"/>
    <s v="Økologisk"/>
    <x v="0"/>
    <s v="Øvrige"/>
    <n v="6123.5026181377571"/>
    <n v="103999.65670689021"/>
    <n v="0"/>
    <n v="103999.65670689021"/>
  </r>
  <r>
    <x v="0"/>
    <x v="10"/>
    <x v="1"/>
    <s v="Økologisk"/>
    <x v="0"/>
    <s v="Halm"/>
    <n v="8844.2091864295289"/>
    <n v="72032.993947854004"/>
    <n v="12730.036311415954"/>
    <n v="12730.036311415954"/>
  </r>
  <r>
    <x v="0"/>
    <x v="11"/>
    <x v="1"/>
    <s v="Økologisk"/>
    <x v="0"/>
    <s v="Juletræer"/>
    <n v="1661.0949257192565"/>
    <n v="47341.205382998807"/>
    <n v="0"/>
    <n v="47341.205382998807"/>
  </r>
  <r>
    <x v="0"/>
    <x v="12"/>
    <x v="1"/>
    <s v="Økologisk"/>
    <x v="0"/>
    <s v="Pil &amp; poppel"/>
    <n v="638.76390259244579"/>
    <n v="8880.3762067730258"/>
    <n v="0"/>
    <n v="8880.3762067730258"/>
  </r>
  <r>
    <x v="0"/>
    <x v="13"/>
    <x v="1"/>
    <s v="Økologisk"/>
    <x v="0"/>
    <s v="Græs"/>
    <n v="24083.565029365669"/>
    <n v="332112.36175495264"/>
    <n v="0"/>
    <n v="332112.36175495264"/>
  </r>
  <r>
    <x v="0"/>
    <x v="0"/>
    <x v="2"/>
    <s v="Økologisk"/>
    <x v="0"/>
    <s v="Halm"/>
    <n v="100171.0491950117"/>
    <n v="470473.36675421149"/>
    <n v="175568.89863850287"/>
    <n v="175568.89863850287"/>
  </r>
  <r>
    <x v="0"/>
    <x v="1"/>
    <x v="2"/>
    <s v="Økologisk"/>
    <x v="0"/>
    <s v="Halm"/>
    <n v="29806.995126320551"/>
    <n v="65581.35067693048"/>
    <n v="22260.00092347879"/>
    <n v="22260.00092347879"/>
  </r>
  <r>
    <x v="0"/>
    <x v="2"/>
    <x v="2"/>
    <s v="Økologisk"/>
    <x v="0"/>
    <s v="Halm"/>
    <n v="15961.325485832145"/>
    <n v="38626.407675713795"/>
    <n v="23587.21584717463"/>
    <n v="23587.21584717463"/>
  </r>
  <r>
    <x v="0"/>
    <x v="3"/>
    <x v="2"/>
    <s v="Økologisk"/>
    <x v="0"/>
    <s v="Græs"/>
    <n v="31761.552183784199"/>
    <n v="1229286.4111003103"/>
    <n v="0"/>
    <n v="1229286.4111003103"/>
  </r>
  <r>
    <x v="0"/>
    <x v="4"/>
    <x v="2"/>
    <s v="Økologisk"/>
    <x v="0"/>
    <s v="Grøntsager"/>
    <n v="9528.46565513526"/>
    <n v="112697.92753611229"/>
    <n v="0"/>
    <n v="112697.92753611229"/>
  </r>
  <r>
    <x v="0"/>
    <x v="5"/>
    <x v="2"/>
    <s v="Økologisk"/>
    <x v="0"/>
    <s v="Kartofler"/>
    <n v="5349.9363121331962"/>
    <n v="129513.46615434445"/>
    <n v="0"/>
    <n v="129513.46615434445"/>
  </r>
  <r>
    <x v="0"/>
    <x v="6"/>
    <x v="2"/>
    <s v="Økologisk"/>
    <x v="0"/>
    <s v="Roer"/>
    <n v="9772.7852873182146"/>
    <n v="452622.90402046865"/>
    <n v="0"/>
    <n v="452622.90402046865"/>
  </r>
  <r>
    <x v="0"/>
    <x v="7"/>
    <x v="2"/>
    <s v="Økologisk"/>
    <x v="0"/>
    <s v="Majs"/>
    <n v="13681.899402245501"/>
    <n v="505454.51418697624"/>
    <n v="0"/>
    <n v="505454.51418697624"/>
  </r>
  <r>
    <x v="0"/>
    <x v="8"/>
    <x v="2"/>
    <s v="Økologisk"/>
    <x v="0"/>
    <s v="Frugt"/>
    <n v="496.01561018353891"/>
    <n v="2400.3683423611997"/>
    <n v="0"/>
    <n v="2400.3683423611997"/>
  </r>
  <r>
    <x v="0"/>
    <x v="9"/>
    <x v="2"/>
    <s v="Økologisk"/>
    <x v="0"/>
    <s v="Øvrige"/>
    <n v="6833.2952204609919"/>
    <n v="116054.55266726064"/>
    <n v="0"/>
    <n v="116054.55266726064"/>
  </r>
  <r>
    <x v="0"/>
    <x v="10"/>
    <x v="2"/>
    <s v="Økologisk"/>
    <x v="0"/>
    <s v="Halm"/>
    <n v="9869.3666241568881"/>
    <n v="80382.543121873969"/>
    <n v="15267.71278023822"/>
    <n v="15267.71278023822"/>
  </r>
  <r>
    <x v="0"/>
    <x v="11"/>
    <x v="2"/>
    <s v="Økologisk"/>
    <x v="0"/>
    <s v="Juletræer"/>
    <n v="1853.6371623372183"/>
    <n v="52828.659126610721"/>
    <n v="0"/>
    <n v="52828.659126610721"/>
  </r>
  <r>
    <x v="0"/>
    <x v="12"/>
    <x v="2"/>
    <s v="Økologisk"/>
    <x v="0"/>
    <s v="Pil &amp; poppel"/>
    <n v="712.80484304183835"/>
    <n v="9909.725866679215"/>
    <n v="0"/>
    <n v="9909.725866679215"/>
  </r>
  <r>
    <x v="0"/>
    <x v="13"/>
    <x v="2"/>
    <s v="Økologisk"/>
    <x v="0"/>
    <s v="Græs"/>
    <n v="8551.187126403438"/>
    <n v="117920.87047310342"/>
    <n v="0"/>
    <n v="117920.87047310342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52542.198702292866"/>
    <n v="52542.198702292866"/>
  </r>
  <r>
    <x v="0"/>
    <x v="1"/>
    <x v="1"/>
    <s v="Konventionel"/>
    <x v="1"/>
    <s v="Halm"/>
    <n v="1542.1050369777552"/>
    <n v="7143.0305312809624"/>
    <n v="2255.8658242906486"/>
    <n v="2255.8658242906486"/>
  </r>
  <r>
    <x v="0"/>
    <x v="2"/>
    <x v="1"/>
    <s v="Konventionel"/>
    <x v="1"/>
    <s v="Halm"/>
    <n v="1651.259855586846"/>
    <n v="8718.6520374985466"/>
    <n v="4953.6765281455491"/>
    <n v="4953.6765281455491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8587.1428271035584"/>
    <n v="8587.1428271035584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5494.1524538987178"/>
    <n v="5494.1524538987178"/>
  </r>
  <r>
    <x v="0"/>
    <x v="1"/>
    <x v="1"/>
    <s v="Økologisk"/>
    <x v="1"/>
    <s v="Halm"/>
    <n v="240.67535259190402"/>
    <n v="635.44069292724873"/>
    <n v="200.68078055394847"/>
    <n v="200.68078055394847"/>
  </r>
  <r>
    <x v="0"/>
    <x v="2"/>
    <x v="1"/>
    <s v="Økologisk"/>
    <x v="1"/>
    <s v="Halm"/>
    <n v="257.71107572742682"/>
    <n v="748.3929639124475"/>
    <n v="425.21443030613528"/>
    <n v="425.21443030613528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763.90825496603338"/>
    <n v="763.90825496603338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7200.97725424002"/>
    <n v="1312278.8505522227"/>
    <n v="455642.90109448996"/>
    <n v="455642.90109448996"/>
  </r>
  <r>
    <x v="1"/>
    <x v="1"/>
    <x v="1"/>
    <s v="Konventionel"/>
    <x v="0"/>
    <s v="Halm"/>
    <n v="55703.705426871427"/>
    <n v="215016.30294772374"/>
    <n v="67905.061774684975"/>
    <n v="67905.061774684975"/>
  </r>
  <r>
    <x v="1"/>
    <x v="2"/>
    <x v="1"/>
    <s v="Konventionel"/>
    <x v="0"/>
    <s v="Halm"/>
    <n v="29828.73548028665"/>
    <n v="131246.43611326127"/>
    <n v="74570.287606471655"/>
    <n v="74570.287606471655"/>
  </r>
  <r>
    <x v="1"/>
    <x v="3"/>
    <x v="1"/>
    <s v="Konventionel"/>
    <x v="0"/>
    <s v="Græs"/>
    <n v="41092.897446052695"/>
    <n v="2039029.5712731348"/>
    <n v="0"/>
    <n v="2039029.5712731348"/>
  </r>
  <r>
    <x v="1"/>
    <x v="4"/>
    <x v="1"/>
    <s v="Konventionel"/>
    <x v="0"/>
    <s v="Grøntsager"/>
    <n v="13697.632482017563"/>
    <n v="284225.87400186446"/>
    <n v="0"/>
    <n v="284225.87400186446"/>
  </r>
  <r>
    <x v="1"/>
    <x v="5"/>
    <x v="1"/>
    <s v="Konventionel"/>
    <x v="0"/>
    <s v="Kartofler"/>
    <n v="9998.0315063841063"/>
    <n v="424625.39101452497"/>
    <n v="0"/>
    <n v="424625.39101452497"/>
  </r>
  <r>
    <x v="1"/>
    <x v="6"/>
    <x v="1"/>
    <s v="Konventionel"/>
    <x v="0"/>
    <s v="Roer"/>
    <n v="6148.8272259613505"/>
    <n v="499615.15549453115"/>
    <n v="0"/>
    <n v="499615.15549453115"/>
  </r>
  <r>
    <x v="1"/>
    <x v="7"/>
    <x v="1"/>
    <s v="Konventionel"/>
    <x v="0"/>
    <s v="Majs"/>
    <n v="25568.913966432789"/>
    <n v="1138072.3606459235"/>
    <n v="0"/>
    <n v="1138072.3606459235"/>
  </r>
  <r>
    <x v="1"/>
    <x v="8"/>
    <x v="1"/>
    <s v="Konventionel"/>
    <x v="0"/>
    <s v="Frugt"/>
    <n v="926.96051110484541"/>
    <n v="7869.8947392801383"/>
    <n v="0"/>
    <n v="7869.8947392801383"/>
  </r>
  <r>
    <x v="1"/>
    <x v="9"/>
    <x v="1"/>
    <s v="Konventionel"/>
    <x v="0"/>
    <s v="Øvrige"/>
    <n v="12770.152188849457"/>
    <n v="380498.73320990009"/>
    <n v="0"/>
    <n v="380498.73320990009"/>
  </r>
  <r>
    <x v="1"/>
    <x v="10"/>
    <x v="1"/>
    <s v="Konventionel"/>
    <x v="0"/>
    <s v="Halm"/>
    <n v="18444.002451504257"/>
    <n v="263543.78287730424"/>
    <n v="46574.794990538554"/>
    <n v="46574.794990538554"/>
  </r>
  <r>
    <x v="1"/>
    <x v="11"/>
    <x v="1"/>
    <s v="Konventionel"/>
    <x v="0"/>
    <s v="Juletræer"/>
    <n v="3464.1015648020552"/>
    <n v="173205.07824010277"/>
    <n v="0"/>
    <n v="173205.07824010277"/>
  </r>
  <r>
    <x v="1"/>
    <x v="12"/>
    <x v="1"/>
    <s v="Konventionel"/>
    <x v="0"/>
    <s v="Pil &amp; poppel"/>
    <n v="1332.0990873242467"/>
    <n v="32490.221642054799"/>
    <n v="0"/>
    <n v="32490.221642054799"/>
  </r>
  <r>
    <x v="1"/>
    <x v="13"/>
    <x v="1"/>
    <s v="Konventionel"/>
    <x v="0"/>
    <s v="Græs"/>
    <n v="50224.652434064403"/>
    <n v="692597.95706574817"/>
    <n v="0"/>
    <n v="692597.95706574817"/>
  </r>
  <r>
    <x v="1"/>
    <x v="0"/>
    <x v="2"/>
    <s v="Konventionel"/>
    <x v="0"/>
    <s v="Halm"/>
    <n v="170316.93079494475"/>
    <n v="1193921.6848725628"/>
    <n v="445541.72475231858"/>
    <n v="445541.72475231858"/>
  </r>
  <r>
    <x v="1"/>
    <x v="1"/>
    <x v="2"/>
    <s v="Konventionel"/>
    <x v="0"/>
    <s v="Halm"/>
    <n v="50679.672090203072"/>
    <n v="195623.53426818387"/>
    <n v="66399.670157994566"/>
    <n v="66399.670157994566"/>
  </r>
  <r>
    <x v="1"/>
    <x v="2"/>
    <x v="2"/>
    <s v="Konventionel"/>
    <x v="0"/>
    <s v="Halm"/>
    <n v="27138.41963333889"/>
    <n v="119409.04638669112"/>
    <n v="72917.134176032938"/>
    <n v="72917.134176032938"/>
  </r>
  <r>
    <x v="1"/>
    <x v="3"/>
    <x v="2"/>
    <s v="Konventionel"/>
    <x v="0"/>
    <s v="Græs"/>
    <n v="54002.929276445902"/>
    <n v="2679625.3506972454"/>
    <n v="0"/>
    <n v="2679625.3506972454"/>
  </r>
  <r>
    <x v="1"/>
    <x v="4"/>
    <x v="2"/>
    <s v="Konventionel"/>
    <x v="0"/>
    <s v="Grøntsager"/>
    <n v="16200.878782933769"/>
    <n v="336168.2347458757"/>
    <n v="0"/>
    <n v="336168.2347458757"/>
  </r>
  <r>
    <x v="1"/>
    <x v="5"/>
    <x v="2"/>
    <s v="Konventionel"/>
    <x v="0"/>
    <s v="Kartofler"/>
    <n v="9096.2881985699169"/>
    <n v="386327.54163979221"/>
    <n v="0"/>
    <n v="386327.54163979221"/>
  </r>
  <r>
    <x v="1"/>
    <x v="6"/>
    <x v="2"/>
    <s v="Konventionel"/>
    <x v="0"/>
    <s v="Roer"/>
    <n v="16616.285931214126"/>
    <n v="1350135.2329780553"/>
    <n v="0"/>
    <n v="1350135.2329780553"/>
  </r>
  <r>
    <x v="1"/>
    <x v="7"/>
    <x v="2"/>
    <s v="Konventionel"/>
    <x v="0"/>
    <s v="Majs"/>
    <n v="23262.800303699772"/>
    <n v="1035427.241517677"/>
    <n v="0"/>
    <n v="1035427.241517677"/>
  </r>
  <r>
    <x v="1"/>
    <x v="8"/>
    <x v="2"/>
    <s v="Konventionel"/>
    <x v="0"/>
    <s v="Frugt"/>
    <n v="843.35600986246845"/>
    <n v="7160.0925237323581"/>
    <n v="0"/>
    <n v="7160.0925237323581"/>
  </r>
  <r>
    <x v="1"/>
    <x v="9"/>
    <x v="2"/>
    <s v="Konventionel"/>
    <x v="0"/>
    <s v="Øvrige"/>
    <n v="11618.385536712913"/>
    <n v="346180.75910822675"/>
    <n v="0"/>
    <n v="346180.75910822675"/>
  </r>
  <r>
    <x v="1"/>
    <x v="10"/>
    <x v="2"/>
    <s v="Konventionel"/>
    <x v="0"/>
    <s v="Halm"/>
    <n v="16780.499413998074"/>
    <n v="239774.21960138364"/>
    <n v="45542.275409590766"/>
    <n v="45542.275409590766"/>
  </r>
  <r>
    <x v="1"/>
    <x v="11"/>
    <x v="2"/>
    <s v="Konventionel"/>
    <x v="0"/>
    <s v="Juletræer"/>
    <n v="3151.6670218968543"/>
    <n v="157583.35109484274"/>
    <n v="0"/>
    <n v="157583.35109484274"/>
  </r>
  <r>
    <x v="1"/>
    <x v="12"/>
    <x v="2"/>
    <s v="Konventionel"/>
    <x v="0"/>
    <s v="Pil &amp; poppel"/>
    <n v="1211.9542931642154"/>
    <n v="29559.860808883306"/>
    <n v="0"/>
    <n v="29559.860808883306"/>
  </r>
  <r>
    <x v="1"/>
    <x v="13"/>
    <x v="2"/>
    <s v="Konventionel"/>
    <x v="0"/>
    <s v="Græs"/>
    <n v="14539.250189812359"/>
    <n v="200496.26011751246"/>
    <n v="0"/>
    <n v="200496.26011751246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216.337490546135"/>
    <n v="137220.37229184803"/>
    <n v="47644.971565314016"/>
    <n v="47644.971565314016"/>
  </r>
  <r>
    <x v="1"/>
    <x v="1"/>
    <x v="1"/>
    <s v="Økologisk"/>
    <x v="0"/>
    <s v="Halm"/>
    <n v="8693.6418874308019"/>
    <n v="19127.750880725253"/>
    <n v="6040.8028942913397"/>
    <n v="6040.8028942913397"/>
  </r>
  <r>
    <x v="1"/>
    <x v="2"/>
    <x v="1"/>
    <s v="Økologisk"/>
    <x v="0"/>
    <s v="Halm"/>
    <n v="4655.3517801603448"/>
    <n v="11265.951307988036"/>
    <n v="6400.9755546595625"/>
    <n v="6400.9755546595625"/>
  </r>
  <r>
    <x v="1"/>
    <x v="3"/>
    <x v="1"/>
    <s v="Økologisk"/>
    <x v="0"/>
    <s v="Græs"/>
    <n v="6413.3423759735424"/>
    <n v="248219.43798272961"/>
    <n v="0"/>
    <n v="248219.43798272961"/>
  </r>
  <r>
    <x v="1"/>
    <x v="4"/>
    <x v="1"/>
    <s v="Økologisk"/>
    <x v="0"/>
    <s v="Grøntsager"/>
    <n v="2137.7807919911802"/>
    <n v="25284.602317275683"/>
    <n v="0"/>
    <n v="25284.602317275683"/>
  </r>
  <r>
    <x v="1"/>
    <x v="5"/>
    <x v="1"/>
    <s v="Økologisk"/>
    <x v="0"/>
    <s v="Kartofler"/>
    <n v="1560.3864200715082"/>
    <n v="37774.478426089823"/>
    <n v="0"/>
    <n v="37774.478426089823"/>
  </r>
  <r>
    <x v="1"/>
    <x v="6"/>
    <x v="1"/>
    <s v="Økologisk"/>
    <x v="0"/>
    <s v="Roer"/>
    <n v="959.6435554968582"/>
    <n v="44445.533196883436"/>
    <n v="0"/>
    <n v="44445.533196883436"/>
  </r>
  <r>
    <x v="1"/>
    <x v="7"/>
    <x v="1"/>
    <s v="Økologisk"/>
    <x v="0"/>
    <s v="Majs"/>
    <n v="3990.524145050204"/>
    <n v="147423.1306478332"/>
    <n v="0"/>
    <n v="147423.1306478332"/>
  </r>
  <r>
    <x v="1"/>
    <x v="8"/>
    <x v="1"/>
    <s v="Økologisk"/>
    <x v="0"/>
    <s v="Frugt"/>
    <n v="144.67013757127646"/>
    <n v="700.10219674867813"/>
    <n v="0"/>
    <n v="700.10219674867813"/>
  </r>
  <r>
    <x v="1"/>
    <x v="9"/>
    <x v="1"/>
    <s v="Økologisk"/>
    <x v="0"/>
    <s v="Øvrige"/>
    <n v="1993.0295323637881"/>
    <n v="33848.991353181285"/>
    <n v="0"/>
    <n v="33848.991353181285"/>
  </r>
  <r>
    <x v="1"/>
    <x v="10"/>
    <x v="1"/>
    <s v="Økologisk"/>
    <x v="0"/>
    <s v="Halm"/>
    <n v="2878.5437352058666"/>
    <n v="23444.733054807584"/>
    <n v="4143.2722248808568"/>
    <n v="4143.2722248808568"/>
  </r>
  <r>
    <x v="1"/>
    <x v="11"/>
    <x v="1"/>
    <s v="Økologisk"/>
    <x v="0"/>
    <s v="Juletræer"/>
    <n v="540.64012861072547"/>
    <n v="15408.243665405678"/>
    <n v="0"/>
    <n v="15408.243665405678"/>
  </r>
  <r>
    <x v="1"/>
    <x v="12"/>
    <x v="1"/>
    <s v="Økologisk"/>
    <x v="0"/>
    <s v="Pil &amp; poppel"/>
    <n v="207.89985755927555"/>
    <n v="2890.3150928972454"/>
    <n v="0"/>
    <n v="2890.3150928972454"/>
  </r>
  <r>
    <x v="1"/>
    <x v="13"/>
    <x v="1"/>
    <s v="Økologisk"/>
    <x v="0"/>
    <s v="Græs"/>
    <n v="7838.5295706343286"/>
    <n v="108093.3227790474"/>
    <n v="0"/>
    <n v="108093.3227790474"/>
  </r>
  <r>
    <x v="1"/>
    <x v="0"/>
    <x v="2"/>
    <s v="Økologisk"/>
    <x v="0"/>
    <s v="Halm"/>
    <n v="36127.83380498828"/>
    <n v="169681.59703188846"/>
    <n v="63320.929972374965"/>
    <n v="63320.929972374965"/>
  </r>
  <r>
    <x v="1"/>
    <x v="1"/>
    <x v="2"/>
    <s v="Økologisk"/>
    <x v="0"/>
    <s v="Halm"/>
    <n v="10750.23347367944"/>
    <n v="23652.663688789504"/>
    <n v="8028.3237554666157"/>
    <n v="8028.3237554666157"/>
  </r>
  <r>
    <x v="1"/>
    <x v="2"/>
    <x v="2"/>
    <s v="Økologisk"/>
    <x v="0"/>
    <s v="Halm"/>
    <n v="5756.6344676779472"/>
    <n v="13931.055411780635"/>
    <n v="8506.9989872038423"/>
    <n v="8506.9989872038423"/>
  </r>
  <r>
    <x v="1"/>
    <x v="3"/>
    <x v="2"/>
    <s v="Økologisk"/>
    <x v="0"/>
    <s v="Græs"/>
    <n v="11455.166816215797"/>
    <n v="443356.1943880897"/>
    <n v="0"/>
    <n v="443356.1943880897"/>
  </r>
  <r>
    <x v="1"/>
    <x v="4"/>
    <x v="2"/>
    <s v="Økologisk"/>
    <x v="0"/>
    <s v="Grøntsager"/>
    <n v="3436.550044864739"/>
    <n v="40645.795655637696"/>
    <n v="0"/>
    <n v="40645.795655637696"/>
  </r>
  <r>
    <x v="1"/>
    <x v="5"/>
    <x v="2"/>
    <s v="Økologisk"/>
    <x v="0"/>
    <s v="Kartofler"/>
    <n v="1929.5156784845281"/>
    <n v="46710.511852811236"/>
    <n v="0"/>
    <n v="46710.511852811236"/>
  </r>
  <r>
    <x v="1"/>
    <x v="6"/>
    <x v="2"/>
    <s v="Økologisk"/>
    <x v="0"/>
    <s v="Roer"/>
    <n v="3524.6667126817838"/>
    <n v="163243.62362371027"/>
    <n v="0"/>
    <n v="163243.62362371027"/>
  </r>
  <r>
    <x v="1"/>
    <x v="7"/>
    <x v="2"/>
    <s v="Økologisk"/>
    <x v="0"/>
    <s v="Majs"/>
    <n v="4934.5333977544969"/>
    <n v="182297.94767326373"/>
    <n v="0"/>
    <n v="182297.94767326373"/>
  </r>
  <r>
    <x v="1"/>
    <x v="8"/>
    <x v="2"/>
    <s v="Økologisk"/>
    <x v="0"/>
    <s v="Frugt"/>
    <n v="178.89369906173573"/>
    <n v="865.72027786945773"/>
    <n v="0"/>
    <n v="865.72027786945773"/>
  </r>
  <r>
    <x v="1"/>
    <x v="9"/>
    <x v="2"/>
    <s v="Økologisk"/>
    <x v="0"/>
    <s v="Øvrige"/>
    <n v="2464.5060229391024"/>
    <n v="41856.400873994688"/>
    <n v="0"/>
    <n v="41856.400873994688"/>
  </r>
  <r>
    <x v="1"/>
    <x v="10"/>
    <x v="2"/>
    <s v="Økologisk"/>
    <x v="0"/>
    <s v="Halm"/>
    <n v="3559.4998756965615"/>
    <n v="28990.882915440023"/>
    <n v="5506.4751177050657"/>
    <n v="5506.4751177050657"/>
  </r>
  <r>
    <x v="1"/>
    <x v="11"/>
    <x v="2"/>
    <s v="Økologisk"/>
    <x v="0"/>
    <s v="Juletræer"/>
    <n v="668.53542888721154"/>
    <n v="19053.259723285526"/>
    <n v="0"/>
    <n v="19053.259723285526"/>
  </r>
  <r>
    <x v="1"/>
    <x v="12"/>
    <x v="2"/>
    <s v="Økologisk"/>
    <x v="0"/>
    <s v="Pil &amp; poppel"/>
    <n v="257.08121370150025"/>
    <n v="3574.0558978013451"/>
    <n v="0"/>
    <n v="3574.0558978013451"/>
  </r>
  <r>
    <x v="1"/>
    <x v="13"/>
    <x v="2"/>
    <s v="Økologisk"/>
    <x v="0"/>
    <s v="Græs"/>
    <n v="3084.0833735965612"/>
    <n v="42529.509721896582"/>
    <n v="0"/>
    <n v="42529.509721896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7429.2515145730249"/>
    <n v="7429.2515145730249"/>
  </r>
  <r>
    <x v="1"/>
    <x v="1"/>
    <x v="1"/>
    <s v="Konventionel"/>
    <x v="1"/>
    <s v="Halm"/>
    <n v="68.782772699511852"/>
    <n v="318.6018031441389"/>
    <n v="100.6187662397337"/>
    <n v="100.6187662397337"/>
  </r>
  <r>
    <x v="1"/>
    <x v="2"/>
    <x v="1"/>
    <s v="Konventionel"/>
    <x v="1"/>
    <s v="Halm"/>
    <n v="277.82436371988916"/>
    <n v="1466.9126404410149"/>
    <n v="833.45575491937143"/>
    <n v="833.45575491937143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2654.9161829579666"/>
    <n v="2654.9161829579666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776.85063525217367"/>
    <n v="776.85063525217367"/>
  </r>
  <r>
    <x v="1"/>
    <x v="1"/>
    <x v="1"/>
    <s v="Økologisk"/>
    <x v="1"/>
    <s v="Halm"/>
    <n v="10.734883600501851"/>
    <n v="28.342669077389008"/>
    <n v="8.9509989157774648"/>
    <n v="8.9509989157774648"/>
  </r>
  <r>
    <x v="1"/>
    <x v="2"/>
    <x v="1"/>
    <s v="Økologisk"/>
    <x v="1"/>
    <s v="Halm"/>
    <n v="43.359871794433573"/>
    <n v="125.9170676910351"/>
    <n v="71.542300350015424"/>
    <n v="71.542300350015424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236.18011592903531"/>
    <n v="236.18011592903531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727176.60524954333"/>
    <n v="55111.238296058225"/>
    <n v="0"/>
    <n v="43439.71273733316"/>
    <n v="0"/>
    <n v="0"/>
    <n v="0"/>
    <n v="0"/>
    <n v="628625.65421615192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  <x v="0"/>
  </r>
  <r>
    <x v="3"/>
    <s v=""/>
    <n v="1"/>
    <x v="1"/>
    <s v="Vestdanmark"/>
    <n v="457820219.41578245"/>
    <n v="0"/>
    <n v="0"/>
    <n v="0"/>
    <n v="0"/>
    <n v="0"/>
    <n v="457820219.41578245"/>
    <n v="0"/>
    <n v="0"/>
    <n v="0"/>
    <n v="457820219.41578245"/>
    <n v="0"/>
    <n v="0"/>
    <n v="0"/>
    <n v="0"/>
    <n v="0"/>
    <n v="0"/>
    <n v="0"/>
    <n v="0"/>
    <x v="0"/>
  </r>
  <r>
    <x v="4"/>
    <s v=""/>
    <n v="0"/>
    <x v="1"/>
    <s v="Vestdanmark"/>
    <n v="15445153.978132175"/>
    <n v="0"/>
    <n v="0"/>
    <n v="0"/>
    <n v="0"/>
    <n v="12109903.871574569"/>
    <n v="0"/>
    <n v="0"/>
    <n v="3335250.10655760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934673.59009641467"/>
    <n v="0"/>
    <n v="0"/>
    <n v="0"/>
    <n v="0"/>
    <n v="0"/>
    <n v="0"/>
    <n v="0"/>
    <n v="934673.59009641467"/>
    <n v="0"/>
    <n v="0"/>
    <n v="0"/>
    <n v="0"/>
    <n v="0"/>
    <n v="0"/>
    <n v="0"/>
    <n v="0"/>
    <n v="0"/>
    <n v="0"/>
    <x v="0"/>
  </r>
  <r>
    <x v="11"/>
    <s v=""/>
    <n v="0"/>
    <x v="1"/>
    <s v="Vestdanmark"/>
    <n v="27051.16059114927"/>
    <n v="0"/>
    <n v="0"/>
    <n v="257923.29437791562"/>
    <n v="0"/>
    <n v="0"/>
    <n v="0"/>
    <n v="0"/>
    <n v="-230872.13378676635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0794528.482848618"/>
    <n v="10194486.876003446"/>
    <n v="0"/>
    <n v="0"/>
    <n v="0"/>
    <n v="0"/>
    <n v="0"/>
    <n v="1966958.8877732051"/>
    <n v="-1366917.2809280325"/>
    <n v="0"/>
    <n v="0"/>
    <n v="0"/>
    <n v="0"/>
    <n v="0"/>
    <n v="0"/>
    <n v="0"/>
    <n v="0"/>
    <n v="0"/>
    <n v="0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059391.2530405498"/>
    <n v="0"/>
    <n v="0"/>
    <n v="270140.71358529059"/>
    <n v="0"/>
    <n v="0"/>
    <n v="0"/>
    <n v="0"/>
    <n v="789250.53945525922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253360.2886747755"/>
    <n v="594794.43348335079"/>
    <n v="619528.66726912896"/>
    <n v="0"/>
    <n v="576627.94121745997"/>
    <n v="0"/>
    <n v="102016.78344392357"/>
    <n v="360392.46326091245"/>
    <n v="0"/>
    <n v="0"/>
    <n v="678644.72466138355"/>
    <n v="0"/>
    <n v="4.3789971772247176"/>
    <n v="3.3245714602069145"/>
    <n v="1.0544257170178031"/>
    <n v="0"/>
    <n v="576848.01596217602"/>
    <n v="490133.75003484095"/>
    <n v="86714.265927335073"/>
    <x v="0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  <x v="0"/>
  </r>
  <r>
    <x v="20"/>
    <s v=""/>
    <n v="0"/>
    <x v="1"/>
    <s v="Vestdanmark"/>
    <n v="600779.78805833985"/>
    <n v="0"/>
    <n v="0"/>
    <n v="0"/>
    <n v="0"/>
    <n v="0"/>
    <n v="0"/>
    <n v="0"/>
    <n v="600779.78805833985"/>
    <n v="0"/>
    <n v="0"/>
    <n v="0"/>
    <n v="0"/>
    <n v="0"/>
    <n v="0"/>
    <n v="0"/>
    <n v="0"/>
    <n v="0"/>
    <n v="0"/>
    <x v="0"/>
  </r>
  <r>
    <x v="21"/>
    <s v=""/>
    <n v="0"/>
    <x v="1"/>
    <s v="Vestdanmark"/>
    <n v="1483151.0584480518"/>
    <n v="0"/>
    <n v="0"/>
    <n v="123531.68309679118"/>
    <n v="0"/>
    <n v="0"/>
    <n v="0"/>
    <n v="0"/>
    <n v="1359619.375351260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620675.8964980748"/>
    <n v="5024222.9237584407"/>
    <n v="0"/>
    <n v="295933.04302308214"/>
    <n v="0"/>
    <n v="0"/>
    <n v="0"/>
    <n v="0"/>
    <n v="-699480.07028344832"/>
    <n v="0"/>
    <n v="0"/>
    <n v="0"/>
    <n v="0"/>
    <n v="0"/>
    <n v="0"/>
    <n v="0"/>
    <n v="0"/>
    <n v="0"/>
    <n v="0"/>
    <x v="1"/>
  </r>
  <r>
    <x v="23"/>
    <s v=""/>
    <n v="0"/>
    <x v="1"/>
    <s v="Vestdanmark"/>
    <n v="0"/>
    <n v="0"/>
    <n v="0"/>
    <n v="0"/>
    <n v="0"/>
    <n v="834325.2553194433"/>
    <n v="0"/>
    <n v="0"/>
    <n v="-834325.255319443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x v="0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179524.3810275476"/>
    <n v="4906538.3992409762"/>
    <n v="0"/>
    <n v="0"/>
    <n v="0"/>
    <n v="0"/>
    <n v="0"/>
    <n v="0"/>
    <n v="-727014.01821342856"/>
    <n v="0"/>
    <n v="0"/>
    <n v="0"/>
    <n v="0"/>
    <n v="0"/>
    <n v="0"/>
    <n v="0"/>
    <n v="0"/>
    <n v="0"/>
    <n v="0"/>
    <x v="1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x v="0"/>
  </r>
  <r>
    <x v="30"/>
    <s v=""/>
    <n v="0"/>
    <x v="1"/>
    <s v="Vestdanmark"/>
    <n v="1317768.395568013"/>
    <n v="0"/>
    <n v="0"/>
    <n v="0"/>
    <n v="0"/>
    <n v="0"/>
    <n v="0"/>
    <n v="0"/>
    <n v="1317768.3955680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5748.23741197774"/>
    <n v="0"/>
    <n v="0"/>
    <n v="0"/>
    <n v="0"/>
    <n v="0"/>
    <n v="125748.23741197774"/>
    <n v="0"/>
    <n v="0"/>
    <n v="0"/>
    <n v="125748.23741197774"/>
    <n v="0"/>
    <n v="2.3137675683803898"/>
    <n v="0"/>
    <n v="2.3137675683803898"/>
    <n v="0"/>
    <n v="52185.518525970765"/>
    <n v="0"/>
    <n v="52185.518525970765"/>
    <x v="0"/>
  </r>
  <r>
    <x v="32"/>
    <s v="Pyrolyseprodukter"/>
    <n v="1"/>
    <x v="1"/>
    <s v="Vestdanmark"/>
    <n v="201819.779426111"/>
    <n v="0"/>
    <n v="0"/>
    <n v="0"/>
    <n v="0"/>
    <n v="0"/>
    <n v="201819.779426111"/>
    <n v="0"/>
    <n v="0"/>
    <n v="0"/>
    <n v="201819.779426111"/>
    <n v="0"/>
    <n v="1.8085935376285627"/>
    <n v="0"/>
    <n v="1.8085935376285627"/>
    <n v="0"/>
    <n v="0"/>
    <n v="0"/>
    <n v="0"/>
    <x v="0"/>
  </r>
  <r>
    <x v="33"/>
    <s v="Pyrolyseprodukter"/>
    <n v="1"/>
    <x v="1"/>
    <s v="Vestdanmark"/>
    <n v="50454.944856527749"/>
    <n v="0"/>
    <n v="0"/>
    <n v="0"/>
    <n v="0"/>
    <n v="0"/>
    <n v="50454.944856527749"/>
    <n v="0"/>
    <n v="0"/>
    <n v="0"/>
    <n v="50454.944856527749"/>
    <n v="0"/>
    <n v="1.6785639368840255"/>
    <n v="0"/>
    <n v="1.6785639368840255"/>
    <n v="0"/>
    <n v="0"/>
    <n v="0"/>
    <n v="0"/>
    <x v="0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x v="0"/>
  </r>
  <r>
    <x v="35"/>
    <s v=""/>
    <n v="0"/>
    <x v="1"/>
    <s v="Vestdanmark"/>
    <n v="447330.59058373148"/>
    <n v="0"/>
    <n v="0"/>
    <n v="0"/>
    <n v="0"/>
    <n v="0"/>
    <n v="0"/>
    <n v="447330.59058373148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23665.29529186574"/>
    <n v="224187.19428812375"/>
    <n v="0"/>
    <n v="0"/>
    <n v="0"/>
    <n v="0"/>
    <n v="0"/>
    <n v="0"/>
    <n v="-521.898996258008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3145.78898679407"/>
    <n v="0"/>
    <n v="0"/>
    <n v="0"/>
    <n v="0"/>
    <n v="0"/>
    <n v="143145.78898679407"/>
    <n v="0"/>
    <n v="0"/>
    <n v="0"/>
    <n v="143145.78898679407"/>
    <n v="0"/>
    <n v="5.010102614537792"/>
    <n v="0"/>
    <n v="5.010102614537792"/>
    <n v="0"/>
    <n v="0"/>
    <n v="0"/>
    <n v="0"/>
    <x v="0"/>
  </r>
  <r>
    <x v="38"/>
    <s v="Græs og urter"/>
    <n v="1"/>
    <x v="1"/>
    <s v="Vestdanmark"/>
    <n v="1674738.7828463221"/>
    <n v="1558650.6941574311"/>
    <n v="0"/>
    <n v="0"/>
    <n v="0"/>
    <n v="0"/>
    <n v="0"/>
    <n v="0"/>
    <n v="116088.08868889092"/>
    <n v="116088.08868889092"/>
    <n v="0"/>
    <n v="0.31506771622519752"/>
    <n v="0.31506771622519752"/>
    <n v="0"/>
    <n v="0.31506771622519752"/>
    <n v="23217.617737778186"/>
    <n v="23217.617737778186"/>
    <n v="0"/>
    <n v="23217.617737778186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x v="0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45425.4149825461"/>
    <n v="0"/>
    <n v="0"/>
    <n v="0"/>
    <n v="0"/>
    <n v="0"/>
    <n v="2245425.4149825461"/>
    <n v="0"/>
    <n v="0"/>
    <n v="0"/>
    <n v="2245425.4149825461"/>
    <n v="0"/>
    <n v="32.54422796360155"/>
    <n v="0"/>
    <n v="32.54422796360155"/>
    <n v="0"/>
    <n v="1110549.9864934508"/>
    <n v="0"/>
    <n v="1110549.9864934508"/>
    <x v="0"/>
  </r>
  <r>
    <x v="47"/>
    <s v=""/>
    <n v="0"/>
    <x v="1"/>
    <s v="Vestdanmark"/>
    <n v="619954.02327913279"/>
    <n v="0"/>
    <n v="0"/>
    <n v="0"/>
    <n v="0"/>
    <n v="0"/>
    <n v="0"/>
    <n v="619954.0232791327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607983.4991327466"/>
    <n v="45724.00111692449"/>
    <n v="0"/>
    <n v="90266.583697186172"/>
    <n v="0"/>
    <n v="0"/>
    <n v="0"/>
    <n v="0"/>
    <n v="471992.9143186359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  <x v="0"/>
  </r>
  <r>
    <x v="3"/>
    <s v=""/>
    <n v="1"/>
    <x v="2"/>
    <s v="Vestdanmark"/>
    <n v="466482738.63204789"/>
    <n v="0"/>
    <n v="0"/>
    <n v="0"/>
    <n v="0"/>
    <n v="0"/>
    <n v="466482738.63204789"/>
    <n v="0"/>
    <n v="0"/>
    <n v="0"/>
    <n v="466482738.63204789"/>
    <n v="0"/>
    <n v="0"/>
    <n v="0"/>
    <n v="0"/>
    <n v="0"/>
    <n v="0"/>
    <n v="0"/>
    <n v="0"/>
    <x v="0"/>
  </r>
  <r>
    <x v="4"/>
    <s v=""/>
    <n v="0"/>
    <x v="2"/>
    <s v="Vestdanmark"/>
    <n v="18989693.857730396"/>
    <n v="0"/>
    <n v="0"/>
    <n v="0"/>
    <n v="0"/>
    <n v="13973217.723939186"/>
    <n v="0"/>
    <n v="0"/>
    <n v="5016476.1337912101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745200.56894188409"/>
    <n v="0"/>
    <n v="0"/>
    <n v="0"/>
    <n v="0"/>
    <n v="0"/>
    <n v="0"/>
    <n v="0"/>
    <n v="745200.56894188409"/>
    <n v="0"/>
    <n v="0"/>
    <n v="0"/>
    <n v="0"/>
    <n v="0"/>
    <n v="0"/>
    <n v="0"/>
    <n v="0"/>
    <n v="0"/>
    <n v="0"/>
    <x v="0"/>
  </r>
  <r>
    <x v="11"/>
    <s v=""/>
    <n v="0"/>
    <x v="2"/>
    <s v="Vestdanmark"/>
    <n v="22253.038843092927"/>
    <n v="0"/>
    <n v="0"/>
    <n v="267978.92035102146"/>
    <n v="0"/>
    <n v="0"/>
    <n v="0"/>
    <n v="0"/>
    <n v="-245725.88150792854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9332872.9907836542"/>
    <n v="8458034.0365568101"/>
    <n v="0"/>
    <n v="0"/>
    <n v="0"/>
    <n v="0"/>
    <n v="0"/>
    <n v="2651872.9008556642"/>
    <n v="-1777033.9466288202"/>
    <n v="0"/>
    <n v="0"/>
    <n v="0"/>
    <n v="0"/>
    <n v="0"/>
    <n v="0"/>
    <n v="0"/>
    <n v="0"/>
    <n v="0"/>
    <n v="0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161598.8495775687"/>
    <n v="0"/>
    <n v="0"/>
    <n v="280672.65868343826"/>
    <n v="0"/>
    <n v="0"/>
    <n v="0"/>
    <n v="0"/>
    <n v="880926.19089413038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984585.7461565437"/>
    <n v="493481.5870918"/>
    <n v="510108.16462498211"/>
    <n v="0"/>
    <n v="174056.00966953213"/>
    <n v="0"/>
    <n v="110715.94609210105"/>
    <n v="696224.03867812862"/>
    <n v="0"/>
    <n v="0"/>
    <n v="284771.95576163317"/>
    <n v="0"/>
    <n v="2.1478654634520709"/>
    <n v="1.0035268859900743"/>
    <n v="1.1443385774619965"/>
    <n v="0"/>
    <n v="242056.16239738819"/>
    <n v="147947.60821910232"/>
    <n v="94108.554178285878"/>
    <x v="0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  <x v="0"/>
  </r>
  <r>
    <x v="20"/>
    <s v=""/>
    <n v="0"/>
    <x v="2"/>
    <s v="Vestdanmark"/>
    <n v="489757.41882038367"/>
    <n v="0"/>
    <n v="0"/>
    <n v="0"/>
    <n v="0"/>
    <n v="0"/>
    <n v="0"/>
    <n v="0"/>
    <n v="489757.41882038367"/>
    <n v="0"/>
    <n v="0"/>
    <n v="0"/>
    <n v="0"/>
    <n v="0"/>
    <n v="0"/>
    <n v="0"/>
    <n v="0"/>
    <n v="0"/>
    <n v="0"/>
    <x v="0"/>
  </r>
  <r>
    <x v="21"/>
    <s v=""/>
    <n v="0"/>
    <x v="2"/>
    <s v="Vestdanmark"/>
    <n v="1200677.4719421556"/>
    <n v="0"/>
    <n v="0"/>
    <n v="128347.79869443661"/>
    <n v="0"/>
    <n v="0"/>
    <n v="0"/>
    <n v="0"/>
    <n v="1072329.67324771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780840.3396516475"/>
    <n v="4168434.2736686366"/>
    <n v="0"/>
    <n v="307470.55071854044"/>
    <n v="0"/>
    <n v="0"/>
    <n v="0"/>
    <n v="0"/>
    <n v="-695064.4847355294"/>
    <n v="0"/>
    <n v="0"/>
    <n v="0"/>
    <n v="0"/>
    <n v="0"/>
    <n v="0"/>
    <n v="0"/>
    <n v="0"/>
    <n v="0"/>
    <n v="0"/>
    <x v="1"/>
  </r>
  <r>
    <x v="23"/>
    <s v=""/>
    <n v="0"/>
    <x v="2"/>
    <s v="Vestdanmark"/>
    <n v="0"/>
    <n v="0"/>
    <n v="0"/>
    <n v="0"/>
    <n v="0"/>
    <n v="955150.82029111753"/>
    <n v="0"/>
    <n v="0"/>
    <n v="-955150.8202911175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x v="0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376366.5569012994"/>
    <n v="4070795.253083135"/>
    <n v="0"/>
    <n v="0"/>
    <n v="0"/>
    <n v="0"/>
    <n v="0"/>
    <n v="0"/>
    <n v="-694428.69618183561"/>
    <n v="0"/>
    <n v="0"/>
    <n v="0"/>
    <n v="0"/>
    <n v="0"/>
    <n v="0"/>
    <n v="0"/>
    <n v="0"/>
    <n v="0"/>
    <n v="0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075904.2363814465"/>
    <n v="0"/>
    <n v="0"/>
    <n v="0"/>
    <n v="0"/>
    <n v="0"/>
    <n v="0"/>
    <n v="0"/>
    <n v="1075904.236381446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1869.864613650177"/>
    <n v="0"/>
    <n v="0"/>
    <n v="0"/>
    <n v="0"/>
    <n v="0"/>
    <n v="91869.864613650177"/>
    <n v="0"/>
    <n v="0"/>
    <n v="0"/>
    <n v="91869.864613650177"/>
    <n v="0"/>
    <n v="1.6904055088911629"/>
    <n v="0"/>
    <n v="1.6904055088911629"/>
    <n v="0"/>
    <n v="38125.993814664827"/>
    <n v="0"/>
    <n v="38125.993814664827"/>
    <x v="0"/>
  </r>
  <r>
    <x v="32"/>
    <s v="Pyrolyseprodukter"/>
    <n v="1"/>
    <x v="2"/>
    <s v="Vestdanmark"/>
    <n v="389885.46165975207"/>
    <n v="0"/>
    <n v="0"/>
    <n v="0"/>
    <n v="0"/>
    <n v="0"/>
    <n v="389885.46165975207"/>
    <n v="0"/>
    <n v="0"/>
    <n v="0"/>
    <n v="389885.46165975207"/>
    <n v="0"/>
    <n v="3.4939307157023198"/>
    <n v="0"/>
    <n v="3.4939307157023198"/>
    <n v="0"/>
    <n v="0"/>
    <n v="0"/>
    <n v="0"/>
    <x v="0"/>
  </r>
  <r>
    <x v="33"/>
    <s v="Pyrolyseprodukter"/>
    <n v="1"/>
    <x v="2"/>
    <s v="Vestdanmark"/>
    <n v="97471.365414938016"/>
    <n v="0"/>
    <n v="0"/>
    <n v="0"/>
    <n v="0"/>
    <n v="0"/>
    <n v="97471.365414938016"/>
    <n v="0"/>
    <n v="0"/>
    <n v="0"/>
    <n v="97471.365414938016"/>
    <n v="0"/>
    <n v="3.2427330825472511"/>
    <n v="0"/>
    <n v="3.2427330825472511"/>
    <n v="0"/>
    <n v="0"/>
    <n v="0"/>
    <n v="0"/>
    <x v="0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x v="0"/>
  </r>
  <r>
    <x v="35"/>
    <s v=""/>
    <n v="0"/>
    <x v="2"/>
    <s v="Vestdanmark"/>
    <n v="369709.90203897492"/>
    <n v="0"/>
    <n v="0"/>
    <n v="0"/>
    <n v="0"/>
    <n v="0"/>
    <n v="0"/>
    <n v="369709.90203897492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854.95101948746"/>
    <n v="186000.82014059028"/>
    <n v="0"/>
    <n v="0"/>
    <n v="0"/>
    <n v="0"/>
    <n v="0"/>
    <n v="0"/>
    <n v="-1145.869121102819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8307.16865247197"/>
    <n v="0"/>
    <n v="0"/>
    <n v="0"/>
    <n v="0"/>
    <n v="0"/>
    <n v="118307.16865247197"/>
    <n v="0"/>
    <n v="0"/>
    <n v="0"/>
    <n v="118307.16865247197"/>
    <n v="0"/>
    <n v="4.1407509028365181"/>
    <n v="0"/>
    <n v="4.1407509028365181"/>
    <n v="0"/>
    <n v="0"/>
    <n v="0"/>
    <n v="0"/>
    <x v="0"/>
  </r>
  <r>
    <x v="38"/>
    <s v="Græs og urter"/>
    <n v="1"/>
    <x v="2"/>
    <s v="Vestdanmark"/>
    <n v="4196120.6064453982"/>
    <n v="5234226.1839023503"/>
    <n v="0"/>
    <n v="0"/>
    <n v="0"/>
    <n v="0"/>
    <n v="0"/>
    <n v="0"/>
    <n v="-1038105.5774569521"/>
    <n v="0"/>
    <n v="0"/>
    <n v="0"/>
    <n v="0"/>
    <n v="0"/>
    <n v="0"/>
    <n v="0"/>
    <n v="0"/>
    <n v="0"/>
    <n v="0"/>
    <x v="1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x v="0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83381.268758419"/>
    <n v="0"/>
    <n v="0"/>
    <n v="0"/>
    <n v="0"/>
    <n v="0"/>
    <n v="2583381.268758419"/>
    <n v="0"/>
    <n v="0"/>
    <n v="0"/>
    <n v="2583381.268758419"/>
    <n v="0"/>
    <n v="37.44241441572251"/>
    <n v="0"/>
    <n v="37.44241441572251"/>
    <n v="0"/>
    <n v="1277697.3191734347"/>
    <n v="0"/>
    <n v="1277697.3191734347"/>
    <x v="0"/>
  </r>
  <r>
    <x v="47"/>
    <s v=""/>
    <n v="0"/>
    <x v="2"/>
    <s v="Vestdanmark"/>
    <n v="785631.25546720112"/>
    <n v="0"/>
    <n v="0"/>
    <n v="0"/>
    <n v="0"/>
    <n v="0"/>
    <n v="0"/>
    <n v="785631.2554672011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34490.9983006705"/>
    <n v="6753.2568750969058"/>
    <n v="0"/>
    <n v="37612.453499504722"/>
    <n v="0"/>
    <n v="0"/>
    <n v="0"/>
    <n v="0"/>
    <n v="190125.2879260688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  <x v="0"/>
  </r>
  <r>
    <x v="3"/>
    <s v=""/>
    <n v="1"/>
    <x v="1"/>
    <s v="Østdanmark"/>
    <n v="129267393.81214702"/>
    <n v="0"/>
    <n v="0"/>
    <n v="0"/>
    <n v="0"/>
    <n v="0"/>
    <n v="129267393.81214702"/>
    <n v="0"/>
    <n v="0"/>
    <n v="0"/>
    <n v="129267393.81214702"/>
    <n v="0"/>
    <n v="0"/>
    <n v="0"/>
    <n v="0"/>
    <n v="0"/>
    <n v="0"/>
    <n v="0"/>
    <n v="0"/>
    <x v="0"/>
  </r>
  <r>
    <x v="4"/>
    <s v=""/>
    <n v="0"/>
    <x v="1"/>
    <s v="Østdanmark"/>
    <n v="3467141.0325447312"/>
    <n v="0"/>
    <n v="0"/>
    <n v="0"/>
    <n v="0"/>
    <n v="2718441.3099898444"/>
    <n v="0"/>
    <n v="0"/>
    <n v="748699.72255488671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03347.80329829425"/>
    <n v="0"/>
    <n v="0"/>
    <n v="0"/>
    <n v="0"/>
    <n v="0"/>
    <n v="0"/>
    <n v="0"/>
    <n v="303347.80329829425"/>
    <n v="0"/>
    <n v="0"/>
    <n v="0"/>
    <n v="0"/>
    <n v="0"/>
    <n v="0"/>
    <n v="0"/>
    <n v="0"/>
    <n v="0"/>
    <n v="0"/>
    <x v="0"/>
  </r>
  <r>
    <x v="11"/>
    <s v=""/>
    <n v="0"/>
    <x v="1"/>
    <s v="Østdanmark"/>
    <n v="8757.5019871599998"/>
    <n v="0"/>
    <n v="0"/>
    <n v="223323.94265330929"/>
    <n v="0"/>
    <n v="0"/>
    <n v="0"/>
    <n v="0"/>
    <n v="-214566.44066614928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173668.3039375409"/>
    <n v="1249218.6841023962"/>
    <n v="0"/>
    <n v="0"/>
    <n v="0"/>
    <n v="0"/>
    <n v="0"/>
    <n v="241028.49151254582"/>
    <n v="1683421.1283225988"/>
    <n v="316503.84739456628"/>
    <n v="0"/>
    <n v="0.58232751622507772"/>
    <n v="0.58232751622507772"/>
    <n v="0"/>
    <n v="0.58232751622507772"/>
    <n v="88621.077270478563"/>
    <n v="88621.077270478563"/>
    <n v="0"/>
    <n v="88621.077270478563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344573.5889961003"/>
    <n v="0"/>
    <n v="0"/>
    <n v="233902.44520004498"/>
    <n v="0"/>
    <n v="0"/>
    <n v="0"/>
    <n v="0"/>
    <n v="110671.14379605532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721034.83397446794"/>
    <n v="72885.308357843693"/>
    <n v="88127.0144073915"/>
    <n v="0"/>
    <n v="223372.05878254003"/>
    <n v="0"/>
    <n v="197042.91568760504"/>
    <n v="139607.53673908752"/>
    <n v="0"/>
    <n v="0"/>
    <n v="420414.97447014507"/>
    <n v="0"/>
    <n v="3.3244579568385526"/>
    <n v="1.287860539793086"/>
    <n v="2.0365974170454666"/>
    <n v="0"/>
    <n v="357352.7282996233"/>
    <n v="189866.24996515902"/>
    <n v="167486.47833446428"/>
    <x v="0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  <x v="0"/>
  </r>
  <r>
    <x v="20"/>
    <s v=""/>
    <n v="0"/>
    <x v="1"/>
    <s v="Østdanmark"/>
    <n v="190343.70675886245"/>
    <n v="0"/>
    <n v="0"/>
    <n v="0"/>
    <n v="0"/>
    <n v="0"/>
    <n v="0"/>
    <n v="0"/>
    <n v="190343.70675886245"/>
    <n v="0"/>
    <n v="0"/>
    <n v="0"/>
    <n v="0"/>
    <n v="0"/>
    <n v="0"/>
    <n v="0"/>
    <n v="0"/>
    <n v="0"/>
    <n v="0"/>
    <x v="0"/>
  </r>
  <r>
    <x v="21"/>
    <s v=""/>
    <n v="0"/>
    <x v="1"/>
    <s v="Østdanmark"/>
    <n v="463859.66299016302"/>
    <n v="0"/>
    <n v="0"/>
    <n v="106960.41463921656"/>
    <n v="0"/>
    <n v="0"/>
    <n v="0"/>
    <n v="0"/>
    <n v="356899.24835094647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473133.2886241353"/>
    <n v="615661.50663535297"/>
    <n v="0"/>
    <n v="256234.83946537593"/>
    <n v="0"/>
    <n v="0"/>
    <n v="0"/>
    <n v="0"/>
    <n v="601236.94252340635"/>
    <n v="0"/>
    <n v="0"/>
    <n v="0"/>
    <n v="0"/>
    <n v="0"/>
    <n v="0"/>
    <n v="0"/>
    <n v="0"/>
    <n v="0"/>
    <n v="0"/>
    <x v="1"/>
  </r>
  <r>
    <x v="23"/>
    <s v=""/>
    <n v="0"/>
    <x v="1"/>
    <s v="Østdanmark"/>
    <n v="0"/>
    <n v="0"/>
    <n v="0"/>
    <n v="0"/>
    <n v="0"/>
    <n v="430788.56398807897"/>
    <n v="0"/>
    <n v="0"/>
    <n v="-430788.5639880789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x v="0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90222.2157088669"/>
    <n v="601240.60358794441"/>
    <n v="0"/>
    <n v="0"/>
    <n v="0"/>
    <n v="0"/>
    <n v="0"/>
    <n v="0"/>
    <n v="688981.61212092254"/>
    <n v="0"/>
    <n v="0"/>
    <n v="0"/>
    <n v="0"/>
    <n v="0"/>
    <n v="0"/>
    <n v="0"/>
    <n v="0"/>
    <n v="0"/>
    <n v="0"/>
    <x v="1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x v="0"/>
  </r>
  <r>
    <x v="30"/>
    <s v=""/>
    <n v="0"/>
    <x v="1"/>
    <s v="Østdanmark"/>
    <n v="419046.55891779787"/>
    <n v="0"/>
    <n v="0"/>
    <n v="0"/>
    <n v="0"/>
    <n v="0"/>
    <n v="0"/>
    <n v="0"/>
    <n v="419046.5589177978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172.011339871715"/>
    <n v="0"/>
    <n v="0"/>
    <n v="0"/>
    <n v="0"/>
    <n v="0"/>
    <n v="37172.011339871715"/>
    <n v="0"/>
    <n v="0"/>
    <n v="0"/>
    <n v="37172.011339871715"/>
    <n v="0"/>
    <n v="0.68396500865363941"/>
    <n v="0"/>
    <n v="0.68396500865363941"/>
    <n v="0"/>
    <n v="15426.384706046763"/>
    <n v="0"/>
    <n v="15426.384706046763"/>
    <x v="0"/>
  </r>
  <r>
    <x v="32"/>
    <s v="Pyrolyseprodukter"/>
    <n v="1"/>
    <x v="1"/>
    <s v="Østdanmark"/>
    <n v="78180.220573889019"/>
    <n v="0"/>
    <n v="0"/>
    <n v="0"/>
    <n v="0"/>
    <n v="0"/>
    <n v="78180.220573889019"/>
    <n v="0"/>
    <n v="0"/>
    <n v="0"/>
    <n v="78180.220573889019"/>
    <n v="0"/>
    <n v="0.70060646237143664"/>
    <n v="0"/>
    <n v="0.70060646237143664"/>
    <n v="0"/>
    <n v="0"/>
    <n v="0"/>
    <n v="0"/>
    <x v="0"/>
  </r>
  <r>
    <x v="33"/>
    <s v="Pyrolyseprodukter"/>
    <n v="1"/>
    <x v="1"/>
    <s v="Østdanmark"/>
    <n v="19545.055143472255"/>
    <n v="0"/>
    <n v="0"/>
    <n v="0"/>
    <n v="0"/>
    <n v="0"/>
    <n v="19545.055143472255"/>
    <n v="0"/>
    <n v="0"/>
    <n v="0"/>
    <n v="19545.055143472255"/>
    <n v="0"/>
    <n v="0.65023606311597393"/>
    <n v="0"/>
    <n v="0.65023606311597393"/>
    <n v="0"/>
    <n v="0"/>
    <n v="0"/>
    <n v="0"/>
    <x v="0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x v="0"/>
  </r>
  <r>
    <x v="35"/>
    <s v=""/>
    <n v="0"/>
    <x v="1"/>
    <s v="Østdanmark"/>
    <n v="144105.21712938134"/>
    <n v="0"/>
    <n v="0"/>
    <n v="0"/>
    <n v="0"/>
    <n v="0"/>
    <n v="0"/>
    <n v="144105.2171293813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2052.608564690672"/>
    <n v="27471.596682363863"/>
    <n v="0"/>
    <n v="0"/>
    <n v="0"/>
    <n v="0"/>
    <n v="0"/>
    <n v="0"/>
    <n v="44581.011882326813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113.66948140203"/>
    <n v="0"/>
    <n v="0"/>
    <n v="0"/>
    <n v="0"/>
    <n v="0"/>
    <n v="46113.66948140203"/>
    <n v="0"/>
    <n v="0"/>
    <n v="0"/>
    <n v="46113.66948140203"/>
    <n v="0"/>
    <n v="1.6139784318490709"/>
    <n v="0"/>
    <n v="1.6139784318490709"/>
    <n v="0"/>
    <n v="0"/>
    <n v="0"/>
    <n v="0"/>
    <x v="0"/>
  </r>
  <r>
    <x v="38"/>
    <s v="Græs og urter"/>
    <n v="1"/>
    <x v="1"/>
    <s v="Østdanmark"/>
    <n v="551863.24646888149"/>
    <n v="190994.95568667154"/>
    <n v="0"/>
    <n v="0"/>
    <n v="0"/>
    <n v="0"/>
    <n v="0"/>
    <n v="0"/>
    <n v="360868.29078220995"/>
    <n v="360868.29078220995"/>
    <n v="0"/>
    <n v="0.97941097591454906"/>
    <n v="0.97941097591454906"/>
    <n v="0"/>
    <n v="0.97941097591454906"/>
    <n v="72173.65815644199"/>
    <n v="72173.65815644199"/>
    <n v="0"/>
    <n v="72173.65815644199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x v="0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50272.33920049365"/>
    <n v="0"/>
    <n v="0"/>
    <n v="0"/>
    <n v="0"/>
    <n v="0"/>
    <n v="650272.33920049365"/>
    <n v="0"/>
    <n v="0"/>
    <n v="0"/>
    <n v="650272.33920049365"/>
    <n v="0"/>
    <n v="9.4247669524706943"/>
    <n v="0"/>
    <n v="9.4247669524706943"/>
    <n v="0"/>
    <n v="321613.86109624413"/>
    <n v="0"/>
    <n v="321613.86109624413"/>
    <x v="0"/>
  </r>
  <r>
    <x v="47"/>
    <s v=""/>
    <n v="0"/>
    <x v="1"/>
    <s v="Østdanmark"/>
    <n v="179118.88010894318"/>
    <n v="0"/>
    <n v="0"/>
    <n v="0"/>
    <n v="0"/>
    <n v="0"/>
    <n v="0"/>
    <n v="179118.88010894318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19276.19795697337"/>
    <n v="5589.8969964537146"/>
    <n v="0"/>
    <n v="78752.00538693853"/>
    <n v="0"/>
    <n v="0"/>
    <n v="0"/>
    <n v="0"/>
    <n v="134934.2955735811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  <x v="0"/>
  </r>
  <r>
    <x v="3"/>
    <s v=""/>
    <n v="1"/>
    <x v="2"/>
    <s v="Østdanmark"/>
    <n v="127014615.47386032"/>
    <n v="0"/>
    <n v="0"/>
    <n v="0"/>
    <n v="0"/>
    <n v="0"/>
    <n v="127014615.47386032"/>
    <n v="0"/>
    <n v="0"/>
    <n v="0"/>
    <n v="127014615.47386032"/>
    <n v="0"/>
    <n v="0"/>
    <n v="0"/>
    <n v="0"/>
    <n v="0"/>
    <n v="0"/>
    <n v="0"/>
    <n v="0"/>
    <x v="0"/>
  </r>
  <r>
    <x v="4"/>
    <s v=""/>
    <n v="0"/>
    <x v="2"/>
    <s v="Østdanmark"/>
    <n v="4548505.6401664391"/>
    <n v="0"/>
    <n v="0"/>
    <n v="0"/>
    <n v="0"/>
    <n v="3346934.4005636992"/>
    <n v="0"/>
    <n v="0"/>
    <n v="1201571.2396027399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268765.10251682362"/>
    <n v="0"/>
    <n v="0"/>
    <n v="0"/>
    <n v="0"/>
    <n v="0"/>
    <n v="0"/>
    <n v="0"/>
    <n v="268765.10251682362"/>
    <n v="0"/>
    <n v="0"/>
    <n v="0"/>
    <n v="0"/>
    <n v="0"/>
    <n v="0"/>
    <n v="0"/>
    <n v="0"/>
    <n v="0"/>
    <n v="0"/>
    <x v="0"/>
  </r>
  <r>
    <x v="11"/>
    <s v=""/>
    <n v="0"/>
    <x v="2"/>
    <s v="Østdanmark"/>
    <n v="8025.8128016018145"/>
    <n v="0"/>
    <n v="0"/>
    <n v="233795.01599247381"/>
    <n v="0"/>
    <n v="0"/>
    <n v="0"/>
    <n v="0"/>
    <n v="-225769.20319087201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3366007.3149247444"/>
    <n v="1034020.1623202205"/>
    <n v="0"/>
    <n v="0"/>
    <n v="0"/>
    <n v="0"/>
    <n v="0"/>
    <n v="324199.45764508267"/>
    <n v="2007787.6949594412"/>
    <n v="230753.74833062105"/>
    <n v="0"/>
    <n v="0.4245580527098014"/>
    <n v="0.4245580527098014"/>
    <n v="0"/>
    <n v="0.4245580527098014"/>
    <n v="64611.049532573903"/>
    <n v="64611.049532573903"/>
    <n v="0"/>
    <n v="64611.049532573903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18943.90168465767"/>
    <n v="0"/>
    <n v="0"/>
    <n v="244869.51675001203"/>
    <n v="0"/>
    <n v="0"/>
    <n v="0"/>
    <n v="0"/>
    <n v="174074.38493464564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715763.53232868738"/>
    <n v="60329.611891042863"/>
    <n v="72420.556657070294"/>
    <n v="0"/>
    <n v="75943.990330467859"/>
    <n v="0"/>
    <n v="203293.41212823492"/>
    <n v="303775.96132187144"/>
    <n v="0"/>
    <n v="0"/>
    <n v="279237.4024587028"/>
    <n v="0"/>
    <n v="2.5390594517891913"/>
    <n v="0.43785811400992569"/>
    <n v="2.1012013377792655"/>
    <n v="0"/>
    <n v="237351.79208989738"/>
    <n v="64552.391780897677"/>
    <n v="172799.4003089997"/>
    <x v="0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  <x v="0"/>
  </r>
  <r>
    <x v="20"/>
    <s v=""/>
    <n v="0"/>
    <x v="2"/>
    <s v="Østdanmark"/>
    <n v="176636.61081812825"/>
    <n v="0"/>
    <n v="0"/>
    <n v="0"/>
    <n v="0"/>
    <n v="0"/>
    <n v="0"/>
    <n v="0"/>
    <n v="176636.61081812825"/>
    <n v="0"/>
    <n v="0"/>
    <n v="0"/>
    <n v="0"/>
    <n v="0"/>
    <n v="0"/>
    <n v="0"/>
    <n v="0"/>
    <n v="0"/>
    <n v="0"/>
    <x v="0"/>
  </r>
  <r>
    <x v="21"/>
    <s v=""/>
    <n v="0"/>
    <x v="2"/>
    <s v="Østdanmark"/>
    <n v="433038.05349260336"/>
    <n v="0"/>
    <n v="0"/>
    <n v="111975.50765955324"/>
    <n v="0"/>
    <n v="0"/>
    <n v="0"/>
    <n v="0"/>
    <n v="321062.545833050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363603.2819044513"/>
    <n v="509603.65797187964"/>
    <n v="0"/>
    <n v="268249.01834925939"/>
    <n v="0"/>
    <n v="0"/>
    <n v="0"/>
    <n v="0"/>
    <n v="585750.60558331222"/>
    <n v="0"/>
    <n v="0"/>
    <n v="0"/>
    <n v="0"/>
    <n v="0"/>
    <n v="0"/>
    <n v="0"/>
    <n v="0"/>
    <n v="0"/>
    <n v="0"/>
    <x v="1"/>
  </r>
  <r>
    <x v="23"/>
    <s v=""/>
    <n v="0"/>
    <x v="2"/>
    <s v="Østdanmark"/>
    <n v="0"/>
    <n v="0"/>
    <n v="0"/>
    <n v="0"/>
    <n v="0"/>
    <n v="472604.98553143517"/>
    <n v="0"/>
    <n v="0"/>
    <n v="-472604.98553143517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x v="0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217725.1891909407"/>
    <n v="497666.99331928522"/>
    <n v="0"/>
    <n v="0"/>
    <n v="0"/>
    <n v="0"/>
    <n v="0"/>
    <n v="0"/>
    <n v="720058.19587165548"/>
    <n v="25629.499689819873"/>
    <n v="0"/>
    <n v="9.2009903886453359E-2"/>
    <n v="9.2009903886453359E-2"/>
    <n v="0"/>
    <n v="9.2009903886453359E-2"/>
    <n v="7688.8499069459613"/>
    <n v="7688.8499069459613"/>
    <n v="0"/>
    <n v="7688.8499069459613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x v="0"/>
  </r>
  <r>
    <x v="30"/>
    <s v=""/>
    <n v="0"/>
    <x v="2"/>
    <s v="Østdanmark"/>
    <n v="388037.15998222143"/>
    <n v="0"/>
    <n v="0"/>
    <n v="0"/>
    <n v="0"/>
    <n v="0"/>
    <n v="0"/>
    <n v="0"/>
    <n v="388037.15998222143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133.916706684649"/>
    <n v="0"/>
    <n v="0"/>
    <n v="0"/>
    <n v="0"/>
    <n v="0"/>
    <n v="33133.916706684649"/>
    <n v="0"/>
    <n v="0"/>
    <n v="0"/>
    <n v="33133.916706684649"/>
    <n v="0"/>
    <n v="0.60966406740299739"/>
    <n v="0"/>
    <n v="0.60966406740299739"/>
    <n v="0"/>
    <n v="13750.575433274131"/>
    <n v="0"/>
    <n v="13750.575433274131"/>
    <x v="0"/>
  </r>
  <r>
    <x v="32"/>
    <s v="Pyrolyseprodukter"/>
    <n v="1"/>
    <x v="2"/>
    <s v="Østdanmark"/>
    <n v="170114.53834024802"/>
    <n v="0"/>
    <n v="0"/>
    <n v="0"/>
    <n v="0"/>
    <n v="0"/>
    <n v="170114.53834024802"/>
    <n v="0"/>
    <n v="0"/>
    <n v="0"/>
    <n v="170114.53834024802"/>
    <n v="0"/>
    <n v="1.5244692842976793"/>
    <n v="0"/>
    <n v="1.5244692842976793"/>
    <n v="0"/>
    <n v="0"/>
    <n v="0"/>
    <n v="0"/>
    <x v="0"/>
  </r>
  <r>
    <x v="33"/>
    <s v="Pyrolyseprodukter"/>
    <n v="1"/>
    <x v="2"/>
    <s v="Østdanmark"/>
    <n v="42528.634585062005"/>
    <n v="0"/>
    <n v="0"/>
    <n v="0"/>
    <n v="0"/>
    <n v="0"/>
    <n v="42528.634585062005"/>
    <n v="0"/>
    <n v="0"/>
    <n v="0"/>
    <n v="42528.634585062005"/>
    <n v="0"/>
    <n v="1.4148669174527482"/>
    <n v="0"/>
    <n v="1.4148669174527482"/>
    <n v="0"/>
    <n v="0"/>
    <n v="0"/>
    <n v="0"/>
    <x v="0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x v="0"/>
  </r>
  <r>
    <x v="35"/>
    <s v=""/>
    <n v="0"/>
    <x v="2"/>
    <s v="Østdanmark"/>
    <n v="133340.10179847176"/>
    <n v="0"/>
    <n v="0"/>
    <n v="0"/>
    <n v="0"/>
    <n v="0"/>
    <n v="0"/>
    <n v="133340.1017984717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66670.050899235881"/>
    <n v="22739.161062984149"/>
    <n v="0"/>
    <n v="0"/>
    <n v="0"/>
    <n v="0"/>
    <n v="0"/>
    <n v="0"/>
    <n v="43930.889836251736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2668.832575510962"/>
    <n v="0"/>
    <n v="0"/>
    <n v="0"/>
    <n v="0"/>
    <n v="0"/>
    <n v="42668.832575510962"/>
    <n v="0"/>
    <n v="0"/>
    <n v="0"/>
    <n v="42668.832575510962"/>
    <n v="0"/>
    <n v="1.4934091401428835"/>
    <n v="0"/>
    <n v="1.4934091401428835"/>
    <n v="0"/>
    <n v="0"/>
    <n v="0"/>
    <n v="0"/>
    <x v="0"/>
  </r>
  <r>
    <x v="38"/>
    <s v="Græs og urter"/>
    <n v="1"/>
    <x v="2"/>
    <s v="Østdanmark"/>
    <n v="1513378.8566017656"/>
    <n v="639899.9324082589"/>
    <n v="0"/>
    <n v="0"/>
    <n v="0"/>
    <n v="0"/>
    <n v="0"/>
    <n v="0"/>
    <n v="873478.92419350671"/>
    <n v="0"/>
    <n v="0"/>
    <n v="0"/>
    <n v="0"/>
    <n v="0"/>
    <n v="0"/>
    <n v="0"/>
    <n v="0"/>
    <n v="0"/>
    <n v="0"/>
    <x v="1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x v="0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59877.42984650948"/>
    <n v="0"/>
    <n v="0"/>
    <n v="0"/>
    <n v="0"/>
    <n v="0"/>
    <n v="659877.42984650948"/>
    <n v="0"/>
    <n v="0"/>
    <n v="0"/>
    <n v="659877.42984650948"/>
    <n v="0"/>
    <n v="9.5639789955469166"/>
    <n v="0"/>
    <n v="9.5639789955469166"/>
    <n v="0"/>
    <n v="326364.3788449195"/>
    <n v="0"/>
    <n v="326364.3788449195"/>
    <x v="0"/>
  </r>
  <r>
    <x v="47"/>
    <s v=""/>
    <n v="0"/>
    <x v="2"/>
    <s v="Østdanmark"/>
    <n v="191018.35234338022"/>
    <n v="0"/>
    <n v="0"/>
    <n v="0"/>
    <n v="0"/>
    <n v="0"/>
    <n v="0"/>
    <n v="191018.3523433802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727176.60524954333"/>
    <n v="55111.238296058225"/>
    <n v="0"/>
    <n v="43439.71273733316"/>
    <n v="0"/>
    <n v="0"/>
    <n v="0"/>
    <n v="0"/>
    <n v="628625.65421615192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  <n v="0"/>
    <x v="1"/>
  </r>
  <r>
    <x v="3"/>
    <s v=""/>
    <n v="1"/>
    <x v="1"/>
    <s v="Vestdanmark"/>
    <n v="457820219.41578245"/>
    <n v="0"/>
    <n v="0"/>
    <n v="0"/>
    <n v="0"/>
    <n v="0"/>
    <n v="457820219.41578245"/>
    <n v="0"/>
    <n v="0"/>
    <n v="0"/>
    <n v="457820219.41578245"/>
    <n v="0"/>
    <n v="0"/>
    <n v="0"/>
    <n v="0"/>
    <n v="0"/>
    <n v="0"/>
    <n v="0"/>
    <n v="0"/>
    <n v="0"/>
    <x v="1"/>
  </r>
  <r>
    <x v="4"/>
    <s v=""/>
    <n v="0"/>
    <x v="1"/>
    <s v="Vestdanmark"/>
    <n v="15445153.978132175"/>
    <n v="0"/>
    <n v="0"/>
    <n v="0"/>
    <n v="0"/>
    <n v="12109903.871574569"/>
    <n v="0"/>
    <n v="0"/>
    <n v="3335250.10655760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n v="0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n v="0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34673.59009641467"/>
    <n v="0"/>
    <n v="0"/>
    <n v="0"/>
    <n v="0"/>
    <n v="0"/>
    <n v="0"/>
    <n v="0"/>
    <n v="934673.59009641467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051.16059114927"/>
    <n v="0"/>
    <n v="0"/>
    <n v="257923.29437791562"/>
    <n v="0"/>
    <n v="0"/>
    <n v="0"/>
    <n v="0"/>
    <n v="-230872.13378676635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0794528.482848618"/>
    <n v="10194486.876003446"/>
    <n v="0"/>
    <n v="0"/>
    <n v="0"/>
    <n v="0"/>
    <n v="0"/>
    <n v="1966958.8877732051"/>
    <n v="-1366917.2809280325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059391.2530405498"/>
    <n v="0"/>
    <n v="0"/>
    <n v="270140.71358529059"/>
    <n v="0"/>
    <n v="0"/>
    <n v="0"/>
    <n v="0"/>
    <n v="789250.53945525922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253360.2886747755"/>
    <n v="594794.43348335079"/>
    <n v="619528.66726912896"/>
    <n v="0"/>
    <n v="576627.94121745997"/>
    <n v="0"/>
    <n v="102016.78344392357"/>
    <n v="360392.46326091245"/>
    <n v="0"/>
    <n v="0"/>
    <n v="678644.72466138355"/>
    <n v="0"/>
    <n v="4.3789971772247176"/>
    <n v="3.3245714602069145"/>
    <n v="1.0544257170178031"/>
    <n v="0"/>
    <n v="576848.01596217602"/>
    <n v="490133.75003484095"/>
    <n v="86714.265927335073"/>
    <n v="0"/>
    <x v="1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  <n v="0"/>
    <x v="0"/>
  </r>
  <r>
    <x v="20"/>
    <s v=""/>
    <n v="0"/>
    <x v="1"/>
    <s v="Vestdanmark"/>
    <n v="600779.78805833985"/>
    <n v="0"/>
    <n v="0"/>
    <n v="0"/>
    <n v="0"/>
    <n v="0"/>
    <n v="0"/>
    <n v="0"/>
    <n v="600779.78805833985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483151.0584480518"/>
    <n v="0"/>
    <n v="0"/>
    <n v="123531.68309679118"/>
    <n v="0"/>
    <n v="0"/>
    <n v="0"/>
    <n v="0"/>
    <n v="1359619.375351260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620675.8964980748"/>
    <n v="5024222.9237584407"/>
    <n v="0"/>
    <n v="295933.04302308214"/>
    <n v="0"/>
    <n v="0"/>
    <n v="0"/>
    <n v="0"/>
    <n v="-699480.07028344832"/>
    <n v="0"/>
    <n v="0"/>
    <n v="0"/>
    <n v="0"/>
    <n v="0"/>
    <n v="0"/>
    <n v="0"/>
    <n v="0"/>
    <n v="0"/>
    <n v="0"/>
    <n v="1"/>
    <x v="1"/>
  </r>
  <r>
    <x v="23"/>
    <s v=""/>
    <n v="0"/>
    <x v="1"/>
    <s v="Vestdanmark"/>
    <n v="0"/>
    <n v="0"/>
    <n v="0"/>
    <n v="0"/>
    <n v="0"/>
    <n v="834325.2553194433"/>
    <n v="0"/>
    <n v="0"/>
    <n v="-834325.255319443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n v="0"/>
    <x v="1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179524.3810275476"/>
    <n v="4906538.3992409762"/>
    <n v="0"/>
    <n v="0"/>
    <n v="0"/>
    <n v="0"/>
    <n v="0"/>
    <n v="0"/>
    <n v="-727014.01821342856"/>
    <n v="0"/>
    <n v="0"/>
    <n v="0"/>
    <n v="0"/>
    <n v="0"/>
    <n v="0"/>
    <n v="0"/>
    <n v="0"/>
    <n v="0"/>
    <n v="0"/>
    <n v="1"/>
    <x v="1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n v="0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317768.395568013"/>
    <n v="0"/>
    <n v="0"/>
    <n v="0"/>
    <n v="0"/>
    <n v="0"/>
    <n v="0"/>
    <n v="0"/>
    <n v="1317768.3955680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5748.23741197774"/>
    <n v="0"/>
    <n v="0"/>
    <n v="0"/>
    <n v="0"/>
    <n v="0"/>
    <n v="125748.23741197774"/>
    <n v="0"/>
    <n v="0"/>
    <n v="0"/>
    <n v="125748.23741197774"/>
    <n v="0"/>
    <n v="2.3137675683803898"/>
    <n v="0"/>
    <n v="2.3137675683803898"/>
    <n v="0"/>
    <n v="52185.518525970765"/>
    <n v="0"/>
    <n v="52185.518525970765"/>
    <n v="0"/>
    <x v="1"/>
  </r>
  <r>
    <x v="32"/>
    <s v="Pyrolyseprodukter"/>
    <n v="1"/>
    <x v="1"/>
    <s v="Vestdanmark"/>
    <n v="201819.779426111"/>
    <n v="0"/>
    <n v="0"/>
    <n v="0"/>
    <n v="0"/>
    <n v="0"/>
    <n v="201819.779426111"/>
    <n v="0"/>
    <n v="0"/>
    <n v="0"/>
    <n v="201819.779426111"/>
    <n v="0"/>
    <n v="1.8085935376285627"/>
    <n v="0"/>
    <n v="1.8085935376285627"/>
    <n v="0"/>
    <n v="0"/>
    <n v="0"/>
    <n v="0"/>
    <n v="0"/>
    <x v="1"/>
  </r>
  <r>
    <x v="33"/>
    <s v="Pyrolyseprodukter"/>
    <n v="1"/>
    <x v="1"/>
    <s v="Vestdanmark"/>
    <n v="50454.944856527749"/>
    <n v="0"/>
    <n v="0"/>
    <n v="0"/>
    <n v="0"/>
    <n v="0"/>
    <n v="50454.944856527749"/>
    <n v="0"/>
    <n v="0"/>
    <n v="0"/>
    <n v="50454.944856527749"/>
    <n v="0"/>
    <n v="1.6785639368840255"/>
    <n v="0"/>
    <n v="1.6785639368840255"/>
    <n v="0"/>
    <n v="0"/>
    <n v="0"/>
    <n v="0"/>
    <n v="0"/>
    <x v="1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47330.59058373148"/>
    <n v="0"/>
    <n v="0"/>
    <n v="0"/>
    <n v="0"/>
    <n v="0"/>
    <n v="0"/>
    <n v="447330.59058373148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23665.29529186574"/>
    <n v="224187.19428812375"/>
    <n v="0"/>
    <n v="0"/>
    <n v="0"/>
    <n v="0"/>
    <n v="0"/>
    <n v="0"/>
    <n v="-521.898996258008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3145.78898679407"/>
    <n v="0"/>
    <n v="0"/>
    <n v="0"/>
    <n v="0"/>
    <n v="0"/>
    <n v="143145.78898679407"/>
    <n v="0"/>
    <n v="0"/>
    <n v="0"/>
    <n v="143145.78898679407"/>
    <n v="0"/>
    <n v="5.010102614537792"/>
    <n v="0"/>
    <n v="5.010102614537792"/>
    <n v="0"/>
    <n v="0"/>
    <n v="0"/>
    <n v="0"/>
    <n v="0"/>
    <x v="1"/>
  </r>
  <r>
    <x v="38"/>
    <s v="Græs og urter"/>
    <n v="1"/>
    <x v="1"/>
    <s v="Vestdanmark"/>
    <n v="1674738.7828463221"/>
    <n v="1558650.6941574311"/>
    <n v="0"/>
    <n v="0"/>
    <n v="0"/>
    <n v="0"/>
    <n v="0"/>
    <n v="0"/>
    <n v="116088.08868889092"/>
    <n v="116088.08868889092"/>
    <n v="0"/>
    <n v="0.31506771622519752"/>
    <n v="0.31506771622519752"/>
    <n v="0"/>
    <n v="0.31506771622519752"/>
    <n v="23217.617737778186"/>
    <n v="23217.617737778186"/>
    <n v="0"/>
    <n v="23217.617737778186"/>
    <n v="0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n v="0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n v="0"/>
    <x v="1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45425.4149825461"/>
    <n v="0"/>
    <n v="0"/>
    <n v="0"/>
    <n v="0"/>
    <n v="0"/>
    <n v="2245425.4149825461"/>
    <n v="0"/>
    <n v="0"/>
    <n v="0"/>
    <n v="2245425.4149825461"/>
    <n v="0"/>
    <n v="32.54422796360155"/>
    <n v="0"/>
    <n v="32.54422796360155"/>
    <n v="0"/>
    <n v="1110549.9864934508"/>
    <n v="0"/>
    <n v="1110549.9864934508"/>
    <n v="0"/>
    <x v="1"/>
  </r>
  <r>
    <x v="47"/>
    <s v=""/>
    <n v="0"/>
    <x v="1"/>
    <s v="Vestdanmark"/>
    <n v="619954.02327913279"/>
    <n v="0"/>
    <n v="0"/>
    <n v="0"/>
    <n v="0"/>
    <n v="0"/>
    <n v="0"/>
    <n v="619954.0232791327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607983.4991327466"/>
    <n v="45724.00111692449"/>
    <n v="0"/>
    <n v="90266.583697186172"/>
    <n v="0"/>
    <n v="0"/>
    <n v="0"/>
    <n v="0"/>
    <n v="471992.9143186359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  <n v="0"/>
    <x v="1"/>
  </r>
  <r>
    <x v="3"/>
    <s v=""/>
    <n v="1"/>
    <x v="2"/>
    <s v="Vestdanmark"/>
    <n v="466482738.63204789"/>
    <n v="0"/>
    <n v="0"/>
    <n v="0"/>
    <n v="0"/>
    <n v="0"/>
    <n v="466482738.63204789"/>
    <n v="0"/>
    <n v="0"/>
    <n v="0"/>
    <n v="466482738.63204789"/>
    <n v="0"/>
    <n v="0"/>
    <n v="0"/>
    <n v="0"/>
    <n v="0"/>
    <n v="0"/>
    <n v="0"/>
    <n v="0"/>
    <n v="0"/>
    <x v="1"/>
  </r>
  <r>
    <x v="4"/>
    <s v=""/>
    <n v="0"/>
    <x v="2"/>
    <s v="Vestdanmark"/>
    <n v="18989693.857730396"/>
    <n v="0"/>
    <n v="0"/>
    <n v="0"/>
    <n v="0"/>
    <n v="13973217.723939186"/>
    <n v="0"/>
    <n v="0"/>
    <n v="5016476.133791210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n v="0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n v="0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45200.56894188409"/>
    <n v="0"/>
    <n v="0"/>
    <n v="0"/>
    <n v="0"/>
    <n v="0"/>
    <n v="0"/>
    <n v="0"/>
    <n v="745200.5689418840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2253.038843092927"/>
    <n v="0"/>
    <n v="0"/>
    <n v="267978.92035102146"/>
    <n v="0"/>
    <n v="0"/>
    <n v="0"/>
    <n v="0"/>
    <n v="-245725.88150792854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9332872.9907836542"/>
    <n v="8458034.0365568101"/>
    <n v="0"/>
    <n v="0"/>
    <n v="0"/>
    <n v="0"/>
    <n v="0"/>
    <n v="2651872.9008556642"/>
    <n v="-1777033.9466288202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161598.8495775687"/>
    <n v="0"/>
    <n v="0"/>
    <n v="280672.65868343826"/>
    <n v="0"/>
    <n v="0"/>
    <n v="0"/>
    <n v="0"/>
    <n v="880926.19089413038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984585.7461565437"/>
    <n v="493481.5870918"/>
    <n v="510108.16462498211"/>
    <n v="0"/>
    <n v="174056.00966953213"/>
    <n v="0"/>
    <n v="110715.94609210105"/>
    <n v="696224.03867812862"/>
    <n v="0"/>
    <n v="0"/>
    <n v="284771.95576163317"/>
    <n v="0"/>
    <n v="2.1478654634520709"/>
    <n v="1.0035268859900743"/>
    <n v="1.1443385774619965"/>
    <n v="0"/>
    <n v="242056.16239738819"/>
    <n v="147947.60821910232"/>
    <n v="94108.554178285878"/>
    <n v="0"/>
    <x v="1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  <n v="0"/>
    <x v="0"/>
  </r>
  <r>
    <x v="20"/>
    <s v=""/>
    <n v="0"/>
    <x v="2"/>
    <s v="Vestdanmark"/>
    <n v="489757.41882038367"/>
    <n v="0"/>
    <n v="0"/>
    <n v="0"/>
    <n v="0"/>
    <n v="0"/>
    <n v="0"/>
    <n v="0"/>
    <n v="489757.41882038367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200677.4719421556"/>
    <n v="0"/>
    <n v="0"/>
    <n v="128347.79869443661"/>
    <n v="0"/>
    <n v="0"/>
    <n v="0"/>
    <n v="0"/>
    <n v="1072329.67324771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780840.3396516475"/>
    <n v="4168434.2736686366"/>
    <n v="0"/>
    <n v="307470.55071854044"/>
    <n v="0"/>
    <n v="0"/>
    <n v="0"/>
    <n v="0"/>
    <n v="-695064.4847355294"/>
    <n v="0"/>
    <n v="0"/>
    <n v="0"/>
    <n v="0"/>
    <n v="0"/>
    <n v="0"/>
    <n v="0"/>
    <n v="0"/>
    <n v="0"/>
    <n v="0"/>
    <n v="1"/>
    <x v="1"/>
  </r>
  <r>
    <x v="23"/>
    <s v=""/>
    <n v="0"/>
    <x v="2"/>
    <s v="Vestdanmark"/>
    <n v="0"/>
    <n v="0"/>
    <n v="0"/>
    <n v="0"/>
    <n v="0"/>
    <n v="955150.82029111753"/>
    <n v="0"/>
    <n v="0"/>
    <n v="-955150.8202911175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n v="0"/>
    <x v="1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376366.5569012994"/>
    <n v="4070795.253083135"/>
    <n v="0"/>
    <n v="0"/>
    <n v="0"/>
    <n v="0"/>
    <n v="0"/>
    <n v="0"/>
    <n v="-694428.69618183561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n v="0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75904.2363814465"/>
    <n v="0"/>
    <n v="0"/>
    <n v="0"/>
    <n v="0"/>
    <n v="0"/>
    <n v="0"/>
    <n v="0"/>
    <n v="1075904.236381446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1869.864613650177"/>
    <n v="0"/>
    <n v="0"/>
    <n v="0"/>
    <n v="0"/>
    <n v="0"/>
    <n v="91869.864613650177"/>
    <n v="0"/>
    <n v="0"/>
    <n v="0"/>
    <n v="91869.864613650177"/>
    <n v="0"/>
    <n v="1.6904055088911629"/>
    <n v="0"/>
    <n v="1.6904055088911629"/>
    <n v="0"/>
    <n v="38125.993814664827"/>
    <n v="0"/>
    <n v="38125.993814664827"/>
    <n v="0"/>
    <x v="1"/>
  </r>
  <r>
    <x v="32"/>
    <s v="Pyrolyseprodukter"/>
    <n v="1"/>
    <x v="2"/>
    <s v="Vestdanmark"/>
    <n v="389885.46165975207"/>
    <n v="0"/>
    <n v="0"/>
    <n v="0"/>
    <n v="0"/>
    <n v="0"/>
    <n v="389885.46165975207"/>
    <n v="0"/>
    <n v="0"/>
    <n v="0"/>
    <n v="389885.46165975207"/>
    <n v="0"/>
    <n v="3.4939307157023198"/>
    <n v="0"/>
    <n v="3.4939307157023198"/>
    <n v="0"/>
    <n v="0"/>
    <n v="0"/>
    <n v="0"/>
    <n v="0"/>
    <x v="1"/>
  </r>
  <r>
    <x v="33"/>
    <s v="Pyrolyseprodukter"/>
    <n v="1"/>
    <x v="2"/>
    <s v="Vestdanmark"/>
    <n v="97471.365414938016"/>
    <n v="0"/>
    <n v="0"/>
    <n v="0"/>
    <n v="0"/>
    <n v="0"/>
    <n v="97471.365414938016"/>
    <n v="0"/>
    <n v="0"/>
    <n v="0"/>
    <n v="97471.365414938016"/>
    <n v="0"/>
    <n v="3.2427330825472511"/>
    <n v="0"/>
    <n v="3.2427330825472511"/>
    <n v="0"/>
    <n v="0"/>
    <n v="0"/>
    <n v="0"/>
    <n v="0"/>
    <x v="1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9709.90203897492"/>
    <n v="0"/>
    <n v="0"/>
    <n v="0"/>
    <n v="0"/>
    <n v="0"/>
    <n v="0"/>
    <n v="369709.902038974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854.95101948746"/>
    <n v="186000.82014059028"/>
    <n v="0"/>
    <n v="0"/>
    <n v="0"/>
    <n v="0"/>
    <n v="0"/>
    <n v="0"/>
    <n v="-1145.869121102819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8307.16865247197"/>
    <n v="0"/>
    <n v="0"/>
    <n v="0"/>
    <n v="0"/>
    <n v="0"/>
    <n v="118307.16865247197"/>
    <n v="0"/>
    <n v="0"/>
    <n v="0"/>
    <n v="118307.16865247197"/>
    <n v="0"/>
    <n v="4.1407509028365181"/>
    <n v="0"/>
    <n v="4.1407509028365181"/>
    <n v="0"/>
    <n v="0"/>
    <n v="0"/>
    <n v="0"/>
    <n v="0"/>
    <x v="1"/>
  </r>
  <r>
    <x v="38"/>
    <s v="Græs og urter"/>
    <n v="1"/>
    <x v="2"/>
    <s v="Vestdanmark"/>
    <n v="4196120.6064453982"/>
    <n v="5234226.1839023503"/>
    <n v="0"/>
    <n v="0"/>
    <n v="0"/>
    <n v="0"/>
    <n v="0"/>
    <n v="0"/>
    <n v="-1038105.5774569521"/>
    <n v="0"/>
    <n v="0"/>
    <n v="0"/>
    <n v="0"/>
    <n v="0"/>
    <n v="0"/>
    <n v="0"/>
    <n v="0"/>
    <n v="0"/>
    <n v="0"/>
    <n v="1"/>
    <x v="1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n v="0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n v="0"/>
    <x v="1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83381.268758419"/>
    <n v="0"/>
    <n v="0"/>
    <n v="0"/>
    <n v="0"/>
    <n v="0"/>
    <n v="2583381.268758419"/>
    <n v="0"/>
    <n v="0"/>
    <n v="0"/>
    <n v="2583381.268758419"/>
    <n v="0"/>
    <n v="37.44241441572251"/>
    <n v="0"/>
    <n v="37.44241441572251"/>
    <n v="0"/>
    <n v="1277697.3191734347"/>
    <n v="0"/>
    <n v="1277697.3191734347"/>
    <n v="0"/>
    <x v="1"/>
  </r>
  <r>
    <x v="47"/>
    <s v=""/>
    <n v="0"/>
    <x v="2"/>
    <s v="Vestdanmark"/>
    <n v="785631.25546720112"/>
    <n v="0"/>
    <n v="0"/>
    <n v="0"/>
    <n v="0"/>
    <n v="0"/>
    <n v="0"/>
    <n v="785631.25546720112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4490.9983006705"/>
    <n v="6753.2568750969058"/>
    <n v="0"/>
    <n v="37612.453499504722"/>
    <n v="0"/>
    <n v="0"/>
    <n v="0"/>
    <n v="0"/>
    <n v="190125.2879260688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  <n v="0"/>
    <x v="1"/>
  </r>
  <r>
    <x v="3"/>
    <s v=""/>
    <n v="1"/>
    <x v="1"/>
    <s v="Østdanmark"/>
    <n v="129267393.81214702"/>
    <n v="0"/>
    <n v="0"/>
    <n v="0"/>
    <n v="0"/>
    <n v="0"/>
    <n v="129267393.81214702"/>
    <n v="0"/>
    <n v="0"/>
    <n v="0"/>
    <n v="129267393.81214702"/>
    <n v="0"/>
    <n v="0"/>
    <n v="0"/>
    <n v="0"/>
    <n v="0"/>
    <n v="0"/>
    <n v="0"/>
    <n v="0"/>
    <n v="0"/>
    <x v="1"/>
  </r>
  <r>
    <x v="4"/>
    <s v=""/>
    <n v="0"/>
    <x v="1"/>
    <s v="Østdanmark"/>
    <n v="3467141.0325447312"/>
    <n v="0"/>
    <n v="0"/>
    <n v="0"/>
    <n v="0"/>
    <n v="2718441.3099898444"/>
    <n v="0"/>
    <n v="0"/>
    <n v="748699.7225548867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n v="0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n v="0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03347.80329829425"/>
    <n v="0"/>
    <n v="0"/>
    <n v="0"/>
    <n v="0"/>
    <n v="0"/>
    <n v="0"/>
    <n v="0"/>
    <n v="303347.8032982942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8757.5019871599998"/>
    <n v="0"/>
    <n v="0"/>
    <n v="223323.94265330929"/>
    <n v="0"/>
    <n v="0"/>
    <n v="0"/>
    <n v="0"/>
    <n v="-214566.44066614928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173668.3039375409"/>
    <n v="1249218.6841023962"/>
    <n v="0"/>
    <n v="0"/>
    <n v="0"/>
    <n v="0"/>
    <n v="0"/>
    <n v="241028.49151254582"/>
    <n v="1683421.1283225988"/>
    <n v="316503.84739456628"/>
    <n v="0"/>
    <n v="0.58232751622507772"/>
    <n v="0.58232751622507772"/>
    <n v="0"/>
    <n v="0.58232751622507772"/>
    <n v="88621.077270478563"/>
    <n v="88621.077270478563"/>
    <n v="0"/>
    <n v="88621.077270478563"/>
    <n v="0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344573.5889961003"/>
    <n v="0"/>
    <n v="0"/>
    <n v="233902.44520004498"/>
    <n v="0"/>
    <n v="0"/>
    <n v="0"/>
    <n v="0"/>
    <n v="110671.14379605532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721034.83397446794"/>
    <n v="72885.308357843693"/>
    <n v="88127.0144073915"/>
    <n v="0"/>
    <n v="223372.05878254003"/>
    <n v="0"/>
    <n v="197042.91568760504"/>
    <n v="139607.53673908752"/>
    <n v="0"/>
    <n v="0"/>
    <n v="420414.97447014507"/>
    <n v="0"/>
    <n v="3.3244579568385526"/>
    <n v="1.287860539793086"/>
    <n v="2.0365974170454666"/>
    <n v="0"/>
    <n v="357352.7282996233"/>
    <n v="189866.24996515902"/>
    <n v="167486.47833446428"/>
    <n v="0"/>
    <x v="1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  <n v="0"/>
    <x v="0"/>
  </r>
  <r>
    <x v="20"/>
    <s v=""/>
    <n v="0"/>
    <x v="1"/>
    <s v="Østdanmark"/>
    <n v="190343.70675886245"/>
    <n v="0"/>
    <n v="0"/>
    <n v="0"/>
    <n v="0"/>
    <n v="0"/>
    <n v="0"/>
    <n v="0"/>
    <n v="190343.70675886245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63859.66299016302"/>
    <n v="0"/>
    <n v="0"/>
    <n v="106960.41463921656"/>
    <n v="0"/>
    <n v="0"/>
    <n v="0"/>
    <n v="0"/>
    <n v="356899.24835094647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473133.2886241353"/>
    <n v="615661.50663535297"/>
    <n v="0"/>
    <n v="256234.83946537593"/>
    <n v="0"/>
    <n v="0"/>
    <n v="0"/>
    <n v="0"/>
    <n v="601236.94252340635"/>
    <n v="0"/>
    <n v="0"/>
    <n v="0"/>
    <n v="0"/>
    <n v="0"/>
    <n v="0"/>
    <n v="0"/>
    <n v="0"/>
    <n v="0"/>
    <n v="0"/>
    <n v="1"/>
    <x v="1"/>
  </r>
  <r>
    <x v="23"/>
    <s v=""/>
    <n v="0"/>
    <x v="1"/>
    <s v="Østdanmark"/>
    <n v="0"/>
    <n v="0"/>
    <n v="0"/>
    <n v="0"/>
    <n v="0"/>
    <n v="430788.56398807897"/>
    <n v="0"/>
    <n v="0"/>
    <n v="-430788.5639880789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n v="0"/>
    <x v="1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90222.2157088669"/>
    <n v="601240.60358794441"/>
    <n v="0"/>
    <n v="0"/>
    <n v="0"/>
    <n v="0"/>
    <n v="0"/>
    <n v="0"/>
    <n v="688981.61212092254"/>
    <n v="0"/>
    <n v="0"/>
    <n v="0"/>
    <n v="0"/>
    <n v="0"/>
    <n v="0"/>
    <n v="0"/>
    <n v="0"/>
    <n v="0"/>
    <n v="0"/>
    <n v="1"/>
    <x v="1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n v="0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9046.55891779787"/>
    <n v="0"/>
    <n v="0"/>
    <n v="0"/>
    <n v="0"/>
    <n v="0"/>
    <n v="0"/>
    <n v="0"/>
    <n v="419046.5589177978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172.011339871715"/>
    <n v="0"/>
    <n v="0"/>
    <n v="0"/>
    <n v="0"/>
    <n v="0"/>
    <n v="37172.011339871715"/>
    <n v="0"/>
    <n v="0"/>
    <n v="0"/>
    <n v="37172.011339871715"/>
    <n v="0"/>
    <n v="0.68396500865363941"/>
    <n v="0"/>
    <n v="0.68396500865363941"/>
    <n v="0"/>
    <n v="15426.384706046763"/>
    <n v="0"/>
    <n v="15426.384706046763"/>
    <n v="0"/>
    <x v="1"/>
  </r>
  <r>
    <x v="32"/>
    <s v="Pyrolyseprodukter"/>
    <n v="1"/>
    <x v="1"/>
    <s v="Østdanmark"/>
    <n v="78180.220573889019"/>
    <n v="0"/>
    <n v="0"/>
    <n v="0"/>
    <n v="0"/>
    <n v="0"/>
    <n v="78180.220573889019"/>
    <n v="0"/>
    <n v="0"/>
    <n v="0"/>
    <n v="78180.220573889019"/>
    <n v="0"/>
    <n v="0.70060646237143664"/>
    <n v="0"/>
    <n v="0.70060646237143664"/>
    <n v="0"/>
    <n v="0"/>
    <n v="0"/>
    <n v="0"/>
    <n v="0"/>
    <x v="1"/>
  </r>
  <r>
    <x v="33"/>
    <s v="Pyrolyseprodukter"/>
    <n v="1"/>
    <x v="1"/>
    <s v="Østdanmark"/>
    <n v="19545.055143472255"/>
    <n v="0"/>
    <n v="0"/>
    <n v="0"/>
    <n v="0"/>
    <n v="0"/>
    <n v="19545.055143472255"/>
    <n v="0"/>
    <n v="0"/>
    <n v="0"/>
    <n v="19545.055143472255"/>
    <n v="0"/>
    <n v="0.65023606311597393"/>
    <n v="0"/>
    <n v="0.65023606311597393"/>
    <n v="0"/>
    <n v="0"/>
    <n v="0"/>
    <n v="0"/>
    <n v="0"/>
    <x v="1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44105.21712938134"/>
    <n v="0"/>
    <n v="0"/>
    <n v="0"/>
    <n v="0"/>
    <n v="0"/>
    <n v="0"/>
    <n v="144105.2171293813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2052.608564690672"/>
    <n v="27471.596682363863"/>
    <n v="0"/>
    <n v="0"/>
    <n v="0"/>
    <n v="0"/>
    <n v="0"/>
    <n v="0"/>
    <n v="44581.011882326813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113.66948140203"/>
    <n v="0"/>
    <n v="0"/>
    <n v="0"/>
    <n v="0"/>
    <n v="0"/>
    <n v="46113.66948140203"/>
    <n v="0"/>
    <n v="0"/>
    <n v="0"/>
    <n v="46113.66948140203"/>
    <n v="0"/>
    <n v="1.6139784318490709"/>
    <n v="0"/>
    <n v="1.6139784318490709"/>
    <n v="0"/>
    <n v="0"/>
    <n v="0"/>
    <n v="0"/>
    <n v="0"/>
    <x v="1"/>
  </r>
  <r>
    <x v="38"/>
    <s v="Græs og urter"/>
    <n v="1"/>
    <x v="1"/>
    <s v="Østdanmark"/>
    <n v="551863.24646888149"/>
    <n v="190994.95568667154"/>
    <n v="0"/>
    <n v="0"/>
    <n v="0"/>
    <n v="0"/>
    <n v="0"/>
    <n v="0"/>
    <n v="360868.29078220995"/>
    <n v="360868.29078220995"/>
    <n v="0"/>
    <n v="0.97941097591454906"/>
    <n v="0.97941097591454906"/>
    <n v="0"/>
    <n v="0.97941097591454906"/>
    <n v="72173.65815644199"/>
    <n v="72173.65815644199"/>
    <n v="0"/>
    <n v="72173.65815644199"/>
    <n v="0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n v="0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n v="0"/>
    <x v="1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50272.33920049365"/>
    <n v="0"/>
    <n v="0"/>
    <n v="0"/>
    <n v="0"/>
    <n v="0"/>
    <n v="650272.33920049365"/>
    <n v="0"/>
    <n v="0"/>
    <n v="0"/>
    <n v="650272.33920049365"/>
    <n v="0"/>
    <n v="9.4247669524706943"/>
    <n v="0"/>
    <n v="9.4247669524706943"/>
    <n v="0"/>
    <n v="321613.86109624413"/>
    <n v="0"/>
    <n v="321613.86109624413"/>
    <n v="0"/>
    <x v="1"/>
  </r>
  <r>
    <x v="47"/>
    <s v=""/>
    <n v="0"/>
    <x v="1"/>
    <s v="Østdanmark"/>
    <n v="179118.88010894318"/>
    <n v="0"/>
    <n v="0"/>
    <n v="0"/>
    <n v="0"/>
    <n v="0"/>
    <n v="0"/>
    <n v="179118.88010894318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19276.19795697337"/>
    <n v="5589.8969964537146"/>
    <n v="0"/>
    <n v="78752.00538693853"/>
    <n v="0"/>
    <n v="0"/>
    <n v="0"/>
    <n v="0"/>
    <n v="134934.2955735811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  <n v="0"/>
    <x v="1"/>
  </r>
  <r>
    <x v="3"/>
    <s v=""/>
    <n v="1"/>
    <x v="2"/>
    <s v="Østdanmark"/>
    <n v="127014615.47386032"/>
    <n v="0"/>
    <n v="0"/>
    <n v="0"/>
    <n v="0"/>
    <n v="0"/>
    <n v="127014615.47386032"/>
    <n v="0"/>
    <n v="0"/>
    <n v="0"/>
    <n v="127014615.47386032"/>
    <n v="0"/>
    <n v="0"/>
    <n v="0"/>
    <n v="0"/>
    <n v="0"/>
    <n v="0"/>
    <n v="0"/>
    <n v="0"/>
    <n v="0"/>
    <x v="1"/>
  </r>
  <r>
    <x v="4"/>
    <s v=""/>
    <n v="0"/>
    <x v="2"/>
    <s v="Østdanmark"/>
    <n v="4548505.6401664391"/>
    <n v="0"/>
    <n v="0"/>
    <n v="0"/>
    <n v="0"/>
    <n v="3346934.4005636992"/>
    <n v="0"/>
    <n v="0"/>
    <n v="1201571.239602739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n v="0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n v="0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68765.10251682362"/>
    <n v="0"/>
    <n v="0"/>
    <n v="0"/>
    <n v="0"/>
    <n v="0"/>
    <n v="0"/>
    <n v="0"/>
    <n v="268765.1025168236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025.8128016018145"/>
    <n v="0"/>
    <n v="0"/>
    <n v="233795.01599247381"/>
    <n v="0"/>
    <n v="0"/>
    <n v="0"/>
    <n v="0"/>
    <n v="-225769.20319087201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3366007.3149247444"/>
    <n v="1034020.1623202205"/>
    <n v="0"/>
    <n v="0"/>
    <n v="0"/>
    <n v="0"/>
    <n v="0"/>
    <n v="324199.45764508267"/>
    <n v="2007787.6949594412"/>
    <n v="230753.74833062105"/>
    <n v="0"/>
    <n v="0.4245580527098014"/>
    <n v="0.4245580527098014"/>
    <n v="0"/>
    <n v="0.4245580527098014"/>
    <n v="64611.049532573903"/>
    <n v="64611.049532573903"/>
    <n v="0"/>
    <n v="64611.049532573903"/>
    <n v="0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18943.90168465767"/>
    <n v="0"/>
    <n v="0"/>
    <n v="244869.51675001203"/>
    <n v="0"/>
    <n v="0"/>
    <n v="0"/>
    <n v="0"/>
    <n v="174074.38493464564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715763.53232868738"/>
    <n v="60329.611891042863"/>
    <n v="72420.556657070294"/>
    <n v="0"/>
    <n v="75943.990330467859"/>
    <n v="0"/>
    <n v="203293.41212823492"/>
    <n v="303775.96132187144"/>
    <n v="0"/>
    <n v="0"/>
    <n v="279237.4024587028"/>
    <n v="0"/>
    <n v="2.5390594517891913"/>
    <n v="0.43785811400992569"/>
    <n v="2.1012013377792655"/>
    <n v="0"/>
    <n v="237351.79208989738"/>
    <n v="64552.391780897677"/>
    <n v="172799.4003089997"/>
    <n v="0"/>
    <x v="1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  <n v="0"/>
    <x v="0"/>
  </r>
  <r>
    <x v="20"/>
    <s v=""/>
    <n v="0"/>
    <x v="2"/>
    <s v="Østdanmark"/>
    <n v="176636.61081812825"/>
    <n v="0"/>
    <n v="0"/>
    <n v="0"/>
    <n v="0"/>
    <n v="0"/>
    <n v="0"/>
    <n v="0"/>
    <n v="176636.6108181282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33038.05349260336"/>
    <n v="0"/>
    <n v="0"/>
    <n v="111975.50765955324"/>
    <n v="0"/>
    <n v="0"/>
    <n v="0"/>
    <n v="0"/>
    <n v="321062.545833050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363603.2819044513"/>
    <n v="509603.65797187964"/>
    <n v="0"/>
    <n v="268249.01834925939"/>
    <n v="0"/>
    <n v="0"/>
    <n v="0"/>
    <n v="0"/>
    <n v="585750.60558331222"/>
    <n v="0"/>
    <n v="0"/>
    <n v="0"/>
    <n v="0"/>
    <n v="0"/>
    <n v="0"/>
    <n v="0"/>
    <n v="0"/>
    <n v="0"/>
    <n v="0"/>
    <n v="1"/>
    <x v="1"/>
  </r>
  <r>
    <x v="23"/>
    <s v=""/>
    <n v="0"/>
    <x v="2"/>
    <s v="Østdanmark"/>
    <n v="0"/>
    <n v="0"/>
    <n v="0"/>
    <n v="0"/>
    <n v="0"/>
    <n v="472604.98553143517"/>
    <n v="0"/>
    <n v="0"/>
    <n v="-472604.9855314351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n v="0"/>
    <x v="1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217725.1891909407"/>
    <n v="497666.99331928522"/>
    <n v="0"/>
    <n v="0"/>
    <n v="0"/>
    <n v="0"/>
    <n v="0"/>
    <n v="0"/>
    <n v="720058.19587165548"/>
    <n v="25629.499689819873"/>
    <n v="0"/>
    <n v="9.2009903886453359E-2"/>
    <n v="9.2009903886453359E-2"/>
    <n v="0"/>
    <n v="9.2009903886453359E-2"/>
    <n v="7688.8499069459613"/>
    <n v="7688.8499069459613"/>
    <n v="0"/>
    <n v="7688.8499069459613"/>
    <n v="0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n v="0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88037.15998222143"/>
    <n v="0"/>
    <n v="0"/>
    <n v="0"/>
    <n v="0"/>
    <n v="0"/>
    <n v="0"/>
    <n v="0"/>
    <n v="388037.15998222143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133.916706684649"/>
    <n v="0"/>
    <n v="0"/>
    <n v="0"/>
    <n v="0"/>
    <n v="0"/>
    <n v="33133.916706684649"/>
    <n v="0"/>
    <n v="0"/>
    <n v="0"/>
    <n v="33133.916706684649"/>
    <n v="0"/>
    <n v="0.60966406740299739"/>
    <n v="0"/>
    <n v="0.60966406740299739"/>
    <n v="0"/>
    <n v="13750.575433274131"/>
    <n v="0"/>
    <n v="13750.575433274131"/>
    <n v="0"/>
    <x v="1"/>
  </r>
  <r>
    <x v="32"/>
    <s v="Pyrolyseprodukter"/>
    <n v="1"/>
    <x v="2"/>
    <s v="Østdanmark"/>
    <n v="170114.53834024802"/>
    <n v="0"/>
    <n v="0"/>
    <n v="0"/>
    <n v="0"/>
    <n v="0"/>
    <n v="170114.53834024802"/>
    <n v="0"/>
    <n v="0"/>
    <n v="0"/>
    <n v="170114.53834024802"/>
    <n v="0"/>
    <n v="1.5244692842976793"/>
    <n v="0"/>
    <n v="1.5244692842976793"/>
    <n v="0"/>
    <n v="0"/>
    <n v="0"/>
    <n v="0"/>
    <n v="0"/>
    <x v="1"/>
  </r>
  <r>
    <x v="33"/>
    <s v="Pyrolyseprodukter"/>
    <n v="1"/>
    <x v="2"/>
    <s v="Østdanmark"/>
    <n v="42528.634585062005"/>
    <n v="0"/>
    <n v="0"/>
    <n v="0"/>
    <n v="0"/>
    <n v="0"/>
    <n v="42528.634585062005"/>
    <n v="0"/>
    <n v="0"/>
    <n v="0"/>
    <n v="42528.634585062005"/>
    <n v="0"/>
    <n v="1.4148669174527482"/>
    <n v="0"/>
    <n v="1.4148669174527482"/>
    <n v="0"/>
    <n v="0"/>
    <n v="0"/>
    <n v="0"/>
    <n v="0"/>
    <x v="1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33340.10179847176"/>
    <n v="0"/>
    <n v="0"/>
    <n v="0"/>
    <n v="0"/>
    <n v="0"/>
    <n v="0"/>
    <n v="133340.1017984717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66670.050899235881"/>
    <n v="22739.161062984149"/>
    <n v="0"/>
    <n v="0"/>
    <n v="0"/>
    <n v="0"/>
    <n v="0"/>
    <n v="0"/>
    <n v="43930.889836251736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2668.832575510962"/>
    <n v="0"/>
    <n v="0"/>
    <n v="0"/>
    <n v="0"/>
    <n v="0"/>
    <n v="42668.832575510962"/>
    <n v="0"/>
    <n v="0"/>
    <n v="0"/>
    <n v="42668.832575510962"/>
    <n v="0"/>
    <n v="1.4934091401428835"/>
    <n v="0"/>
    <n v="1.4934091401428835"/>
    <n v="0"/>
    <n v="0"/>
    <n v="0"/>
    <n v="0"/>
    <n v="0"/>
    <x v="1"/>
  </r>
  <r>
    <x v="38"/>
    <s v="Græs og urter"/>
    <n v="1"/>
    <x v="2"/>
    <s v="Østdanmark"/>
    <n v="1513378.8566017656"/>
    <n v="639899.9324082589"/>
    <n v="0"/>
    <n v="0"/>
    <n v="0"/>
    <n v="0"/>
    <n v="0"/>
    <n v="0"/>
    <n v="873478.92419350671"/>
    <n v="0"/>
    <n v="0"/>
    <n v="0"/>
    <n v="0"/>
    <n v="0"/>
    <n v="0"/>
    <n v="0"/>
    <n v="0"/>
    <n v="0"/>
    <n v="0"/>
    <n v="1"/>
    <x v="1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n v="0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n v="0"/>
    <x v="1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59877.42984650948"/>
    <n v="0"/>
    <n v="0"/>
    <n v="0"/>
    <n v="0"/>
    <n v="0"/>
    <n v="659877.42984650948"/>
    <n v="0"/>
    <n v="0"/>
    <n v="0"/>
    <n v="659877.42984650948"/>
    <n v="0"/>
    <n v="9.5639789955469166"/>
    <n v="0"/>
    <n v="9.5639789955469166"/>
    <n v="0"/>
    <n v="326364.3788449195"/>
    <n v="0"/>
    <n v="326364.3788449195"/>
    <n v="0"/>
    <x v="1"/>
  </r>
  <r>
    <x v="47"/>
    <s v=""/>
    <n v="0"/>
    <x v="2"/>
    <s v="Østdanmark"/>
    <n v="191018.35234338022"/>
    <n v="0"/>
    <n v="0"/>
    <n v="0"/>
    <n v="0"/>
    <n v="0"/>
    <n v="0"/>
    <n v="191018.3523433802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4971842.5422849236"/>
    <s v="CO2 - atmosfære"/>
    <x v="0"/>
  </r>
  <r>
    <s v="Vestdanmark"/>
    <x v="1"/>
    <n v="4301804.4346257793"/>
    <s v="Landbrug"/>
    <x v="1"/>
  </r>
  <r>
    <s v="Vestdanmark"/>
    <x v="1"/>
    <n v="3646904.4080332778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964437.0925570112"/>
    <s v="Skov"/>
    <x v="4"/>
  </r>
  <r>
    <s v="Vestdanmark"/>
    <x v="1"/>
    <n v="-533589.52607487072"/>
    <s v="HWP"/>
    <x v="5"/>
  </r>
  <r>
    <s v="Vestdanmark"/>
    <x v="1"/>
    <n v="-243917.45667322632"/>
    <s v="Biogasanlæg"/>
    <x v="6"/>
  </r>
  <r>
    <s v="Vestdanmark"/>
    <x v="1"/>
    <n v="-235216.14768828885"/>
    <s v="Pyrolyseproces"/>
    <x v="7"/>
  </r>
  <r>
    <s v="Vestdanmark"/>
    <x v="2"/>
    <n v="-368229.69503391907"/>
    <s v="CO2 - atmosfære"/>
    <x v="0"/>
  </r>
  <r>
    <s v="Vestdanmark"/>
    <x v="2"/>
    <n v="3530736.5199818327"/>
    <s v="Landbrug"/>
    <x v="1"/>
  </r>
  <r>
    <s v="Vestdanmark"/>
    <x v="2"/>
    <n v="3179050.8377103894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370739.0801433669"/>
    <s v="Skov"/>
    <x v="4"/>
  </r>
  <r>
    <s v="Vestdanmark"/>
    <x v="2"/>
    <n v="-1922229.6171750224"/>
    <s v="HWP"/>
    <x v="5"/>
  </r>
  <r>
    <s v="Vestdanmark"/>
    <x v="2"/>
    <n v="-293183.63913124066"/>
    <s v="Biogasanlæg"/>
    <x v="6"/>
  </r>
  <r>
    <s v="Vestdanmark"/>
    <x v="2"/>
    <n v="-454402.2225772586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972520.76095917739"/>
    <s v="CO2 - atmosfære"/>
    <x v="0"/>
  </r>
  <r>
    <s v="Østdanmark"/>
    <x v="1"/>
    <n v="381923.59632874915"/>
    <s v="Landbrug"/>
    <x v="1"/>
  </r>
  <r>
    <s v="Østdanmark"/>
    <x v="1"/>
    <n v="1186961.7393696562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39799.2299305835"/>
    <s v="Skov"/>
    <x v="4"/>
  </r>
  <r>
    <s v="Østdanmark"/>
    <x v="1"/>
    <n v="-141130.7736409237"/>
    <s v="HWP"/>
    <x v="5"/>
  </r>
  <r>
    <s v="Østdanmark"/>
    <x v="1"/>
    <n v="-23355.966913419899"/>
    <s v="Biogasanlæg"/>
    <x v="6"/>
  </r>
  <r>
    <s v="Østdanmark"/>
    <x v="1"/>
    <n v="-91117.185645044447"/>
    <s v="Pyrolyseproces"/>
    <x v="7"/>
  </r>
  <r>
    <s v="Østdanmark"/>
    <x v="2"/>
    <n v="270300.60143716482"/>
    <s v="CO2 - atmosfære"/>
    <x v="0"/>
  </r>
  <r>
    <s v="Østdanmark"/>
    <x v="2"/>
    <n v="313962.22573617811"/>
    <s v="Landbrug"/>
    <x v="1"/>
  </r>
  <r>
    <s v="Østdanmark"/>
    <x v="2"/>
    <n v="1146561.019829361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637907.84530437551"/>
    <s v="Skov"/>
    <x v="4"/>
  </r>
  <r>
    <s v="Østdanmark"/>
    <x v="2"/>
    <n v="-313282.44329208438"/>
    <s v="HWP"/>
    <x v="5"/>
  </r>
  <r>
    <s v="Østdanmark"/>
    <x v="2"/>
    <n v="-27956.973542755644"/>
    <s v="Biogasanlæg"/>
    <x v="6"/>
  </r>
  <r>
    <s v="Østdanmark"/>
    <x v="2"/>
    <n v="-198264.44408940806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727176.60524954333"/>
    <n v="55111.238296058225"/>
    <n v="0"/>
    <n v="43439.71273733316"/>
    <n v="0"/>
    <n v="0"/>
    <n v="0"/>
    <n v="0"/>
    <n v="628625.65421615192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</r>
  <r>
    <x v="3"/>
    <x v="10"/>
    <n v="1"/>
    <x v="1"/>
    <s v="Vestdanmark"/>
    <n v="457820219.41578245"/>
    <n v="0"/>
    <n v="0"/>
    <n v="0"/>
    <n v="0"/>
    <n v="0"/>
    <n v="457820219.41578245"/>
    <n v="0"/>
    <n v="0"/>
    <n v="0"/>
    <n v="457820219.41578245"/>
    <n v="0"/>
    <n v="0"/>
    <n v="0"/>
    <n v="0"/>
    <n v="0"/>
    <n v="0"/>
    <n v="0"/>
    <n v="0"/>
  </r>
  <r>
    <x v="4"/>
    <x v="10"/>
    <n v="0"/>
    <x v="1"/>
    <s v="Vestdanmark"/>
    <n v="15445153.978132175"/>
    <n v="0"/>
    <n v="0"/>
    <n v="0"/>
    <n v="0"/>
    <n v="12109903.871574569"/>
    <n v="0"/>
    <n v="0"/>
    <n v="3335250.1065576058"/>
    <n v="0"/>
    <n v="0"/>
    <n v="0"/>
    <n v="0"/>
    <n v="0"/>
    <n v="0"/>
    <n v="0"/>
    <n v="0"/>
    <n v="0"/>
    <n v="0"/>
  </r>
  <r>
    <x v="5"/>
    <x v="1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</r>
  <r>
    <x v="6"/>
    <x v="2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</r>
  <r>
    <x v="7"/>
    <x v="10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934673.59009641467"/>
    <n v="0"/>
    <n v="0"/>
    <n v="0"/>
    <n v="0"/>
    <n v="0"/>
    <n v="0"/>
    <n v="0"/>
    <n v="934673.59009641467"/>
    <n v="0"/>
    <n v="0"/>
    <n v="0"/>
    <n v="0"/>
    <n v="0"/>
    <n v="0"/>
    <n v="0"/>
    <n v="0"/>
    <n v="0"/>
    <n v="0"/>
  </r>
  <r>
    <x v="11"/>
    <x v="10"/>
    <n v="0"/>
    <x v="1"/>
    <s v="Vestdanmark"/>
    <n v="27051.16059114927"/>
    <n v="0"/>
    <n v="0"/>
    <n v="257923.29437791562"/>
    <n v="0"/>
    <n v="0"/>
    <n v="0"/>
    <n v="0"/>
    <n v="-230872.13378676635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0794528.482848618"/>
    <n v="10194486.876003446"/>
    <n v="0"/>
    <n v="0"/>
    <n v="0"/>
    <n v="0"/>
    <n v="0"/>
    <n v="1966958.8877732051"/>
    <n v="-1366917.2809280325"/>
    <n v="0"/>
    <n v="0"/>
    <n v="0"/>
    <n v="0"/>
    <n v="0"/>
    <n v="0"/>
    <n v="0"/>
    <n v="0"/>
    <n v="0"/>
    <n v="0"/>
  </r>
  <r>
    <x v="14"/>
    <x v="10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059391.2530405498"/>
    <n v="0"/>
    <n v="0"/>
    <n v="270140.71358529059"/>
    <n v="0"/>
    <n v="0"/>
    <n v="0"/>
    <n v="0"/>
    <n v="789250.53945525922"/>
    <n v="0"/>
    <n v="0"/>
    <n v="0"/>
    <n v="0"/>
    <n v="0"/>
    <n v="0"/>
    <n v="0"/>
    <n v="0"/>
    <n v="0"/>
    <n v="0"/>
  </r>
  <r>
    <x v="16"/>
    <x v="5"/>
    <n v="1"/>
    <x v="1"/>
    <s v="Vestdanmark"/>
    <n v="2253360.2886747755"/>
    <n v="594794.43348335079"/>
    <n v="619528.66726912896"/>
    <n v="0"/>
    <n v="576627.94121745997"/>
    <n v="0"/>
    <n v="102016.78344392357"/>
    <n v="360392.46326091245"/>
    <n v="0"/>
    <n v="0"/>
    <n v="678644.72466138355"/>
    <n v="0"/>
    <n v="4.3789971772247176"/>
    <n v="3.3245714602069145"/>
    <n v="1.0544257170178031"/>
    <n v="0"/>
    <n v="576848.01596217602"/>
    <n v="490133.75003484095"/>
    <n v="86714.265927335073"/>
  </r>
  <r>
    <x v="17"/>
    <x v="1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</r>
  <r>
    <x v="19"/>
    <x v="1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</r>
  <r>
    <x v="20"/>
    <x v="10"/>
    <n v="0"/>
    <x v="1"/>
    <s v="Vestdanmark"/>
    <n v="600779.78805833985"/>
    <n v="0"/>
    <n v="0"/>
    <n v="0"/>
    <n v="0"/>
    <n v="0"/>
    <n v="0"/>
    <n v="0"/>
    <n v="600779.78805833985"/>
    <n v="0"/>
    <n v="0"/>
    <n v="0"/>
    <n v="0"/>
    <n v="0"/>
    <n v="0"/>
    <n v="0"/>
    <n v="0"/>
    <n v="0"/>
    <n v="0"/>
  </r>
  <r>
    <x v="21"/>
    <x v="10"/>
    <n v="0"/>
    <x v="1"/>
    <s v="Vestdanmark"/>
    <n v="1483151.0584480518"/>
    <n v="0"/>
    <n v="0"/>
    <n v="123531.68309679118"/>
    <n v="0"/>
    <n v="0"/>
    <n v="0"/>
    <n v="0"/>
    <n v="1359619.3753512606"/>
    <n v="0"/>
    <n v="0"/>
    <n v="0"/>
    <n v="0"/>
    <n v="0"/>
    <n v="0"/>
    <n v="0"/>
    <n v="0"/>
    <n v="0"/>
    <n v="0"/>
  </r>
  <r>
    <x v="22"/>
    <x v="5"/>
    <n v="1"/>
    <x v="1"/>
    <s v="Vestdanmark"/>
    <n v="4620675.8964980748"/>
    <n v="5024222.9237584407"/>
    <n v="0"/>
    <n v="295933.04302308214"/>
    <n v="0"/>
    <n v="0"/>
    <n v="0"/>
    <n v="0"/>
    <n v="-699480.07028344832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834325.2553194433"/>
    <n v="0"/>
    <n v="0"/>
    <n v="-834325.2553194433"/>
    <n v="0"/>
    <n v="0"/>
    <n v="0"/>
    <n v="0"/>
    <n v="0"/>
    <n v="0"/>
    <n v="0"/>
    <n v="0"/>
    <n v="0"/>
    <n v="0"/>
  </r>
  <r>
    <x v="24"/>
    <x v="2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</r>
  <r>
    <x v="25"/>
    <x v="10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</r>
  <r>
    <x v="26"/>
    <x v="4"/>
    <n v="1"/>
    <x v="1"/>
    <s v="Vestdanmark"/>
    <n v="4179524.3810275476"/>
    <n v="4906538.3992409762"/>
    <n v="0"/>
    <n v="0"/>
    <n v="0"/>
    <n v="0"/>
    <n v="0"/>
    <n v="0"/>
    <n v="-727014.01821342856"/>
    <n v="0"/>
    <n v="0"/>
    <n v="0"/>
    <n v="0"/>
    <n v="0"/>
    <n v="0"/>
    <n v="0"/>
    <n v="0"/>
    <n v="0"/>
    <n v="0"/>
  </r>
  <r>
    <x v="27"/>
    <x v="10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</r>
  <r>
    <x v="29"/>
    <x v="10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</r>
  <r>
    <x v="30"/>
    <x v="10"/>
    <n v="0"/>
    <x v="1"/>
    <s v="Vestdanmark"/>
    <n v="1317768.395568013"/>
    <n v="0"/>
    <n v="0"/>
    <n v="0"/>
    <n v="0"/>
    <n v="0"/>
    <n v="0"/>
    <n v="0"/>
    <n v="1317768.395568013"/>
    <n v="0"/>
    <n v="0"/>
    <n v="0"/>
    <n v="0"/>
    <n v="0"/>
    <n v="0"/>
    <n v="0"/>
    <n v="0"/>
    <n v="0"/>
    <n v="0"/>
  </r>
  <r>
    <x v="31"/>
    <x v="7"/>
    <n v="1"/>
    <x v="1"/>
    <s v="Vestdanmark"/>
    <n v="125748.23741197774"/>
    <n v="0"/>
    <n v="0"/>
    <n v="0"/>
    <n v="0"/>
    <n v="0"/>
    <n v="125748.23741197774"/>
    <n v="0"/>
    <n v="0"/>
    <n v="0"/>
    <n v="125748.23741197774"/>
    <n v="0"/>
    <n v="2.3137675683803898"/>
    <n v="0"/>
    <n v="2.3137675683803898"/>
    <n v="0"/>
    <n v="52185.518525970765"/>
    <n v="0"/>
    <n v="52185.518525970765"/>
  </r>
  <r>
    <x v="32"/>
    <x v="8"/>
    <n v="1"/>
    <x v="1"/>
    <s v="Vestdanmark"/>
    <n v="201819.779426111"/>
    <n v="0"/>
    <n v="0"/>
    <n v="0"/>
    <n v="0"/>
    <n v="0"/>
    <n v="201819.779426111"/>
    <n v="0"/>
    <n v="0"/>
    <n v="0"/>
    <n v="201819.779426111"/>
    <n v="0"/>
    <n v="1.8085935376285627"/>
    <n v="0"/>
    <n v="1.8085935376285627"/>
    <n v="0"/>
    <n v="0"/>
    <n v="0"/>
    <n v="0"/>
  </r>
  <r>
    <x v="33"/>
    <x v="8"/>
    <n v="1"/>
    <x v="1"/>
    <s v="Vestdanmark"/>
    <n v="50454.944856527749"/>
    <n v="0"/>
    <n v="0"/>
    <n v="0"/>
    <n v="0"/>
    <n v="0"/>
    <n v="50454.944856527749"/>
    <n v="0"/>
    <n v="0"/>
    <n v="0"/>
    <n v="50454.944856527749"/>
    <n v="0"/>
    <n v="1.6785639368840255"/>
    <n v="0"/>
    <n v="1.6785639368840255"/>
    <n v="0"/>
    <n v="0"/>
    <n v="0"/>
    <n v="0"/>
  </r>
  <r>
    <x v="34"/>
    <x v="10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</r>
  <r>
    <x v="35"/>
    <x v="10"/>
    <n v="0"/>
    <x v="1"/>
    <s v="Vestdanmark"/>
    <n v="447330.59058373148"/>
    <n v="0"/>
    <n v="0"/>
    <n v="0"/>
    <n v="0"/>
    <n v="0"/>
    <n v="0"/>
    <n v="447330.59058373148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23665.29529186574"/>
    <n v="224187.19428812375"/>
    <n v="0"/>
    <n v="0"/>
    <n v="0"/>
    <n v="0"/>
    <n v="0"/>
    <n v="0"/>
    <n v="-521.89899625800899"/>
    <n v="0"/>
    <n v="0"/>
    <n v="0"/>
    <n v="0"/>
    <n v="0"/>
    <n v="0"/>
    <n v="0"/>
    <n v="0"/>
    <n v="0"/>
    <n v="0"/>
  </r>
  <r>
    <x v="37"/>
    <x v="9"/>
    <n v="1"/>
    <x v="1"/>
    <s v="Vestdanmark"/>
    <n v="143145.78898679407"/>
    <n v="0"/>
    <n v="0"/>
    <n v="0"/>
    <n v="0"/>
    <n v="0"/>
    <n v="143145.78898679407"/>
    <n v="0"/>
    <n v="0"/>
    <n v="0"/>
    <n v="143145.78898679407"/>
    <n v="0"/>
    <n v="5.010102614537792"/>
    <n v="0"/>
    <n v="5.010102614537792"/>
    <n v="0"/>
    <n v="0"/>
    <n v="0"/>
    <n v="0"/>
  </r>
  <r>
    <x v="38"/>
    <x v="4"/>
    <n v="1"/>
    <x v="1"/>
    <s v="Vestdanmark"/>
    <n v="1674738.7828463221"/>
    <n v="1558650.6941574311"/>
    <n v="0"/>
    <n v="0"/>
    <n v="0"/>
    <n v="0"/>
    <n v="0"/>
    <n v="0"/>
    <n v="116088.08868889092"/>
    <n v="116088.08868889092"/>
    <n v="0"/>
    <n v="0.31506771622519752"/>
    <n v="0.31506771622519752"/>
    <n v="0"/>
    <n v="0.31506771622519752"/>
    <n v="23217.617737778186"/>
    <n v="23217.617737778186"/>
    <n v="0"/>
    <n v="23217.617737778186"/>
  </r>
  <r>
    <x v="39"/>
    <x v="10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</r>
  <r>
    <x v="40"/>
    <x v="10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</r>
  <r>
    <x v="41"/>
    <x v="1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</r>
  <r>
    <x v="42"/>
    <x v="2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</r>
  <r>
    <x v="43"/>
    <x v="10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45425.4149825461"/>
    <n v="0"/>
    <n v="0"/>
    <n v="0"/>
    <n v="0"/>
    <n v="0"/>
    <n v="2245425.4149825461"/>
    <n v="0"/>
    <n v="0"/>
    <n v="0"/>
    <n v="2245425.4149825461"/>
    <n v="0"/>
    <n v="32.54422796360155"/>
    <n v="0"/>
    <n v="32.54422796360155"/>
    <n v="0"/>
    <n v="1110549.9864934508"/>
    <n v="0"/>
    <n v="1110549.9864934508"/>
  </r>
  <r>
    <x v="47"/>
    <x v="10"/>
    <n v="0"/>
    <x v="1"/>
    <s v="Vestdanmark"/>
    <n v="619954.02327913279"/>
    <n v="0"/>
    <n v="0"/>
    <n v="0"/>
    <n v="0"/>
    <n v="0"/>
    <n v="0"/>
    <n v="619954.0232791327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607983.4991327466"/>
    <n v="45724.00111692449"/>
    <n v="0"/>
    <n v="90266.583697186172"/>
    <n v="0"/>
    <n v="0"/>
    <n v="0"/>
    <n v="0"/>
    <n v="471992.9143186359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</r>
  <r>
    <x v="3"/>
    <x v="10"/>
    <n v="1"/>
    <x v="2"/>
    <s v="Vestdanmark"/>
    <n v="466482738.63204789"/>
    <n v="0"/>
    <n v="0"/>
    <n v="0"/>
    <n v="0"/>
    <n v="0"/>
    <n v="466482738.63204789"/>
    <n v="0"/>
    <n v="0"/>
    <n v="0"/>
    <n v="466482738.63204789"/>
    <n v="0"/>
    <n v="0"/>
    <n v="0"/>
    <n v="0"/>
    <n v="0"/>
    <n v="0"/>
    <n v="0"/>
    <n v="0"/>
  </r>
  <r>
    <x v="4"/>
    <x v="10"/>
    <n v="0"/>
    <x v="2"/>
    <s v="Vestdanmark"/>
    <n v="18989693.857730396"/>
    <n v="0"/>
    <n v="0"/>
    <n v="0"/>
    <n v="0"/>
    <n v="13973217.723939186"/>
    <n v="0"/>
    <n v="0"/>
    <n v="5016476.1337912101"/>
    <n v="0"/>
    <n v="0"/>
    <n v="0"/>
    <n v="0"/>
    <n v="0"/>
    <n v="0"/>
    <n v="0"/>
    <n v="0"/>
    <n v="0"/>
    <n v="0"/>
  </r>
  <r>
    <x v="5"/>
    <x v="1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</r>
  <r>
    <x v="6"/>
    <x v="2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</r>
  <r>
    <x v="7"/>
    <x v="10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745200.56894188409"/>
    <n v="0"/>
    <n v="0"/>
    <n v="0"/>
    <n v="0"/>
    <n v="0"/>
    <n v="0"/>
    <n v="0"/>
    <n v="745200.56894188409"/>
    <n v="0"/>
    <n v="0"/>
    <n v="0"/>
    <n v="0"/>
    <n v="0"/>
    <n v="0"/>
    <n v="0"/>
    <n v="0"/>
    <n v="0"/>
    <n v="0"/>
  </r>
  <r>
    <x v="11"/>
    <x v="10"/>
    <n v="0"/>
    <x v="2"/>
    <s v="Vestdanmark"/>
    <n v="22253.038843092927"/>
    <n v="0"/>
    <n v="0"/>
    <n v="267978.92035102146"/>
    <n v="0"/>
    <n v="0"/>
    <n v="0"/>
    <n v="0"/>
    <n v="-245725.88150792854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9332872.9907836542"/>
    <n v="8458034.0365568101"/>
    <n v="0"/>
    <n v="0"/>
    <n v="0"/>
    <n v="0"/>
    <n v="0"/>
    <n v="2651872.9008556642"/>
    <n v="-1777033.9466288202"/>
    <n v="0"/>
    <n v="0"/>
    <n v="0"/>
    <n v="0"/>
    <n v="0"/>
    <n v="0"/>
    <n v="0"/>
    <n v="0"/>
    <n v="0"/>
    <n v="0"/>
  </r>
  <r>
    <x v="14"/>
    <x v="10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161598.8495775687"/>
    <n v="0"/>
    <n v="0"/>
    <n v="280672.65868343826"/>
    <n v="0"/>
    <n v="0"/>
    <n v="0"/>
    <n v="0"/>
    <n v="880926.19089413038"/>
    <n v="0"/>
    <n v="0"/>
    <n v="0"/>
    <n v="0"/>
    <n v="0"/>
    <n v="0"/>
    <n v="0"/>
    <n v="0"/>
    <n v="0"/>
    <n v="0"/>
  </r>
  <r>
    <x v="16"/>
    <x v="5"/>
    <n v="1"/>
    <x v="2"/>
    <s v="Vestdanmark"/>
    <n v="1984585.7461565437"/>
    <n v="493481.5870918"/>
    <n v="510108.16462498211"/>
    <n v="0"/>
    <n v="174056.00966953213"/>
    <n v="0"/>
    <n v="110715.94609210105"/>
    <n v="696224.03867812862"/>
    <n v="0"/>
    <n v="0"/>
    <n v="284771.95576163317"/>
    <n v="0"/>
    <n v="2.1478654634520709"/>
    <n v="1.0035268859900743"/>
    <n v="1.1443385774619965"/>
    <n v="0"/>
    <n v="242056.16239738819"/>
    <n v="147947.60821910232"/>
    <n v="94108.554178285878"/>
  </r>
  <r>
    <x v="17"/>
    <x v="1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</r>
  <r>
    <x v="20"/>
    <x v="10"/>
    <n v="0"/>
    <x v="2"/>
    <s v="Vestdanmark"/>
    <n v="489757.41882038367"/>
    <n v="0"/>
    <n v="0"/>
    <n v="0"/>
    <n v="0"/>
    <n v="0"/>
    <n v="0"/>
    <n v="0"/>
    <n v="489757.41882038367"/>
    <n v="0"/>
    <n v="0"/>
    <n v="0"/>
    <n v="0"/>
    <n v="0"/>
    <n v="0"/>
    <n v="0"/>
    <n v="0"/>
    <n v="0"/>
    <n v="0"/>
  </r>
  <r>
    <x v="21"/>
    <x v="10"/>
    <n v="0"/>
    <x v="2"/>
    <s v="Vestdanmark"/>
    <n v="1200677.4719421556"/>
    <n v="0"/>
    <n v="0"/>
    <n v="128347.79869443661"/>
    <n v="0"/>
    <n v="0"/>
    <n v="0"/>
    <n v="0"/>
    <n v="1072329.673247719"/>
    <n v="0"/>
    <n v="0"/>
    <n v="0"/>
    <n v="0"/>
    <n v="0"/>
    <n v="0"/>
    <n v="0"/>
    <n v="0"/>
    <n v="0"/>
    <n v="0"/>
  </r>
  <r>
    <x v="22"/>
    <x v="5"/>
    <n v="1"/>
    <x v="2"/>
    <s v="Vestdanmark"/>
    <n v="3780840.3396516475"/>
    <n v="4168434.2736686366"/>
    <n v="0"/>
    <n v="307470.55071854044"/>
    <n v="0"/>
    <n v="0"/>
    <n v="0"/>
    <n v="0"/>
    <n v="-695064.4847355294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955150.82029111753"/>
    <n v="0"/>
    <n v="0"/>
    <n v="-955150.82029111753"/>
    <n v="0"/>
    <n v="0"/>
    <n v="0"/>
    <n v="0"/>
    <n v="0"/>
    <n v="0"/>
    <n v="0"/>
    <n v="0"/>
    <n v="0"/>
    <n v="0"/>
  </r>
  <r>
    <x v="24"/>
    <x v="2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</r>
  <r>
    <x v="25"/>
    <x v="10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</r>
  <r>
    <x v="26"/>
    <x v="4"/>
    <n v="1"/>
    <x v="2"/>
    <s v="Vestdanmark"/>
    <n v="3376366.5569012994"/>
    <n v="4070795.253083135"/>
    <n v="0"/>
    <n v="0"/>
    <n v="0"/>
    <n v="0"/>
    <n v="0"/>
    <n v="0"/>
    <n v="-694428.69618183561"/>
    <n v="0"/>
    <n v="0"/>
    <n v="0"/>
    <n v="0"/>
    <n v="0"/>
    <n v="0"/>
    <n v="0"/>
    <n v="0"/>
    <n v="0"/>
    <n v="0"/>
  </r>
  <r>
    <x v="27"/>
    <x v="10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</r>
  <r>
    <x v="29"/>
    <x v="10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</r>
  <r>
    <x v="30"/>
    <x v="10"/>
    <n v="0"/>
    <x v="2"/>
    <s v="Vestdanmark"/>
    <n v="1075904.2363814465"/>
    <n v="0"/>
    <n v="0"/>
    <n v="0"/>
    <n v="0"/>
    <n v="0"/>
    <n v="0"/>
    <n v="0"/>
    <n v="1075904.2363814465"/>
    <n v="0"/>
    <n v="0"/>
    <n v="0"/>
    <n v="0"/>
    <n v="0"/>
    <n v="0"/>
    <n v="0"/>
    <n v="0"/>
    <n v="0"/>
    <n v="0"/>
  </r>
  <r>
    <x v="31"/>
    <x v="7"/>
    <n v="1"/>
    <x v="2"/>
    <s v="Vestdanmark"/>
    <n v="91869.864613650177"/>
    <n v="0"/>
    <n v="0"/>
    <n v="0"/>
    <n v="0"/>
    <n v="0"/>
    <n v="91869.864613650177"/>
    <n v="0"/>
    <n v="0"/>
    <n v="0"/>
    <n v="91869.864613650177"/>
    <n v="0"/>
    <n v="1.6904055088911629"/>
    <n v="0"/>
    <n v="1.6904055088911629"/>
    <n v="0"/>
    <n v="38125.993814664827"/>
    <n v="0"/>
    <n v="38125.993814664827"/>
  </r>
  <r>
    <x v="32"/>
    <x v="8"/>
    <n v="1"/>
    <x v="2"/>
    <s v="Vestdanmark"/>
    <n v="389885.46165975207"/>
    <n v="0"/>
    <n v="0"/>
    <n v="0"/>
    <n v="0"/>
    <n v="0"/>
    <n v="389885.46165975207"/>
    <n v="0"/>
    <n v="0"/>
    <n v="0"/>
    <n v="389885.46165975207"/>
    <n v="0"/>
    <n v="3.4939307157023198"/>
    <n v="0"/>
    <n v="3.4939307157023198"/>
    <n v="0"/>
    <n v="0"/>
    <n v="0"/>
    <n v="0"/>
  </r>
  <r>
    <x v="33"/>
    <x v="8"/>
    <n v="1"/>
    <x v="2"/>
    <s v="Vestdanmark"/>
    <n v="97471.365414938016"/>
    <n v="0"/>
    <n v="0"/>
    <n v="0"/>
    <n v="0"/>
    <n v="0"/>
    <n v="97471.365414938016"/>
    <n v="0"/>
    <n v="0"/>
    <n v="0"/>
    <n v="97471.365414938016"/>
    <n v="0"/>
    <n v="3.2427330825472511"/>
    <n v="0"/>
    <n v="3.2427330825472511"/>
    <n v="0"/>
    <n v="0"/>
    <n v="0"/>
    <n v="0"/>
  </r>
  <r>
    <x v="34"/>
    <x v="10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</r>
  <r>
    <x v="35"/>
    <x v="10"/>
    <n v="0"/>
    <x v="2"/>
    <s v="Vestdanmark"/>
    <n v="369709.90203897492"/>
    <n v="0"/>
    <n v="0"/>
    <n v="0"/>
    <n v="0"/>
    <n v="0"/>
    <n v="0"/>
    <n v="369709.90203897492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854.95101948746"/>
    <n v="186000.82014059028"/>
    <n v="0"/>
    <n v="0"/>
    <n v="0"/>
    <n v="0"/>
    <n v="0"/>
    <n v="0"/>
    <n v="-1145.8691211028199"/>
    <n v="0"/>
    <n v="0"/>
    <n v="0"/>
    <n v="0"/>
    <n v="0"/>
    <n v="0"/>
    <n v="0"/>
    <n v="0"/>
    <n v="0"/>
    <n v="0"/>
  </r>
  <r>
    <x v="37"/>
    <x v="9"/>
    <n v="1"/>
    <x v="2"/>
    <s v="Vestdanmark"/>
    <n v="118307.16865247197"/>
    <n v="0"/>
    <n v="0"/>
    <n v="0"/>
    <n v="0"/>
    <n v="0"/>
    <n v="118307.16865247197"/>
    <n v="0"/>
    <n v="0"/>
    <n v="0"/>
    <n v="118307.16865247197"/>
    <n v="0"/>
    <n v="4.1407509028365181"/>
    <n v="0"/>
    <n v="4.1407509028365181"/>
    <n v="0"/>
    <n v="0"/>
    <n v="0"/>
    <n v="0"/>
  </r>
  <r>
    <x v="38"/>
    <x v="4"/>
    <n v="1"/>
    <x v="2"/>
    <s v="Vestdanmark"/>
    <n v="4196120.6064453982"/>
    <n v="5234226.1839023503"/>
    <n v="0"/>
    <n v="0"/>
    <n v="0"/>
    <n v="0"/>
    <n v="0"/>
    <n v="0"/>
    <n v="-1038105.5774569521"/>
    <n v="0"/>
    <n v="0"/>
    <n v="0"/>
    <n v="0"/>
    <n v="0"/>
    <n v="0"/>
    <n v="0"/>
    <n v="0"/>
    <n v="0"/>
    <n v="0"/>
  </r>
  <r>
    <x v="39"/>
    <x v="10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</r>
  <r>
    <x v="40"/>
    <x v="10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</r>
  <r>
    <x v="41"/>
    <x v="1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</r>
  <r>
    <x v="42"/>
    <x v="2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</r>
  <r>
    <x v="43"/>
    <x v="10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83381.268758419"/>
    <n v="0"/>
    <n v="0"/>
    <n v="0"/>
    <n v="0"/>
    <n v="0"/>
    <n v="2583381.268758419"/>
    <n v="0"/>
    <n v="0"/>
    <n v="0"/>
    <n v="2583381.268758419"/>
    <n v="0"/>
    <n v="37.44241441572251"/>
    <n v="0"/>
    <n v="37.44241441572251"/>
    <n v="0"/>
    <n v="1277697.3191734347"/>
    <n v="0"/>
    <n v="1277697.3191734347"/>
  </r>
  <r>
    <x v="47"/>
    <x v="10"/>
    <n v="0"/>
    <x v="2"/>
    <s v="Vestdanmark"/>
    <n v="785631.25546720112"/>
    <n v="0"/>
    <n v="0"/>
    <n v="0"/>
    <n v="0"/>
    <n v="0"/>
    <n v="0"/>
    <n v="785631.25546720112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34490.9983006705"/>
    <n v="6753.2568750969058"/>
    <n v="0"/>
    <n v="37612.453499504722"/>
    <n v="0"/>
    <n v="0"/>
    <n v="0"/>
    <n v="0"/>
    <n v="190125.2879260688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</r>
  <r>
    <x v="3"/>
    <x v="10"/>
    <n v="1"/>
    <x v="1"/>
    <s v="Østdanmark"/>
    <n v="129267393.81214702"/>
    <n v="0"/>
    <n v="0"/>
    <n v="0"/>
    <n v="0"/>
    <n v="0"/>
    <n v="129267393.81214702"/>
    <n v="0"/>
    <n v="0"/>
    <n v="0"/>
    <n v="129267393.81214702"/>
    <n v="0"/>
    <n v="0"/>
    <n v="0"/>
    <n v="0"/>
    <n v="0"/>
    <n v="0"/>
    <n v="0"/>
    <n v="0"/>
  </r>
  <r>
    <x v="4"/>
    <x v="10"/>
    <n v="0"/>
    <x v="1"/>
    <s v="Østdanmark"/>
    <n v="3467141.0325447312"/>
    <n v="0"/>
    <n v="0"/>
    <n v="0"/>
    <n v="0"/>
    <n v="2718441.3099898444"/>
    <n v="0"/>
    <n v="0"/>
    <n v="748699.72255488671"/>
    <n v="0"/>
    <n v="0"/>
    <n v="0"/>
    <n v="0"/>
    <n v="0"/>
    <n v="0"/>
    <n v="0"/>
    <n v="0"/>
    <n v="0"/>
    <n v="0"/>
  </r>
  <r>
    <x v="5"/>
    <x v="1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</r>
  <r>
    <x v="6"/>
    <x v="2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</r>
  <r>
    <x v="7"/>
    <x v="10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03347.80329829425"/>
    <n v="0"/>
    <n v="0"/>
    <n v="0"/>
    <n v="0"/>
    <n v="0"/>
    <n v="0"/>
    <n v="0"/>
    <n v="303347.80329829425"/>
    <n v="0"/>
    <n v="0"/>
    <n v="0"/>
    <n v="0"/>
    <n v="0"/>
    <n v="0"/>
    <n v="0"/>
    <n v="0"/>
    <n v="0"/>
    <n v="0"/>
  </r>
  <r>
    <x v="11"/>
    <x v="10"/>
    <n v="0"/>
    <x v="1"/>
    <s v="Østdanmark"/>
    <n v="8757.5019871599998"/>
    <n v="0"/>
    <n v="0"/>
    <n v="223323.94265330929"/>
    <n v="0"/>
    <n v="0"/>
    <n v="0"/>
    <n v="0"/>
    <n v="-214566.44066614928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173668.3039375409"/>
    <n v="1249218.6841023962"/>
    <n v="0"/>
    <n v="0"/>
    <n v="0"/>
    <n v="0"/>
    <n v="0"/>
    <n v="241028.49151254582"/>
    <n v="1683421.1283225988"/>
    <n v="316503.84739456628"/>
    <n v="0"/>
    <n v="0.58232751622507772"/>
    <n v="0.58232751622507772"/>
    <n v="0"/>
    <n v="0.58232751622507772"/>
    <n v="88621.077270478563"/>
    <n v="88621.077270478563"/>
    <n v="0"/>
    <n v="88621.077270478563"/>
  </r>
  <r>
    <x v="14"/>
    <x v="10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344573.5889961003"/>
    <n v="0"/>
    <n v="0"/>
    <n v="233902.44520004498"/>
    <n v="0"/>
    <n v="0"/>
    <n v="0"/>
    <n v="0"/>
    <n v="110671.14379605532"/>
    <n v="0"/>
    <n v="0"/>
    <n v="0"/>
    <n v="0"/>
    <n v="0"/>
    <n v="0"/>
    <n v="0"/>
    <n v="0"/>
    <n v="0"/>
    <n v="0"/>
  </r>
  <r>
    <x v="16"/>
    <x v="5"/>
    <n v="1"/>
    <x v="1"/>
    <s v="Østdanmark"/>
    <n v="721034.83397446794"/>
    <n v="72885.308357843693"/>
    <n v="88127.0144073915"/>
    <n v="0"/>
    <n v="223372.05878254003"/>
    <n v="0"/>
    <n v="197042.91568760504"/>
    <n v="139607.53673908752"/>
    <n v="0"/>
    <n v="0"/>
    <n v="420414.97447014507"/>
    <n v="0"/>
    <n v="3.3244579568385526"/>
    <n v="1.287860539793086"/>
    <n v="2.0365974170454666"/>
    <n v="0"/>
    <n v="357352.7282996233"/>
    <n v="189866.24996515902"/>
    <n v="167486.47833446428"/>
  </r>
  <r>
    <x v="17"/>
    <x v="1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</r>
  <r>
    <x v="19"/>
    <x v="1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</r>
  <r>
    <x v="20"/>
    <x v="10"/>
    <n v="0"/>
    <x v="1"/>
    <s v="Østdanmark"/>
    <n v="190343.70675886245"/>
    <n v="0"/>
    <n v="0"/>
    <n v="0"/>
    <n v="0"/>
    <n v="0"/>
    <n v="0"/>
    <n v="0"/>
    <n v="190343.70675886245"/>
    <n v="0"/>
    <n v="0"/>
    <n v="0"/>
    <n v="0"/>
    <n v="0"/>
    <n v="0"/>
    <n v="0"/>
    <n v="0"/>
    <n v="0"/>
    <n v="0"/>
  </r>
  <r>
    <x v="21"/>
    <x v="10"/>
    <n v="0"/>
    <x v="1"/>
    <s v="Østdanmark"/>
    <n v="463859.66299016302"/>
    <n v="0"/>
    <n v="0"/>
    <n v="106960.41463921656"/>
    <n v="0"/>
    <n v="0"/>
    <n v="0"/>
    <n v="0"/>
    <n v="356899.24835094647"/>
    <n v="0"/>
    <n v="0"/>
    <n v="0"/>
    <n v="0"/>
    <n v="0"/>
    <n v="0"/>
    <n v="0"/>
    <n v="0"/>
    <n v="0"/>
    <n v="0"/>
  </r>
  <r>
    <x v="22"/>
    <x v="5"/>
    <n v="1"/>
    <x v="1"/>
    <s v="Østdanmark"/>
    <n v="1473133.2886241353"/>
    <n v="615661.50663535297"/>
    <n v="0"/>
    <n v="256234.83946537593"/>
    <n v="0"/>
    <n v="0"/>
    <n v="0"/>
    <n v="0"/>
    <n v="601236.94252340635"/>
    <n v="0"/>
    <n v="0"/>
    <n v="0"/>
    <n v="0"/>
    <n v="0"/>
    <n v="0"/>
    <n v="0"/>
    <n v="0"/>
    <n v="0"/>
    <n v="0"/>
  </r>
  <r>
    <x v="23"/>
    <x v="10"/>
    <n v="0"/>
    <x v="1"/>
    <s v="Østdanmark"/>
    <n v="0"/>
    <n v="0"/>
    <n v="0"/>
    <n v="0"/>
    <n v="0"/>
    <n v="430788.56398807897"/>
    <n v="0"/>
    <n v="0"/>
    <n v="-430788.56398807897"/>
    <n v="0"/>
    <n v="0"/>
    <n v="0"/>
    <n v="0"/>
    <n v="0"/>
    <n v="0"/>
    <n v="0"/>
    <n v="0"/>
    <n v="0"/>
    <n v="0"/>
  </r>
  <r>
    <x v="24"/>
    <x v="2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</r>
  <r>
    <x v="25"/>
    <x v="10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</r>
  <r>
    <x v="26"/>
    <x v="4"/>
    <n v="1"/>
    <x v="1"/>
    <s v="Østdanmark"/>
    <n v="1290222.2157088669"/>
    <n v="601240.60358794441"/>
    <n v="0"/>
    <n v="0"/>
    <n v="0"/>
    <n v="0"/>
    <n v="0"/>
    <n v="0"/>
    <n v="688981.61212092254"/>
    <n v="0"/>
    <n v="0"/>
    <n v="0"/>
    <n v="0"/>
    <n v="0"/>
    <n v="0"/>
    <n v="0"/>
    <n v="0"/>
    <n v="0"/>
    <n v="0"/>
  </r>
  <r>
    <x v="27"/>
    <x v="10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</r>
  <r>
    <x v="29"/>
    <x v="10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</r>
  <r>
    <x v="30"/>
    <x v="10"/>
    <n v="0"/>
    <x v="1"/>
    <s v="Østdanmark"/>
    <n v="419046.55891779787"/>
    <n v="0"/>
    <n v="0"/>
    <n v="0"/>
    <n v="0"/>
    <n v="0"/>
    <n v="0"/>
    <n v="0"/>
    <n v="419046.55891779787"/>
    <n v="0"/>
    <n v="0"/>
    <n v="0"/>
    <n v="0"/>
    <n v="0"/>
    <n v="0"/>
    <n v="0"/>
    <n v="0"/>
    <n v="0"/>
    <n v="0"/>
  </r>
  <r>
    <x v="31"/>
    <x v="7"/>
    <n v="1"/>
    <x v="1"/>
    <s v="Østdanmark"/>
    <n v="37172.011339871715"/>
    <n v="0"/>
    <n v="0"/>
    <n v="0"/>
    <n v="0"/>
    <n v="0"/>
    <n v="37172.011339871715"/>
    <n v="0"/>
    <n v="0"/>
    <n v="0"/>
    <n v="37172.011339871715"/>
    <n v="0"/>
    <n v="0.68396500865363941"/>
    <n v="0"/>
    <n v="0.68396500865363941"/>
    <n v="0"/>
    <n v="15426.384706046763"/>
    <n v="0"/>
    <n v="15426.384706046763"/>
  </r>
  <r>
    <x v="32"/>
    <x v="8"/>
    <n v="1"/>
    <x v="1"/>
    <s v="Østdanmark"/>
    <n v="78180.220573889019"/>
    <n v="0"/>
    <n v="0"/>
    <n v="0"/>
    <n v="0"/>
    <n v="0"/>
    <n v="78180.220573889019"/>
    <n v="0"/>
    <n v="0"/>
    <n v="0"/>
    <n v="78180.220573889019"/>
    <n v="0"/>
    <n v="0.70060646237143664"/>
    <n v="0"/>
    <n v="0.70060646237143664"/>
    <n v="0"/>
    <n v="0"/>
    <n v="0"/>
    <n v="0"/>
  </r>
  <r>
    <x v="33"/>
    <x v="8"/>
    <n v="1"/>
    <x v="1"/>
    <s v="Østdanmark"/>
    <n v="19545.055143472255"/>
    <n v="0"/>
    <n v="0"/>
    <n v="0"/>
    <n v="0"/>
    <n v="0"/>
    <n v="19545.055143472255"/>
    <n v="0"/>
    <n v="0"/>
    <n v="0"/>
    <n v="19545.055143472255"/>
    <n v="0"/>
    <n v="0.65023606311597393"/>
    <n v="0"/>
    <n v="0.65023606311597393"/>
    <n v="0"/>
    <n v="0"/>
    <n v="0"/>
    <n v="0"/>
  </r>
  <r>
    <x v="34"/>
    <x v="10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</r>
  <r>
    <x v="35"/>
    <x v="10"/>
    <n v="0"/>
    <x v="1"/>
    <s v="Østdanmark"/>
    <n v="144105.21712938134"/>
    <n v="0"/>
    <n v="0"/>
    <n v="0"/>
    <n v="0"/>
    <n v="0"/>
    <n v="0"/>
    <n v="144105.2171293813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2052.608564690672"/>
    <n v="27471.596682363863"/>
    <n v="0"/>
    <n v="0"/>
    <n v="0"/>
    <n v="0"/>
    <n v="0"/>
    <n v="0"/>
    <n v="44581.011882326813"/>
    <n v="0"/>
    <n v="0"/>
    <n v="0"/>
    <n v="0"/>
    <n v="0"/>
    <n v="0"/>
    <n v="0"/>
    <n v="0"/>
    <n v="0"/>
    <n v="0"/>
  </r>
  <r>
    <x v="37"/>
    <x v="9"/>
    <n v="1"/>
    <x v="1"/>
    <s v="Østdanmark"/>
    <n v="46113.66948140203"/>
    <n v="0"/>
    <n v="0"/>
    <n v="0"/>
    <n v="0"/>
    <n v="0"/>
    <n v="46113.66948140203"/>
    <n v="0"/>
    <n v="0"/>
    <n v="0"/>
    <n v="46113.66948140203"/>
    <n v="0"/>
    <n v="1.6139784318490709"/>
    <n v="0"/>
    <n v="1.6139784318490709"/>
    <n v="0"/>
    <n v="0"/>
    <n v="0"/>
    <n v="0"/>
  </r>
  <r>
    <x v="38"/>
    <x v="4"/>
    <n v="1"/>
    <x v="1"/>
    <s v="Østdanmark"/>
    <n v="551863.24646888149"/>
    <n v="190994.95568667154"/>
    <n v="0"/>
    <n v="0"/>
    <n v="0"/>
    <n v="0"/>
    <n v="0"/>
    <n v="0"/>
    <n v="360868.29078220995"/>
    <n v="360868.29078220995"/>
    <n v="0"/>
    <n v="0.97941097591454906"/>
    <n v="0.97941097591454906"/>
    <n v="0"/>
    <n v="0.97941097591454906"/>
    <n v="72173.65815644199"/>
    <n v="72173.65815644199"/>
    <n v="0"/>
    <n v="72173.65815644199"/>
  </r>
  <r>
    <x v="39"/>
    <x v="10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</r>
  <r>
    <x v="40"/>
    <x v="10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</r>
  <r>
    <x v="41"/>
    <x v="1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</r>
  <r>
    <x v="42"/>
    <x v="2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</r>
  <r>
    <x v="43"/>
    <x v="10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50272.33920049365"/>
    <n v="0"/>
    <n v="0"/>
    <n v="0"/>
    <n v="0"/>
    <n v="0"/>
    <n v="650272.33920049365"/>
    <n v="0"/>
    <n v="0"/>
    <n v="0"/>
    <n v="650272.33920049365"/>
    <n v="0"/>
    <n v="9.4247669524706943"/>
    <n v="0"/>
    <n v="9.4247669524706943"/>
    <n v="0"/>
    <n v="321613.86109624413"/>
    <n v="0"/>
    <n v="321613.86109624413"/>
  </r>
  <r>
    <x v="47"/>
    <x v="10"/>
    <n v="0"/>
    <x v="1"/>
    <s v="Østdanmark"/>
    <n v="179118.88010894318"/>
    <n v="0"/>
    <n v="0"/>
    <n v="0"/>
    <n v="0"/>
    <n v="0"/>
    <n v="0"/>
    <n v="179118.88010894318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19276.19795697337"/>
    <n v="5589.8969964537146"/>
    <n v="0"/>
    <n v="78752.00538693853"/>
    <n v="0"/>
    <n v="0"/>
    <n v="0"/>
    <n v="0"/>
    <n v="134934.2955735811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</r>
  <r>
    <x v="3"/>
    <x v="10"/>
    <n v="1"/>
    <x v="2"/>
    <s v="Østdanmark"/>
    <n v="127014615.47386032"/>
    <n v="0"/>
    <n v="0"/>
    <n v="0"/>
    <n v="0"/>
    <n v="0"/>
    <n v="127014615.47386032"/>
    <n v="0"/>
    <n v="0"/>
    <n v="0"/>
    <n v="127014615.47386032"/>
    <n v="0"/>
    <n v="0"/>
    <n v="0"/>
    <n v="0"/>
    <n v="0"/>
    <n v="0"/>
    <n v="0"/>
    <n v="0"/>
  </r>
  <r>
    <x v="4"/>
    <x v="10"/>
    <n v="0"/>
    <x v="2"/>
    <s v="Østdanmark"/>
    <n v="4548505.6401664391"/>
    <n v="0"/>
    <n v="0"/>
    <n v="0"/>
    <n v="0"/>
    <n v="3346934.4005636992"/>
    <n v="0"/>
    <n v="0"/>
    <n v="1201571.2396027399"/>
    <n v="0"/>
    <n v="0"/>
    <n v="0"/>
    <n v="0"/>
    <n v="0"/>
    <n v="0"/>
    <n v="0"/>
    <n v="0"/>
    <n v="0"/>
    <n v="0"/>
  </r>
  <r>
    <x v="5"/>
    <x v="1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</r>
  <r>
    <x v="6"/>
    <x v="2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</r>
  <r>
    <x v="7"/>
    <x v="10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268765.10251682362"/>
    <n v="0"/>
    <n v="0"/>
    <n v="0"/>
    <n v="0"/>
    <n v="0"/>
    <n v="0"/>
    <n v="0"/>
    <n v="268765.10251682362"/>
    <n v="0"/>
    <n v="0"/>
    <n v="0"/>
    <n v="0"/>
    <n v="0"/>
    <n v="0"/>
    <n v="0"/>
    <n v="0"/>
    <n v="0"/>
    <n v="0"/>
  </r>
  <r>
    <x v="11"/>
    <x v="10"/>
    <n v="0"/>
    <x v="2"/>
    <s v="Østdanmark"/>
    <n v="8025.8128016018145"/>
    <n v="0"/>
    <n v="0"/>
    <n v="233795.01599247381"/>
    <n v="0"/>
    <n v="0"/>
    <n v="0"/>
    <n v="0"/>
    <n v="-225769.20319087201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3366007.3149247444"/>
    <n v="1034020.1623202205"/>
    <n v="0"/>
    <n v="0"/>
    <n v="0"/>
    <n v="0"/>
    <n v="0"/>
    <n v="324199.45764508267"/>
    <n v="2007787.6949594412"/>
    <n v="230753.74833062105"/>
    <n v="0"/>
    <n v="0.4245580527098014"/>
    <n v="0.4245580527098014"/>
    <n v="0"/>
    <n v="0.4245580527098014"/>
    <n v="64611.049532573903"/>
    <n v="64611.049532573903"/>
    <n v="0"/>
    <n v="64611.049532573903"/>
  </r>
  <r>
    <x v="14"/>
    <x v="10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18943.90168465767"/>
    <n v="0"/>
    <n v="0"/>
    <n v="244869.51675001203"/>
    <n v="0"/>
    <n v="0"/>
    <n v="0"/>
    <n v="0"/>
    <n v="174074.38493464564"/>
    <n v="0"/>
    <n v="0"/>
    <n v="0"/>
    <n v="0"/>
    <n v="0"/>
    <n v="0"/>
    <n v="0"/>
    <n v="0"/>
    <n v="0"/>
    <n v="0"/>
  </r>
  <r>
    <x v="16"/>
    <x v="5"/>
    <n v="1"/>
    <x v="2"/>
    <s v="Østdanmark"/>
    <n v="715763.53232868738"/>
    <n v="60329.611891042863"/>
    <n v="72420.556657070294"/>
    <n v="0"/>
    <n v="75943.990330467859"/>
    <n v="0"/>
    <n v="203293.41212823492"/>
    <n v="303775.96132187144"/>
    <n v="0"/>
    <n v="0"/>
    <n v="279237.4024587028"/>
    <n v="0"/>
    <n v="2.5390594517891913"/>
    <n v="0.43785811400992569"/>
    <n v="2.1012013377792655"/>
    <n v="0"/>
    <n v="237351.79208989738"/>
    <n v="64552.391780897677"/>
    <n v="172799.4003089997"/>
  </r>
  <r>
    <x v="17"/>
    <x v="1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</r>
  <r>
    <x v="20"/>
    <x v="10"/>
    <n v="0"/>
    <x v="2"/>
    <s v="Østdanmark"/>
    <n v="176636.61081812825"/>
    <n v="0"/>
    <n v="0"/>
    <n v="0"/>
    <n v="0"/>
    <n v="0"/>
    <n v="0"/>
    <n v="0"/>
    <n v="176636.61081812825"/>
    <n v="0"/>
    <n v="0"/>
    <n v="0"/>
    <n v="0"/>
    <n v="0"/>
    <n v="0"/>
    <n v="0"/>
    <n v="0"/>
    <n v="0"/>
    <n v="0"/>
  </r>
  <r>
    <x v="21"/>
    <x v="10"/>
    <n v="0"/>
    <x v="2"/>
    <s v="Østdanmark"/>
    <n v="433038.05349260336"/>
    <n v="0"/>
    <n v="0"/>
    <n v="111975.50765955324"/>
    <n v="0"/>
    <n v="0"/>
    <n v="0"/>
    <n v="0"/>
    <n v="321062.5458330501"/>
    <n v="0"/>
    <n v="0"/>
    <n v="0"/>
    <n v="0"/>
    <n v="0"/>
    <n v="0"/>
    <n v="0"/>
    <n v="0"/>
    <n v="0"/>
    <n v="0"/>
  </r>
  <r>
    <x v="22"/>
    <x v="5"/>
    <n v="1"/>
    <x v="2"/>
    <s v="Østdanmark"/>
    <n v="1363603.2819044513"/>
    <n v="509603.65797187964"/>
    <n v="0"/>
    <n v="268249.01834925939"/>
    <n v="0"/>
    <n v="0"/>
    <n v="0"/>
    <n v="0"/>
    <n v="585750.60558331222"/>
    <n v="0"/>
    <n v="0"/>
    <n v="0"/>
    <n v="0"/>
    <n v="0"/>
    <n v="0"/>
    <n v="0"/>
    <n v="0"/>
    <n v="0"/>
    <n v="0"/>
  </r>
  <r>
    <x v="23"/>
    <x v="10"/>
    <n v="0"/>
    <x v="2"/>
    <s v="Østdanmark"/>
    <n v="0"/>
    <n v="0"/>
    <n v="0"/>
    <n v="0"/>
    <n v="0"/>
    <n v="472604.98553143517"/>
    <n v="0"/>
    <n v="0"/>
    <n v="-472604.98553143517"/>
    <n v="0"/>
    <n v="0"/>
    <n v="0"/>
    <n v="0"/>
    <n v="0"/>
    <n v="0"/>
    <n v="0"/>
    <n v="0"/>
    <n v="0"/>
    <n v="0"/>
  </r>
  <r>
    <x v="24"/>
    <x v="2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</r>
  <r>
    <x v="25"/>
    <x v="10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</r>
  <r>
    <x v="26"/>
    <x v="4"/>
    <n v="1"/>
    <x v="2"/>
    <s v="Østdanmark"/>
    <n v="1217725.1891909407"/>
    <n v="497666.99331928522"/>
    <n v="0"/>
    <n v="0"/>
    <n v="0"/>
    <n v="0"/>
    <n v="0"/>
    <n v="0"/>
    <n v="720058.19587165548"/>
    <n v="25629.499689819873"/>
    <n v="0"/>
    <n v="9.2009903886453359E-2"/>
    <n v="9.2009903886453359E-2"/>
    <n v="0"/>
    <n v="9.2009903886453359E-2"/>
    <n v="7688.8499069459613"/>
    <n v="7688.8499069459613"/>
    <n v="0"/>
    <n v="7688.8499069459613"/>
  </r>
  <r>
    <x v="27"/>
    <x v="10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</r>
  <r>
    <x v="29"/>
    <x v="10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</r>
  <r>
    <x v="30"/>
    <x v="10"/>
    <n v="0"/>
    <x v="2"/>
    <s v="Østdanmark"/>
    <n v="388037.15998222143"/>
    <n v="0"/>
    <n v="0"/>
    <n v="0"/>
    <n v="0"/>
    <n v="0"/>
    <n v="0"/>
    <n v="0"/>
    <n v="388037.15998222143"/>
    <n v="0"/>
    <n v="0"/>
    <n v="0"/>
    <n v="0"/>
    <n v="0"/>
    <n v="0"/>
    <n v="0"/>
    <n v="0"/>
    <n v="0"/>
    <n v="0"/>
  </r>
  <r>
    <x v="31"/>
    <x v="7"/>
    <n v="1"/>
    <x v="2"/>
    <s v="Østdanmark"/>
    <n v="33133.916706684649"/>
    <n v="0"/>
    <n v="0"/>
    <n v="0"/>
    <n v="0"/>
    <n v="0"/>
    <n v="33133.916706684649"/>
    <n v="0"/>
    <n v="0"/>
    <n v="0"/>
    <n v="33133.916706684649"/>
    <n v="0"/>
    <n v="0.60966406740299739"/>
    <n v="0"/>
    <n v="0.60966406740299739"/>
    <n v="0"/>
    <n v="13750.575433274131"/>
    <n v="0"/>
    <n v="13750.575433274131"/>
  </r>
  <r>
    <x v="32"/>
    <x v="8"/>
    <n v="1"/>
    <x v="2"/>
    <s v="Østdanmark"/>
    <n v="170114.53834024802"/>
    <n v="0"/>
    <n v="0"/>
    <n v="0"/>
    <n v="0"/>
    <n v="0"/>
    <n v="170114.53834024802"/>
    <n v="0"/>
    <n v="0"/>
    <n v="0"/>
    <n v="170114.53834024802"/>
    <n v="0"/>
    <n v="1.5244692842976793"/>
    <n v="0"/>
    <n v="1.5244692842976793"/>
    <n v="0"/>
    <n v="0"/>
    <n v="0"/>
    <n v="0"/>
  </r>
  <r>
    <x v="33"/>
    <x v="8"/>
    <n v="1"/>
    <x v="2"/>
    <s v="Østdanmark"/>
    <n v="42528.634585062005"/>
    <n v="0"/>
    <n v="0"/>
    <n v="0"/>
    <n v="0"/>
    <n v="0"/>
    <n v="42528.634585062005"/>
    <n v="0"/>
    <n v="0"/>
    <n v="0"/>
    <n v="42528.634585062005"/>
    <n v="0"/>
    <n v="1.4148669174527482"/>
    <n v="0"/>
    <n v="1.4148669174527482"/>
    <n v="0"/>
    <n v="0"/>
    <n v="0"/>
    <n v="0"/>
  </r>
  <r>
    <x v="34"/>
    <x v="10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</r>
  <r>
    <x v="35"/>
    <x v="10"/>
    <n v="0"/>
    <x v="2"/>
    <s v="Østdanmark"/>
    <n v="133340.10179847176"/>
    <n v="0"/>
    <n v="0"/>
    <n v="0"/>
    <n v="0"/>
    <n v="0"/>
    <n v="0"/>
    <n v="133340.1017984717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66670.050899235881"/>
    <n v="22739.161062984149"/>
    <n v="0"/>
    <n v="0"/>
    <n v="0"/>
    <n v="0"/>
    <n v="0"/>
    <n v="0"/>
    <n v="43930.889836251736"/>
    <n v="0"/>
    <n v="0"/>
    <n v="0"/>
    <n v="0"/>
    <n v="0"/>
    <n v="0"/>
    <n v="0"/>
    <n v="0"/>
    <n v="0"/>
    <n v="0"/>
  </r>
  <r>
    <x v="37"/>
    <x v="9"/>
    <n v="1"/>
    <x v="2"/>
    <s v="Østdanmark"/>
    <n v="42668.832575510962"/>
    <n v="0"/>
    <n v="0"/>
    <n v="0"/>
    <n v="0"/>
    <n v="0"/>
    <n v="42668.832575510962"/>
    <n v="0"/>
    <n v="0"/>
    <n v="0"/>
    <n v="42668.832575510962"/>
    <n v="0"/>
    <n v="1.4934091401428835"/>
    <n v="0"/>
    <n v="1.4934091401428835"/>
    <n v="0"/>
    <n v="0"/>
    <n v="0"/>
    <n v="0"/>
  </r>
  <r>
    <x v="38"/>
    <x v="4"/>
    <n v="1"/>
    <x v="2"/>
    <s v="Østdanmark"/>
    <n v="1513378.8566017656"/>
    <n v="639899.9324082589"/>
    <n v="0"/>
    <n v="0"/>
    <n v="0"/>
    <n v="0"/>
    <n v="0"/>
    <n v="0"/>
    <n v="873478.92419350671"/>
    <n v="0"/>
    <n v="0"/>
    <n v="0"/>
    <n v="0"/>
    <n v="0"/>
    <n v="0"/>
    <n v="0"/>
    <n v="0"/>
    <n v="0"/>
    <n v="0"/>
  </r>
  <r>
    <x v="39"/>
    <x v="10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</r>
  <r>
    <x v="40"/>
    <x v="10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</r>
  <r>
    <x v="41"/>
    <x v="1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</r>
  <r>
    <x v="42"/>
    <x v="2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</r>
  <r>
    <x v="43"/>
    <x v="10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59877.42984650948"/>
    <n v="0"/>
    <n v="0"/>
    <n v="0"/>
    <n v="0"/>
    <n v="0"/>
    <n v="659877.42984650948"/>
    <n v="0"/>
    <n v="0"/>
    <n v="0"/>
    <n v="659877.42984650948"/>
    <n v="0"/>
    <n v="9.5639789955469166"/>
    <n v="0"/>
    <n v="9.5639789955469166"/>
    <n v="0"/>
    <n v="326364.3788449195"/>
    <n v="0"/>
    <n v="326364.3788449195"/>
  </r>
  <r>
    <x v="47"/>
    <x v="10"/>
    <n v="0"/>
    <x v="2"/>
    <s v="Østdanmark"/>
    <n v="191018.35234338022"/>
    <n v="0"/>
    <n v="0"/>
    <n v="0"/>
    <n v="0"/>
    <n v="0"/>
    <n v="0"/>
    <n v="191018.3523433802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93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95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M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2">
    <i>
      <x v="2"/>
    </i>
    <i>
      <x v="8"/>
    </i>
    <i>
      <x v="10"/>
    </i>
    <i>
      <x v="12"/>
    </i>
    <i>
      <x v="13"/>
    </i>
    <i>
      <x v="15"/>
    </i>
    <i>
      <x v="22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1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96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96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9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96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9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9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96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93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95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272</v>
      </c>
      <c r="B1" s="422"/>
      <c r="D1" s="75" t="s">
        <v>285</v>
      </c>
    </row>
    <row r="2" spans="1:6" x14ac:dyDescent="0.25">
      <c r="A2" s="6" t="s">
        <v>0</v>
      </c>
      <c r="B2" s="222" t="s">
        <v>304</v>
      </c>
    </row>
    <row r="4" spans="1:6" ht="30" customHeight="1" thickBot="1" x14ac:dyDescent="0.3">
      <c r="A4" s="421" t="s">
        <v>271</v>
      </c>
      <c r="B4" s="421"/>
      <c r="D4" s="75"/>
    </row>
    <row r="5" spans="1:6" ht="15.75" thickTop="1" x14ac:dyDescent="0.25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3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307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55" zoomScaleNormal="55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4" t="s">
        <v>298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21" spans="17:18" x14ac:dyDescent="0.25">
      <c r="Q21" s="15"/>
      <c r="R21" s="15"/>
    </row>
    <row r="22" spans="17:18" x14ac:dyDescent="0.25">
      <c r="Q22" s="419">
        <f>561900</f>
        <v>561900</v>
      </c>
    </row>
    <row r="23" spans="17:18" x14ac:dyDescent="0.25">
      <c r="Q23" s="1">
        <v>760000</v>
      </c>
      <c r="R23" s="15">
        <f>Q23/Q22-1</f>
        <v>0.35255383520199324</v>
      </c>
    </row>
    <row r="24" spans="17:18" x14ac:dyDescent="0.25">
      <c r="Q24" s="1">
        <v>1000000</v>
      </c>
      <c r="R24" s="15">
        <f>Q24/Q22-1</f>
        <v>0.77967609894999113</v>
      </c>
    </row>
    <row r="34" spans="16:18" ht="15.75" x14ac:dyDescent="0.25">
      <c r="P34" s="340" t="s">
        <v>93</v>
      </c>
      <c r="Q34" s="340" t="s">
        <v>337</v>
      </c>
      <c r="R34" s="340" t="s">
        <v>338</v>
      </c>
    </row>
    <row r="35" spans="16:18" ht="15.75" x14ac:dyDescent="0.25">
      <c r="P35" s="340">
        <v>1990</v>
      </c>
      <c r="Q35" s="417">
        <v>20000000</v>
      </c>
      <c r="R35" s="341"/>
    </row>
    <row r="36" spans="16:18" ht="15.75" x14ac:dyDescent="0.25">
      <c r="P36" s="340">
        <f>År1</f>
        <v>2019</v>
      </c>
      <c r="Q36" s="418">
        <f>GETPIVOTDATA("Total",'CO2-pivot'!$A$1,"År",P36,"Sted2","CO2 - atmosfære")</f>
        <v>13911562.11827757</v>
      </c>
      <c r="R36" s="341">
        <f>1-Q36/$Q$35</f>
        <v>0.30442189408612153</v>
      </c>
    </row>
    <row r="37" spans="16:18" ht="15.75" x14ac:dyDescent="0.25">
      <c r="P37" s="340">
        <f>År2</f>
        <v>2030</v>
      </c>
      <c r="Q37" s="418">
        <f>GETPIVOTDATA("Total",'CO2-pivot'!$A$1,"År",P37,"Sted2","CO2 - atmosfære")</f>
        <v>5944363.3032441009</v>
      </c>
      <c r="R37" s="341">
        <f t="shared" ref="R37:R38" si="0">1-Q37/$Q$35</f>
        <v>0.70278183483779499</v>
      </c>
    </row>
    <row r="38" spans="16:18" ht="15.75" x14ac:dyDescent="0.25">
      <c r="P38" s="340">
        <f>År3</f>
        <v>2050</v>
      </c>
      <c r="Q38" s="418">
        <f>GETPIVOTDATA("Total",'CO2-pivot'!$A$1,"År",P38,"Sted2","CO2 - atmosfære")</f>
        <v>-97929.093596754246</v>
      </c>
      <c r="R38" s="341">
        <f t="shared" si="0"/>
        <v>1.0048964546798378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339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310</v>
      </c>
    </row>
    <row r="55" spans="1:1" x14ac:dyDescent="0.25">
      <c r="A55" s="387" t="s">
        <v>311</v>
      </c>
    </row>
    <row r="56" spans="1:1" x14ac:dyDescent="0.25">
      <c r="A56" s="362" t="s">
        <v>314</v>
      </c>
    </row>
    <row r="57" spans="1:1" x14ac:dyDescent="0.25">
      <c r="A57" s="347" t="s">
        <v>316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336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D6" sqref="D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bestFit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7.42578125" style="1" bestFit="1" customWidth="1"/>
    <col min="11" max="12" width="13.140625" style="1" bestFit="1" customWidth="1"/>
    <col min="13" max="13" width="15.85546875" style="1" bestFit="1" customWidth="1"/>
    <col min="14" max="15" width="13.140625" style="1" bestFit="1" customWidth="1"/>
    <col min="16" max="16" width="15.85546875" style="1" bestFit="1" customWidth="1"/>
    <col min="17" max="18" width="13.140625" style="1" bestFit="1" customWidth="1"/>
    <col min="19" max="19" width="9.140625" style="1"/>
    <col min="20" max="21" width="10.5703125" style="1" bestFit="1" customWidth="1"/>
    <col min="22" max="16384" width="9.140625" style="1"/>
  </cols>
  <sheetData>
    <row r="1" spans="1:22" x14ac:dyDescent="0.25">
      <c r="A1" s="228" t="s">
        <v>274</v>
      </c>
      <c r="B1" s="75" t="s">
        <v>300</v>
      </c>
    </row>
    <row r="2" spans="1:22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 t="s">
        <v>266</v>
      </c>
      <c r="C3" s="9">
        <v>78231.999999999985</v>
      </c>
      <c r="D3" s="22"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 t="s">
        <v>267</v>
      </c>
      <c r="C4" s="9">
        <v>21768.000000000015</v>
      </c>
      <c r="D4" s="22"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269</v>
      </c>
      <c r="C5" s="9">
        <v>250000</v>
      </c>
      <c r="D5" s="9">
        <v>500000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2149636</v>
      </c>
      <c r="N6" s="18">
        <f t="shared" si="2"/>
        <v>78733.999999999971</v>
      </c>
      <c r="O6" s="18">
        <f t="shared" si="2"/>
        <v>0</v>
      </c>
      <c r="P6" s="18">
        <f t="shared" si="2"/>
        <v>1899636</v>
      </c>
      <c r="Q6" s="18">
        <f t="shared" si="2"/>
        <v>0</v>
      </c>
      <c r="R6" s="18">
        <f t="shared" si="2"/>
        <v>0</v>
      </c>
      <c r="T6" s="15">
        <f t="shared" ref="T6:T9" si="3">SUMIFS($J6:$R6,$J$3:$R$3,T$3)/4293300</f>
        <v>0.60055668134069362</v>
      </c>
      <c r="U6" s="15">
        <f t="shared" si="1"/>
        <v>0.51903430927258754</v>
      </c>
      <c r="V6" s="15">
        <f t="shared" si="1"/>
        <v>0.44246523653133951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811900</v>
      </c>
      <c r="N7" s="18">
        <f t="shared" si="4"/>
        <v>0</v>
      </c>
      <c r="O7" s="18">
        <f t="shared" si="4"/>
        <v>0</v>
      </c>
      <c r="P7" s="18">
        <f t="shared" si="4"/>
        <v>1061900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0.18910861109170102</v>
      </c>
      <c r="V7" s="15">
        <f t="shared" si="1"/>
        <v>0.24733887685463396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N14" s="419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1621788.8908663751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1396112.1839026022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660346.70696377289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886023.41392754577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3030352.3130941684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527847.10913362482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503523.81609739771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151553.29303622711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175876.58607245423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948927.68690583168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948927.68690583168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6"/>
  <sheetViews>
    <sheetView zoomScale="70" zoomScaleNormal="70" workbookViewId="0">
      <selection activeCell="E13" sqref="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6.1549467093192839E-2</v>
      </c>
      <c r="E6" s="8"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0.17205823403117737</v>
      </c>
      <c r="E7" s="8"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0.16375440035420941</v>
      </c>
      <c r="E8" s="8"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0.85</v>
      </c>
      <c r="E11" s="3">
        <v>0.7</v>
      </c>
      <c r="G11" s="12"/>
      <c r="I11" s="1"/>
    </row>
    <row r="12" spans="1:9" x14ac:dyDescent="0.25">
      <c r="B12" s="2" t="s">
        <v>3</v>
      </c>
      <c r="C12" s="7">
        <v>1</v>
      </c>
      <c r="D12" s="3">
        <v>0.85</v>
      </c>
      <c r="E12" s="3">
        <v>0.7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</v>
      </c>
      <c r="E18" s="3">
        <v>1</v>
      </c>
      <c r="F18" s="12"/>
      <c r="G18" s="179"/>
    </row>
    <row r="20" spans="2:11" x14ac:dyDescent="0.25">
      <c r="B20" s="427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326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0.41</v>
      </c>
      <c r="E32" s="90">
        <v>0.41</v>
      </c>
      <c r="F32" s="1"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0.122</v>
      </c>
      <c r="E33" s="90">
        <v>0.122</v>
      </c>
      <c r="F33" s="1">
        <v>3.5000000000000003E-2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6.5329688585482673E-2</v>
      </c>
      <c r="E34" s="90">
        <v>6.5329688585482673E-2</v>
      </c>
      <c r="F34" s="1"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0.09</v>
      </c>
      <c r="E35" s="90">
        <v>0.13</v>
      </c>
      <c r="F35" s="1">
        <v>0.10100000000000001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0.03</v>
      </c>
      <c r="E36" s="90">
        <v>3.9E-2</v>
      </c>
      <c r="F36" s="1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F37" s="1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1.3466912404096722E-2</v>
      </c>
      <c r="E38" s="90">
        <v>0.04</v>
      </c>
      <c r="F38" s="1"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5.6000000000000001E-2</v>
      </c>
      <c r="E39" s="90">
        <v>5.6000000000000001E-2</v>
      </c>
      <c r="F39" s="1">
        <v>5.8999999999999997E-2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F40" s="1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2.7968670218625629E-2</v>
      </c>
      <c r="E41" s="90">
        <v>2.7968670218625629E-2</v>
      </c>
      <c r="F41" s="1"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F42" s="1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F43" s="1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F44" s="1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0.11</v>
      </c>
      <c r="E45" s="90">
        <v>3.5000000000000003E-2</v>
      </c>
      <c r="F45" s="1">
        <v>7.0999999999999994E-2</v>
      </c>
      <c r="K45" s="12"/>
    </row>
    <row r="46" spans="2:11" x14ac:dyDescent="0.25">
      <c r="B46" s="25" t="s">
        <v>291</v>
      </c>
      <c r="C46" s="87"/>
      <c r="D46" s="89">
        <f>SUM(D32:D45)</f>
        <v>0.99959249810155038</v>
      </c>
      <c r="E46" s="89">
        <f>SUM(E32:E45)</f>
        <v>1.0001255856974538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333289.88902643928</v>
      </c>
      <c r="E47" s="115" cm="1">
        <f t="array" ref="E47">SUMPRODUCT((E32:E45&gt;$C$32:$C$45)*(E32:E45-$C$32:$C$45))*Arealanvendelse!P6</f>
        <v>342297.4111199149</v>
      </c>
      <c r="K47" s="12"/>
    </row>
    <row r="48" spans="2:11" x14ac:dyDescent="0.25">
      <c r="B48" s="25" t="s">
        <v>241</v>
      </c>
      <c r="C48" s="109"/>
      <c r="D48" s="115">
        <f>1%*Arealanvendelse!M6</f>
        <v>21496.36</v>
      </c>
      <c r="E48" s="115">
        <f>1%*Arealanvendelse!P6</f>
        <v>18996.36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C51</f>
        <v>6.475478040220463E-3</v>
      </c>
    </row>
    <row r="56" spans="2:8" x14ac:dyDescent="0.25">
      <c r="C56" s="420">
        <f>SUM(C32,C35,C38:C39,C45)</f>
        <v>0.79569205391369902</v>
      </c>
      <c r="D56" s="420">
        <f>SUM(D32,D35,D38:D39,D45)</f>
        <v>0.67946691240409673</v>
      </c>
      <c r="E56" s="420">
        <f>SUM(E32,E35,E38:E39,E45)</f>
        <v>0.67100000000000015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70" zoomScaleNormal="70" workbookViewId="0">
      <selection activeCell="D1" sqref="D1:E1048576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10" style="1" bestFit="1" customWidth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318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0.4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v>0</v>
      </c>
      <c r="E5" s="311"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v>5.2820478093045303E-3</v>
      </c>
      <c r="E6" s="311"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8.5000000000000006E-2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v>0.115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0.03</v>
      </c>
      <c r="F14" s="1" t="s">
        <v>319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0.13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v>0.13600000000000001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ROUND(SUM(E3:E17),4)</f>
        <v>1.0003</v>
      </c>
      <c r="F18" s="315" t="s">
        <v>320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D17" sqref="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0.05</v>
      </c>
      <c r="D13" s="8">
        <v>0.05</v>
      </c>
    </row>
    <row r="14" spans="1:4" x14ac:dyDescent="0.25">
      <c r="A14" s="2" t="s">
        <v>177</v>
      </c>
      <c r="B14" s="7">
        <v>0</v>
      </c>
      <c r="C14" s="8">
        <v>0.45</v>
      </c>
      <c r="D14" s="8">
        <v>0.45</v>
      </c>
    </row>
    <row r="15" spans="1:4" x14ac:dyDescent="0.25">
      <c r="A15" s="2" t="s">
        <v>178</v>
      </c>
      <c r="B15" s="7">
        <v>0</v>
      </c>
      <c r="C15" s="8">
        <v>0.05</v>
      </c>
      <c r="D15" s="8">
        <v>0.05</v>
      </c>
    </row>
    <row r="16" spans="1:4" x14ac:dyDescent="0.25">
      <c r="A16" s="2" t="s">
        <v>179</v>
      </c>
      <c r="B16" s="7">
        <v>0</v>
      </c>
      <c r="C16" s="8">
        <v>0.45</v>
      </c>
      <c r="D16" s="8">
        <v>0.45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11315.267374341487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6602.0450915613073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1415.0620694361962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888.49064287537931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1134.4707134716939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6647.4648207866212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142.36792289194113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902.41081297325024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11315.267374341487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1415.0620694361962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1130.7293738847127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141.89841165687196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101852.98130598714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61702.075574020404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12737.513167595978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8287.515680003773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10194.66148433148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60328.186721078651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1279.3567633572588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8179.079522715766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99355.87380236364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12425.118481567768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9873.4238477045237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1239.0437481879721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11315.267374341487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6600.3664259988182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1415.0620694361962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888.27998240920442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1134.4707134716939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6647.4648207866212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142.36792289194113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902.41081297325024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11315.267374341487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1415.0620694361962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1132.4080394471998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142.1090721230467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101859.81908316878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61889.948479050814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12738.371259499972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8313.2857655647495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10187.823707149828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60529.495597882167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1278.4986714532636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8201.9487090238072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98979.566150862811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12378.094820549499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9860.5497173715066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1237.4281373372141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12449.738087813181</v>
      </c>
      <c r="D50" s="109">
        <f t="shared" ca="1" si="0"/>
        <v>25695.506660574127</v>
      </c>
      <c r="E50" s="109">
        <f t="shared" ca="1" si="0"/>
        <v>0</v>
      </c>
      <c r="F50" s="109">
        <f t="shared" ca="1" si="0"/>
        <v>1557.4299923281374</v>
      </c>
      <c r="G50" s="109">
        <f t="shared" ca="1" si="0"/>
        <v>3347.8619369416974</v>
      </c>
      <c r="H50" s="109">
        <f t="shared" ref="H50:H54" ca="1" si="2">SUM(B50,E50)</f>
        <v>0</v>
      </c>
      <c r="I50" s="109">
        <f t="shared" ca="1" si="1"/>
        <v>14007.168080141319</v>
      </c>
      <c r="J50" s="109">
        <f t="shared" ca="1" si="1"/>
        <v>29043.368597515822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112047.64279031861</v>
      </c>
      <c r="D51" s="109">
        <f t="shared" ca="1" si="0"/>
        <v>231259.55994516722</v>
      </c>
      <c r="E51" s="109">
        <f t="shared" ca="1" si="0"/>
        <v>0</v>
      </c>
      <c r="F51" s="109">
        <f t="shared" ca="1" si="0"/>
        <v>14016.869930953237</v>
      </c>
      <c r="G51" s="109">
        <f t="shared" ca="1" si="0"/>
        <v>30130.757432475279</v>
      </c>
      <c r="H51" s="109">
        <f t="shared" ca="1" si="2"/>
        <v>0</v>
      </c>
      <c r="I51" s="109">
        <f t="shared" ca="1" si="1"/>
        <v>126064.51272127185</v>
      </c>
      <c r="J51" s="109">
        <f t="shared" ca="1" si="1"/>
        <v>261390.3173776425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12449.738087813181</v>
      </c>
      <c r="D52" s="109">
        <f t="shared" ca="1" si="0"/>
        <v>25695.506660574127</v>
      </c>
      <c r="E52" s="109">
        <f t="shared" ca="1" si="0"/>
        <v>0</v>
      </c>
      <c r="F52" s="109">
        <f t="shared" ca="1" si="0"/>
        <v>1557.4299923281374</v>
      </c>
      <c r="G52" s="109">
        <f t="shared" ca="1" si="0"/>
        <v>3347.8619369416974</v>
      </c>
      <c r="H52" s="109">
        <f t="shared" ca="1" si="2"/>
        <v>0</v>
      </c>
      <c r="I52" s="109">
        <f t="shared" ca="1" si="1"/>
        <v>14007.168080141319</v>
      </c>
      <c r="J52" s="109">
        <f t="shared" ca="1" si="1"/>
        <v>29043.368597515822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112047.64279031861</v>
      </c>
      <c r="D53" s="109">
        <f t="shared" ca="1" si="0"/>
        <v>231259.5599451673</v>
      </c>
      <c r="E53" s="109">
        <f t="shared" ca="1" si="0"/>
        <v>0</v>
      </c>
      <c r="F53" s="109">
        <f t="shared" ca="1" si="0"/>
        <v>14016.869930953237</v>
      </c>
      <c r="G53" s="109">
        <f t="shared" ca="1" si="0"/>
        <v>30130.757432475271</v>
      </c>
      <c r="H53" s="109">
        <f t="shared" ca="1" si="2"/>
        <v>0</v>
      </c>
      <c r="I53" s="109">
        <f t="shared" ca="1" si="1"/>
        <v>126064.51272127185</v>
      </c>
      <c r="J53" s="109">
        <f t="shared" ca="1" si="1"/>
        <v>261390.31737764258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2" sqref="D2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333</v>
      </c>
      <c r="E1" s="168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(IF(B2="Vestdanmark",Skovbrug!$C$22-(Skovbrug!$C$22)*(1-Skovbrug!$C$9)^(C2-Skovbrug!$B$12),Skovbrug!$F$22-(Skovbrug!$F$22)*(1-Skovbrug!$C$9)^(C2-Skovbrug!$B$12)))*VLOOKUP(A2,Skovbrug!$A$13:$D$17,IF('Skovbrug-alder'!C2&lt;=År2,3,4),FALSE)
-IF(C2&gt;2020,SUM(INDEX($C$1:$D$311,MATCH(1,(2020=$C$1:$C$311)*(B2=$B$1:$B$311)*(A2=$A$1:$A$311),0),2):D1),0)</f>
        <v>108.66749999999884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1134.4707134716939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(IF(B3="Vestdanmark",Skovbrug!$C$22-(Skovbrug!$C$22)*(1-Skovbrug!$C$9)^(C3-Skovbrug!$B$12),Skovbrug!$F$22-(Skovbrug!$F$22)*(1-Skovbrug!$C$9)^(C3-Skovbrug!$B$12)))*VLOOKUP(A3,Skovbrug!$A$13:$D$17,IF('Skovbrug-alder'!C3&lt;=År2,3,4),FALSE)
-IF(C3&gt;2020,SUM(INDEX($C$1:$D$311,MATCH(1,(2020=$C$1:$C$311)*(B3=$B$1:$B$311)*(A3=$A$1:$A$311),0),2):D2),0)</f>
        <v>108.12416249999951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1133.9273759716946</v>
      </c>
      <c r="G3" s="168">
        <f ca="1">IF($C3-G$1&lt;År1,0,F2*(1-VLOOKUP($A3,[1]Hugst!$R$5:$W$9,MATCH(ROUNDUP((G$1)/10,0)*10,[1]Hugst!$R$4:$W$4,0))))</f>
        <v>1134.4707134716939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(IF(B4="Vestdanmark",Skovbrug!$C$22-(Skovbrug!$C$22)*(1-Skovbrug!$C$9)^(C4-Skovbrug!$B$12),Skovbrug!$F$22-(Skovbrug!$F$22)*(1-Skovbrug!$C$9)^(C4-Skovbrug!$B$12)))*VLOOKUP(A4,Skovbrug!$A$13:$D$17,IF('Skovbrug-alder'!C4&lt;=År2,3,4),FALSE)
-IF(C4&gt;2020,SUM(INDEX($C$1:$D$311,MATCH(1,(2020=$C$1:$C$311)*(B4=$B$1:$B$311)*(A4=$A$1:$A$311),0),2):D3),0)</f>
        <v>107.58354168750233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1133.3867551591973</v>
      </c>
      <c r="G4" s="168">
        <f ca="1">IF($C4-G$1&lt;År1,0,F3*(1-VLOOKUP($A4,[1]Hugst!$R$5:$W$9,MATCH(ROUNDUP((G$1)/10,0)*10,[1]Hugst!$R$4:$W$4,0))))</f>
        <v>1133.9273759716946</v>
      </c>
      <c r="H4" s="168">
        <f ca="1">IF($C4-H$1&lt;År1,0,G3*(1-VLOOKUP($A4,[1]Hugst!$R$5:$W$9,MATCH(ROUNDUP((H$1)/10,0)*10,[1]Hugst!$R$4:$W$4,0))))</f>
        <v>1134.4707134716939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(IF(B5="Vestdanmark",Skovbrug!$C$22-(Skovbrug!$C$22)*(1-Skovbrug!$C$9)^(C5-Skovbrug!$B$12),Skovbrug!$F$22-(Skovbrug!$F$22)*(1-Skovbrug!$C$9)^(C5-Skovbrug!$B$12)))*VLOOKUP(A5,Skovbrug!$A$13:$D$17,IF('Skovbrug-alder'!C5&lt;=År2,3,4),FALSE)
-IF(C5&gt;2020,SUM(INDEX($C$1:$D$311,MATCH(1,(2020=$C$1:$C$311)*(B5=$B$1:$B$311)*(A5=$A$1:$A$311),0),2):D4),0)</f>
        <v>107.04562397905971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1132.8488374507547</v>
      </c>
      <c r="G5" s="168">
        <f ca="1">IF($C5-G$1&lt;År1,0,F4*(1-VLOOKUP($A5,[1]Hugst!$R$5:$W$9,MATCH(ROUNDUP((G$1)/10,0)*10,[1]Hugst!$R$4:$W$4,0))))</f>
        <v>1133.3867551591973</v>
      </c>
      <c r="H5" s="168">
        <f ca="1">IF($C5-H$1&lt;År1,0,G4*(1-VLOOKUP($A5,[1]Hugst!$R$5:$W$9,MATCH(ROUNDUP((H$1)/10,0)*10,[1]Hugst!$R$4:$W$4,0))))</f>
        <v>1133.9273759716946</v>
      </c>
      <c r="I5" s="168">
        <f ca="1">IF($C5-I$1&lt;År1,0,H4*(1-VLOOKUP($A5,[1]Hugst!$R$5:$W$9,MATCH(ROUNDUP((I$1)/10,0)*10,[1]Hugst!$R$4:$W$4,0))))</f>
        <v>1134.4707134716939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(IF(B6="Vestdanmark",Skovbrug!$C$22-(Skovbrug!$C$22)*(1-Skovbrug!$C$9)^(C6-Skovbrug!$B$12),Skovbrug!$F$22-(Skovbrug!$F$22)*(1-Skovbrug!$C$9)^(C6-Skovbrug!$B$12)))*VLOOKUP(A6,Skovbrug!$A$13:$D$17,IF('Skovbrug-alder'!C6&lt;=År2,3,4),FALSE)
-IF(C6&gt;2020,SUM(INDEX($C$1:$D$311,MATCH(1,(2020=$C$1:$C$311)*(B6=$B$1:$B$311)*(A6=$A$1:$A$311),0),2):D5),0)</f>
        <v>106.51039585916732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1132.3136093308624</v>
      </c>
      <c r="G6" s="168">
        <f ca="1">IF($C6-G$1&lt;År1,0,F5*(1-VLOOKUP($A6,[1]Hugst!$R$5:$W$9,MATCH(ROUNDUP((G$1)/10,0)*10,[1]Hugst!$R$4:$W$4,0))))</f>
        <v>1132.8488374507547</v>
      </c>
      <c r="H6" s="168">
        <f ca="1">IF($C6-H$1&lt;År1,0,G5*(1-VLOOKUP($A6,[1]Hugst!$R$5:$W$9,MATCH(ROUNDUP((H$1)/10,0)*10,[1]Hugst!$R$4:$W$4,0))))</f>
        <v>1133.3867551591973</v>
      </c>
      <c r="I6" s="168">
        <f ca="1">IF($C6-I$1&lt;År1,0,H5*(1-VLOOKUP($A6,[1]Hugst!$R$5:$W$9,MATCH(ROUNDUP((I$1)/10,0)*10,[1]Hugst!$R$4:$W$4,0))))</f>
        <v>1133.9273759716946</v>
      </c>
      <c r="J6" s="168">
        <f ca="1">IF($C6-J$1&lt;År1,0,I5*(1-VLOOKUP($A6,[1]Hugst!$R$5:$W$9,MATCH(ROUNDUP((J$1)/10,0)*10,[1]Hugst!$R$4:$W$4,0))))</f>
        <v>1134.4707134716939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(IF(B7="Vestdanmark",Skovbrug!$C$22-(Skovbrug!$C$22)*(1-Skovbrug!$C$9)^(C7-Skovbrug!$B$12),Skovbrug!$F$22-(Skovbrug!$F$22)*(1-Skovbrug!$C$9)^(C7-Skovbrug!$B$12)))*VLOOKUP(A7,Skovbrug!$A$13:$D$17,IF('Skovbrug-alder'!C7&lt;=År2,3,4),FALSE)
-IF(C7&gt;2020,SUM(INDEX($C$1:$D$311,MATCH(1,(2020=$C$1:$C$311)*(B7=$B$1:$B$311)*(A7=$A$1:$A$311),0),2):D6),0)</f>
        <v>105.97784387987053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1131.7810573515656</v>
      </c>
      <c r="G7" s="168">
        <f ca="1">IF($C7-G$1&lt;År1,0,F6*(1-VLOOKUP($A7,[1]Hugst!$R$5:$W$9,MATCH(ROUNDUP((G$1)/10,0)*10,[1]Hugst!$R$4:$W$4,0))))</f>
        <v>1132.3136093308624</v>
      </c>
      <c r="H7" s="168">
        <f ca="1">IF($C7-H$1&lt;År1,0,G6*(1-VLOOKUP($A7,[1]Hugst!$R$5:$W$9,MATCH(ROUNDUP((H$1)/10,0)*10,[1]Hugst!$R$4:$W$4,0))))</f>
        <v>1132.8488374507547</v>
      </c>
      <c r="I7" s="168">
        <f ca="1">IF($C7-I$1&lt;År1,0,H6*(1-VLOOKUP($A7,[1]Hugst!$R$5:$W$9,MATCH(ROUNDUP((I$1)/10,0)*10,[1]Hugst!$R$4:$W$4,0))))</f>
        <v>1133.3867551591973</v>
      </c>
      <c r="J7" s="168">
        <f ca="1">IF($C7-J$1&lt;År1,0,I6*(1-VLOOKUP($A7,[1]Hugst!$R$5:$W$9,MATCH(ROUNDUP((J$1)/10,0)*10,[1]Hugst!$R$4:$W$4,0))))</f>
        <v>1133.9273759716946</v>
      </c>
      <c r="K7" s="168">
        <f ca="1">IF($C7-K$1&lt;År1,0,J6*(1-VLOOKUP($A7,[1]Hugst!$R$5:$W$9,MATCH(ROUNDUP((K$1)/10,0)*10,[1]Hugst!$R$4:$W$4,0))))</f>
        <v>1134.4707134716939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(IF(B8="Vestdanmark",Skovbrug!$C$22-(Skovbrug!$C$22)*(1-Skovbrug!$C$9)^(C8-Skovbrug!$B$12),Skovbrug!$F$22-(Skovbrug!$F$22)*(1-Skovbrug!$C$9)^(C8-Skovbrug!$B$12)))*VLOOKUP(A8,Skovbrug!$A$13:$D$17,IF('Skovbrug-alder'!C8&lt;=År2,3,4),FALSE)
-IF(C8&gt;2020,SUM(INDEX($C$1:$D$311,MATCH(1,(2020=$C$1:$C$311)*(B8=$B$1:$B$311)*(A8=$A$1:$A$311),0),2):D7),0)</f>
        <v>105.44795466047367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1131.2511681321687</v>
      </c>
      <c r="G8" s="168">
        <f ca="1">IF($C8-G$1&lt;År1,0,F7*(1-VLOOKUP($A8,[1]Hugst!$R$5:$W$9,MATCH(ROUNDUP((G$1)/10,0)*10,[1]Hugst!$R$4:$W$4,0))))</f>
        <v>1131.7810573515656</v>
      </c>
      <c r="H8" s="168">
        <f ca="1">IF($C8-H$1&lt;År1,0,G7*(1-VLOOKUP($A8,[1]Hugst!$R$5:$W$9,MATCH(ROUNDUP((H$1)/10,0)*10,[1]Hugst!$R$4:$W$4,0))))</f>
        <v>1132.3136093308624</v>
      </c>
      <c r="I8" s="168">
        <f ca="1">IF($C8-I$1&lt;År1,0,H7*(1-VLOOKUP($A8,[1]Hugst!$R$5:$W$9,MATCH(ROUNDUP((I$1)/10,0)*10,[1]Hugst!$R$4:$W$4,0))))</f>
        <v>1132.8488374507547</v>
      </c>
      <c r="J8" s="168">
        <f ca="1">IF($C8-J$1&lt;År1,0,I7*(1-VLOOKUP($A8,[1]Hugst!$R$5:$W$9,MATCH(ROUNDUP((J$1)/10,0)*10,[1]Hugst!$R$4:$W$4,0))))</f>
        <v>1133.3867551591973</v>
      </c>
      <c r="K8" s="168">
        <f ca="1">IF($C8-K$1&lt;År1,0,J7*(1-VLOOKUP($A8,[1]Hugst!$R$5:$W$9,MATCH(ROUNDUP((K$1)/10,0)*10,[1]Hugst!$R$4:$W$4,0))))</f>
        <v>1133.9273759716946</v>
      </c>
      <c r="L8" s="168">
        <f ca="1">IF($C8-L$1&lt;År1,0,K7*(1-VLOOKUP($A8,[1]Hugst!$R$5:$W$9,MATCH(ROUNDUP((L$1)/10,0)*10,[1]Hugst!$R$4:$W$4,0))))</f>
        <v>1134.4707134716939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(IF(B9="Vestdanmark",Skovbrug!$C$22-(Skovbrug!$C$22)*(1-Skovbrug!$C$9)^(C9-Skovbrug!$B$12),Skovbrug!$F$22-(Skovbrug!$F$22)*(1-Skovbrug!$C$9)^(C9-Skovbrug!$B$12)))*VLOOKUP(A9,Skovbrug!$A$13:$D$17,IF('Skovbrug-alder'!C9&lt;=År2,3,4),FALSE)
-IF(C9&gt;2020,SUM(INDEX($C$1:$D$311,MATCH(1,(2020=$C$1:$C$311)*(B9=$B$1:$B$311)*(A9=$A$1:$A$311),0),2):D8),0)</f>
        <v>104.92071488717045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1130.7239283588656</v>
      </c>
      <c r="G9" s="168">
        <f ca="1">IF($C9-G$1&lt;År1,0,F8*(1-VLOOKUP($A9,[1]Hugst!$R$5:$W$9,MATCH(ROUNDUP((G$1)/10,0)*10,[1]Hugst!$R$4:$W$4,0))))</f>
        <v>1131.2511681321687</v>
      </c>
      <c r="H9" s="168">
        <f ca="1">IF($C9-H$1&lt;År1,0,G8*(1-VLOOKUP($A9,[1]Hugst!$R$5:$W$9,MATCH(ROUNDUP((H$1)/10,0)*10,[1]Hugst!$R$4:$W$4,0))))</f>
        <v>1131.7810573515656</v>
      </c>
      <c r="I9" s="168">
        <f ca="1">IF($C9-I$1&lt;År1,0,H8*(1-VLOOKUP($A9,[1]Hugst!$R$5:$W$9,MATCH(ROUNDUP((I$1)/10,0)*10,[1]Hugst!$R$4:$W$4,0))))</f>
        <v>1132.3136093308624</v>
      </c>
      <c r="J9" s="168">
        <f ca="1">IF($C9-J$1&lt;År1,0,I8*(1-VLOOKUP($A9,[1]Hugst!$R$5:$W$9,MATCH(ROUNDUP((J$1)/10,0)*10,[1]Hugst!$R$4:$W$4,0))))</f>
        <v>1132.8488374507547</v>
      </c>
      <c r="K9" s="168">
        <f ca="1">IF($C9-K$1&lt;År1,0,J8*(1-VLOOKUP($A9,[1]Hugst!$R$5:$W$9,MATCH(ROUNDUP((K$1)/10,0)*10,[1]Hugst!$R$4:$W$4,0))))</f>
        <v>1133.3867551591973</v>
      </c>
      <c r="L9" s="168">
        <f ca="1">IF($C9-L$1&lt;År1,0,K8*(1-VLOOKUP($A9,[1]Hugst!$R$5:$W$9,MATCH(ROUNDUP((L$1)/10,0)*10,[1]Hugst!$R$4:$W$4,0))))</f>
        <v>1133.9273759716946</v>
      </c>
      <c r="M9" s="168">
        <f ca="1">IF($C9-M$1&lt;År1,0,L8*(1-VLOOKUP($A9,[1]Hugst!$R$5:$W$9,MATCH(ROUNDUP((M$1)/10,0)*10,[1]Hugst!$R$4:$W$4,0))))</f>
        <v>1134.4707134716939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(IF(B10="Vestdanmark",Skovbrug!$C$22-(Skovbrug!$C$22)*(1-Skovbrug!$C$9)^(C10-Skovbrug!$B$12),Skovbrug!$F$22-(Skovbrug!$F$22)*(1-Skovbrug!$C$9)^(C10-Skovbrug!$B$12)))*VLOOKUP(A10,Skovbrug!$A$13:$D$17,IF('Skovbrug-alder'!C10&lt;=År2,3,4),FALSE)
-IF(C10&gt;2020,SUM(INDEX($C$1:$D$311,MATCH(1,(2020=$C$1:$C$311)*(B10=$B$1:$B$311)*(A10=$A$1:$A$311),0),2):D9),0)</f>
        <v>104.39611131273261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1130.1993247844275</v>
      </c>
      <c r="G10" s="168">
        <f ca="1">IF($C10-G$1&lt;År1,0,F9*(1-VLOOKUP($A10,[1]Hugst!$R$5:$W$9,MATCH(ROUNDUP((G$1)/10,0)*10,[1]Hugst!$R$4:$W$4,0))))</f>
        <v>1130.7239283588656</v>
      </c>
      <c r="H10" s="168">
        <f ca="1">IF($C10-H$1&lt;År1,0,G9*(1-VLOOKUP($A10,[1]Hugst!$R$5:$W$9,MATCH(ROUNDUP((H$1)/10,0)*10,[1]Hugst!$R$4:$W$4,0))))</f>
        <v>1131.2511681321687</v>
      </c>
      <c r="I10" s="168">
        <f ca="1">IF($C10-I$1&lt;År1,0,H9*(1-VLOOKUP($A10,[1]Hugst!$R$5:$W$9,MATCH(ROUNDUP((I$1)/10,0)*10,[1]Hugst!$R$4:$W$4,0))))</f>
        <v>1131.7810573515656</v>
      </c>
      <c r="J10" s="168">
        <f ca="1">IF($C10-J$1&lt;År1,0,I9*(1-VLOOKUP($A10,[1]Hugst!$R$5:$W$9,MATCH(ROUNDUP((J$1)/10,0)*10,[1]Hugst!$R$4:$W$4,0))))</f>
        <v>1132.3136093308624</v>
      </c>
      <c r="K10" s="168">
        <f ca="1">IF($C10-K$1&lt;År1,0,J9*(1-VLOOKUP($A10,[1]Hugst!$R$5:$W$9,MATCH(ROUNDUP((K$1)/10,0)*10,[1]Hugst!$R$4:$W$4,0))))</f>
        <v>1132.8488374507547</v>
      </c>
      <c r="L10" s="168">
        <f ca="1">IF($C10-L$1&lt;År1,0,K9*(1-VLOOKUP($A10,[1]Hugst!$R$5:$W$9,MATCH(ROUNDUP((L$1)/10,0)*10,[1]Hugst!$R$4:$W$4,0))))</f>
        <v>1133.3867551591973</v>
      </c>
      <c r="M10" s="168">
        <f ca="1">IF($C10-M$1&lt;År1,0,L9*(1-VLOOKUP($A10,[1]Hugst!$R$5:$W$9,MATCH(ROUNDUP((M$1)/10,0)*10,[1]Hugst!$R$4:$W$4,0))))</f>
        <v>1133.9273759716946</v>
      </c>
      <c r="N10" s="168">
        <f ca="1">IF($C10-N$1&lt;År1,0,M9*(1-VLOOKUP($A10,[1]Hugst!$R$5:$W$9,MATCH(ROUNDUP((N$1)/10,0)*10,[1]Hugst!$R$4:$W$4,0))))</f>
        <v>1134.4707134716939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(IF(B11="Vestdanmark",Skovbrug!$C$22-(Skovbrug!$C$22)*(1-Skovbrug!$C$9)^(C11-Skovbrug!$B$12),Skovbrug!$F$22-(Skovbrug!$F$22)*(1-Skovbrug!$C$9)^(C11-Skovbrug!$B$12)))*VLOOKUP(A11,Skovbrug!$A$13:$D$17,IF('Skovbrug-alder'!C11&lt;=År2,3,4),FALSE)
-IF(C11&gt;2020,SUM(INDEX($C$1:$D$311,MATCH(1,(2020=$C$1:$C$311)*(B11=$B$1:$B$311)*(A11=$A$1:$A$311),0),2):D10),0)</f>
        <v>103.87413075616928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1129.6773442278643</v>
      </c>
      <c r="G11" s="168">
        <f ca="1">IF($C11-G$1&lt;År1,0,F10*(1-VLOOKUP($A11,[1]Hugst!$R$5:$W$9,MATCH(ROUNDUP((G$1)/10,0)*10,[1]Hugst!$R$4:$W$4,0))))</f>
        <v>1130.1993247844275</v>
      </c>
      <c r="H11" s="168">
        <f ca="1">IF($C11-H$1&lt;År1,0,G10*(1-VLOOKUP($A11,[1]Hugst!$R$5:$W$9,MATCH(ROUNDUP((H$1)/10,0)*10,[1]Hugst!$R$4:$W$4,0))))</f>
        <v>1130.7239283588656</v>
      </c>
      <c r="I11" s="168">
        <f ca="1">IF($C11-I$1&lt;År1,0,H10*(1-VLOOKUP($A11,[1]Hugst!$R$5:$W$9,MATCH(ROUNDUP((I$1)/10,0)*10,[1]Hugst!$R$4:$W$4,0))))</f>
        <v>1131.2511681321687</v>
      </c>
      <c r="J11" s="168">
        <f ca="1">IF($C11-J$1&lt;År1,0,I10*(1-VLOOKUP($A11,[1]Hugst!$R$5:$W$9,MATCH(ROUNDUP((J$1)/10,0)*10,[1]Hugst!$R$4:$W$4,0))))</f>
        <v>1131.7810573515656</v>
      </c>
      <c r="K11" s="168">
        <f ca="1">IF($C11-K$1&lt;År1,0,J10*(1-VLOOKUP($A11,[1]Hugst!$R$5:$W$9,MATCH(ROUNDUP((K$1)/10,0)*10,[1]Hugst!$R$4:$W$4,0))))</f>
        <v>1132.3136093308624</v>
      </c>
      <c r="L11" s="168">
        <f ca="1">IF($C11-L$1&lt;År1,0,K10*(1-VLOOKUP($A11,[1]Hugst!$R$5:$W$9,MATCH(ROUNDUP((L$1)/10,0)*10,[1]Hugst!$R$4:$W$4,0))))</f>
        <v>1132.8488374507547</v>
      </c>
      <c r="M11" s="168">
        <f ca="1">IF($C11-M$1&lt;År1,0,L10*(1-VLOOKUP($A11,[1]Hugst!$R$5:$W$9,MATCH(ROUNDUP((M$1)/10,0)*10,[1]Hugst!$R$4:$W$4,0))))</f>
        <v>1133.3867551591973</v>
      </c>
      <c r="N11" s="168">
        <f ca="1">IF($C11-N$1&lt;År1,0,M10*(1-VLOOKUP($A11,[1]Hugst!$R$5:$W$9,MATCH(ROUNDUP((N$1)/10,0)*10,[1]Hugst!$R$4:$W$4,0))))</f>
        <v>1133.9273759716946</v>
      </c>
      <c r="O11" s="168">
        <f ca="1">IF($C11-O$1&lt;År1,0,N10*(1-VLOOKUP($A11,[1]Hugst!$R$5:$W$9,MATCH(ROUNDUP((O$1)/10,0)*10,[1]Hugst!$R$4:$W$4,0))))</f>
        <v>1134.4707134716939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(IF(B12="Vestdanmark",Skovbrug!$C$22-(Skovbrug!$C$22)*(1-Skovbrug!$C$9)^(C12-Skovbrug!$B$12),Skovbrug!$F$22-(Skovbrug!$F$22)*(1-Skovbrug!$C$9)^(C12-Skovbrug!$B$12)))*VLOOKUP(A12,Skovbrug!$A$13:$D$17,IF('Skovbrug-alder'!C12&lt;=År2,3,4),FALSE)
-IF(C12&gt;2020,SUM(INDEX($C$1:$D$311,MATCH(1,(2020=$C$1:$C$311)*(B12=$B$1:$B$311)*(A12=$A$1:$A$311),0),2):D11),0)</f>
        <v>103.35476010239222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1129.1579735740872</v>
      </c>
      <c r="G12" s="168">
        <f ca="1">IF($C12-G$1&lt;År1,0,F11*(1-VLOOKUP($A12,[1]Hugst!$R$5:$W$9,MATCH(ROUNDUP((G$1)/10,0)*10,[1]Hugst!$R$4:$W$4,0))))</f>
        <v>1129.6773442278643</v>
      </c>
      <c r="H12" s="168">
        <f ca="1">IF($C12-H$1&lt;År1,0,G11*(1-VLOOKUP($A12,[1]Hugst!$R$5:$W$9,MATCH(ROUNDUP((H$1)/10,0)*10,[1]Hugst!$R$4:$W$4,0))))</f>
        <v>1130.1993247844275</v>
      </c>
      <c r="I12" s="168">
        <f ca="1">IF($C12-I$1&lt;År1,0,H11*(1-VLOOKUP($A12,[1]Hugst!$R$5:$W$9,MATCH(ROUNDUP((I$1)/10,0)*10,[1]Hugst!$R$4:$W$4,0))))</f>
        <v>1130.7239283588656</v>
      </c>
      <c r="J12" s="168">
        <f ca="1">IF($C12-J$1&lt;År1,0,I11*(1-VLOOKUP($A12,[1]Hugst!$R$5:$W$9,MATCH(ROUNDUP((J$1)/10,0)*10,[1]Hugst!$R$4:$W$4,0))))</f>
        <v>1131.2511681321687</v>
      </c>
      <c r="K12" s="168">
        <f ca="1">IF($C12-K$1&lt;År1,0,J11*(1-VLOOKUP($A12,[1]Hugst!$R$5:$W$9,MATCH(ROUNDUP((K$1)/10,0)*10,[1]Hugst!$R$4:$W$4,0))))</f>
        <v>1131.7810573515656</v>
      </c>
      <c r="L12" s="168">
        <f ca="1">IF($C12-L$1&lt;År1,0,K11*(1-VLOOKUP($A12,[1]Hugst!$R$5:$W$9,MATCH(ROUNDUP((L$1)/10,0)*10,[1]Hugst!$R$4:$W$4,0))))</f>
        <v>1132.3136093308624</v>
      </c>
      <c r="M12" s="168">
        <f ca="1">IF($C12-M$1&lt;År1,0,L11*(1-VLOOKUP($A12,[1]Hugst!$R$5:$W$9,MATCH(ROUNDUP((M$1)/10,0)*10,[1]Hugst!$R$4:$W$4,0))))</f>
        <v>1132.8488374507547</v>
      </c>
      <c r="N12" s="168">
        <f ca="1">IF($C12-N$1&lt;År1,0,M11*(1-VLOOKUP($A12,[1]Hugst!$R$5:$W$9,MATCH(ROUNDUP((N$1)/10,0)*10,[1]Hugst!$R$4:$W$4,0))))</f>
        <v>1133.3867551591973</v>
      </c>
      <c r="O12" s="168">
        <f ca="1">IF($C12-O$1&lt;År1,0,N11*(1-VLOOKUP($A12,[1]Hugst!$R$5:$W$9,MATCH(ROUNDUP((O$1)/10,0)*10,[1]Hugst!$R$4:$W$4,0))))</f>
        <v>1133.9273759716946</v>
      </c>
      <c r="P12" s="168">
        <f ca="1">IF($C12-P$1&lt;År1,0,O11*(1-VLOOKUP($A12,[1]Hugst!$R$5:$W$9,MATCH(ROUNDUP((P$1)/10,0)*10,[1]Hugst!$R$4:$W$4,0))))</f>
        <v>1134.4707134716939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(IF(B13="Vestdanmark",Skovbrug!$C$22-(Skovbrug!$C$22)*(1-Skovbrug!$C$9)^(C13-Skovbrug!$B$12),Skovbrug!$F$22-(Skovbrug!$F$22)*(1-Skovbrug!$C$9)^(C13-Skovbrug!$B$12)))*VLOOKUP(A13,Skovbrug!$A$13:$D$17,IF('Skovbrug-alder'!C13&lt;=År2,3,4),FALSE)
-IF(C13&gt;2020,SUM(INDEX($C$1:$D$311,MATCH(1,(2020=$C$1:$C$311)*(B13=$B$1:$B$311)*(A13=$A$1:$A$311),0),2):D12),0)</f>
        <v>102.83798630187539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667.02975371130765</v>
      </c>
      <c r="G13" s="168">
        <f ca="1">IF($C13-G$1&lt;År1,0,F12*(1-VLOOKUP($A13,[1]Hugst!$R$5:$W$9,MATCH(ROUNDUP((G$1)/10,0)*10,[1]Hugst!$R$4:$W$4,0))))</f>
        <v>1129.1579735740872</v>
      </c>
      <c r="H13" s="168">
        <f ca="1">IF($C13-H$1&lt;År1,0,G12*(1-VLOOKUP($A13,[1]Hugst!$R$5:$W$9,MATCH(ROUNDUP((H$1)/10,0)*10,[1]Hugst!$R$4:$W$4,0))))</f>
        <v>1129.6773442278643</v>
      </c>
      <c r="I13" s="168">
        <f ca="1">IF($C13-I$1&lt;År1,0,H12*(1-VLOOKUP($A13,[1]Hugst!$R$5:$W$9,MATCH(ROUNDUP((I$1)/10,0)*10,[1]Hugst!$R$4:$W$4,0))))</f>
        <v>1130.1993247844275</v>
      </c>
      <c r="J13" s="168">
        <f ca="1">IF($C13-J$1&lt;År1,0,I12*(1-VLOOKUP($A13,[1]Hugst!$R$5:$W$9,MATCH(ROUNDUP((J$1)/10,0)*10,[1]Hugst!$R$4:$W$4,0))))</f>
        <v>1130.7239283588656</v>
      </c>
      <c r="K13" s="168">
        <f ca="1">IF($C13-K$1&lt;År1,0,J12*(1-VLOOKUP($A13,[1]Hugst!$R$5:$W$9,MATCH(ROUNDUP((K$1)/10,0)*10,[1]Hugst!$R$4:$W$4,0))))</f>
        <v>1131.2511681321687</v>
      </c>
      <c r="L13" s="168">
        <f ca="1">IF($C13-L$1&lt;År1,0,K12*(1-VLOOKUP($A13,[1]Hugst!$R$5:$W$9,MATCH(ROUNDUP((L$1)/10,0)*10,[1]Hugst!$R$4:$W$4,0))))</f>
        <v>1131.7810573515656</v>
      </c>
      <c r="M13" s="168">
        <f ca="1">IF($C13-M$1&lt;År1,0,L12*(1-VLOOKUP($A13,[1]Hugst!$R$5:$W$9,MATCH(ROUNDUP((M$1)/10,0)*10,[1]Hugst!$R$4:$W$4,0))))</f>
        <v>1132.3136093308624</v>
      </c>
      <c r="N13" s="168">
        <f ca="1">IF($C13-N$1&lt;År1,0,M12*(1-VLOOKUP($A13,[1]Hugst!$R$5:$W$9,MATCH(ROUNDUP((N$1)/10,0)*10,[1]Hugst!$R$4:$W$4,0))))</f>
        <v>1132.8488374507547</v>
      </c>
      <c r="O13" s="168">
        <f ca="1">IF($C13-O$1&lt;År1,0,N12*(1-VLOOKUP($A13,[1]Hugst!$R$5:$W$9,MATCH(ROUNDUP((O$1)/10,0)*10,[1]Hugst!$R$4:$W$4,0))))</f>
        <v>1133.3867551591973</v>
      </c>
      <c r="P13" s="168">
        <f ca="1">IF($C13-P$1&lt;År1,0,O12*(1-VLOOKUP($A13,[1]Hugst!$R$5:$W$9,MATCH(ROUNDUP((P$1)/10,0)*10,[1]Hugst!$R$4:$W$4,0))))</f>
        <v>1133.9273759716946</v>
      </c>
      <c r="Q13" s="168">
        <f ca="1">IF($C13-Q$1&lt;År1,0,P12*(1-VLOOKUP($A13,[1]Hugst!$R$5:$W$9,MATCH(ROUNDUP((Q$1)/10,0)*10,[1]Hugst!$R$4:$W$4,0))))</f>
        <v>1134.4707134716939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(IF(B14="Vestdanmark",Skovbrug!$C$22-(Skovbrug!$C$22)*(1-Skovbrug!$C$9)^(C14-Skovbrug!$B$12),Skovbrug!$F$22-(Skovbrug!$F$22)*(1-Skovbrug!$C$9)^(C14-Skovbrug!$B$12)))*VLOOKUP(A14,Skovbrug!$A$13:$D$17,IF('Skovbrug-alder'!C14&lt;=År2,3,4),FALSE)
-IF(C14&gt;2020,SUM(INDEX($C$1:$D$311,MATCH(1,(2020=$C$1:$C$311)*(B14=$B$1:$B$311)*(A14=$A$1:$A$311),0),2):D13),0)</f>
        <v>102.32379637036638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666.51556377979864</v>
      </c>
      <c r="G14" s="168">
        <f ca="1">IF($C14-G$1&lt;År1,0,F13*(1-VLOOKUP($A14,[1]Hugst!$R$5:$W$9,MATCH(ROUNDUP((G$1)/10,0)*10,[1]Hugst!$R$4:$W$4,0))))</f>
        <v>667.02975371130765</v>
      </c>
      <c r="H14" s="168">
        <f ca="1">IF($C14-H$1&lt;År1,0,G13*(1-VLOOKUP($A14,[1]Hugst!$R$5:$W$9,MATCH(ROUNDUP((H$1)/10,0)*10,[1]Hugst!$R$4:$W$4,0))))</f>
        <v>1129.1579735740872</v>
      </c>
      <c r="I14" s="168">
        <f ca="1">IF($C14-I$1&lt;År1,0,H13*(1-VLOOKUP($A14,[1]Hugst!$R$5:$W$9,MATCH(ROUNDUP((I$1)/10,0)*10,[1]Hugst!$R$4:$W$4,0))))</f>
        <v>1129.6773442278643</v>
      </c>
      <c r="J14" s="168">
        <f ca="1">IF($C14-J$1&lt;År1,0,I13*(1-VLOOKUP($A14,[1]Hugst!$R$5:$W$9,MATCH(ROUNDUP((J$1)/10,0)*10,[1]Hugst!$R$4:$W$4,0))))</f>
        <v>1130.1993247844275</v>
      </c>
      <c r="K14" s="168">
        <f ca="1">IF($C14-K$1&lt;År1,0,J13*(1-VLOOKUP($A14,[1]Hugst!$R$5:$W$9,MATCH(ROUNDUP((K$1)/10,0)*10,[1]Hugst!$R$4:$W$4,0))))</f>
        <v>1130.7239283588656</v>
      </c>
      <c r="L14" s="168">
        <f ca="1">IF($C14-L$1&lt;År1,0,K13*(1-VLOOKUP($A14,[1]Hugst!$R$5:$W$9,MATCH(ROUNDUP((L$1)/10,0)*10,[1]Hugst!$R$4:$W$4,0))))</f>
        <v>1131.2511681321687</v>
      </c>
      <c r="M14" s="168">
        <f ca="1">IF($C14-M$1&lt;År1,0,L13*(1-VLOOKUP($A14,[1]Hugst!$R$5:$W$9,MATCH(ROUNDUP((M$1)/10,0)*10,[1]Hugst!$R$4:$W$4,0))))</f>
        <v>1131.7810573515656</v>
      </c>
      <c r="N14" s="168">
        <f ca="1">IF($C14-N$1&lt;År1,0,M13*(1-VLOOKUP($A14,[1]Hugst!$R$5:$W$9,MATCH(ROUNDUP((N$1)/10,0)*10,[1]Hugst!$R$4:$W$4,0))))</f>
        <v>1132.3136093308624</v>
      </c>
      <c r="O14" s="168">
        <f ca="1">IF($C14-O$1&lt;År1,0,N13*(1-VLOOKUP($A14,[1]Hugst!$R$5:$W$9,MATCH(ROUNDUP((O$1)/10,0)*10,[1]Hugst!$R$4:$W$4,0))))</f>
        <v>1132.8488374507547</v>
      </c>
      <c r="P14" s="168">
        <f ca="1">IF($C14-P$1&lt;År1,0,O13*(1-VLOOKUP($A14,[1]Hugst!$R$5:$W$9,MATCH(ROUNDUP((P$1)/10,0)*10,[1]Hugst!$R$4:$W$4,0))))</f>
        <v>1133.3867551591973</v>
      </c>
      <c r="Q14" s="168">
        <f ca="1">IF($C14-Q$1&lt;År1,0,P13*(1-VLOOKUP($A14,[1]Hugst!$R$5:$W$9,MATCH(ROUNDUP((Q$1)/10,0)*10,[1]Hugst!$R$4:$W$4,0))))</f>
        <v>1133.9273759716946</v>
      </c>
      <c r="R14" s="168">
        <f ca="1">IF($C14-R$1&lt;År1,0,Q13*(1-VLOOKUP($A14,[1]Hugst!$R$5:$W$9,MATCH(ROUNDUP((R$1)/10,0)*10,[1]Hugst!$R$4:$W$4,0))))</f>
        <v>1134.4707134716939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(IF(B15="Vestdanmark",Skovbrug!$C$22-(Skovbrug!$C$22)*(1-Skovbrug!$C$9)^(C15-Skovbrug!$B$12),Skovbrug!$F$22-(Skovbrug!$F$22)*(1-Skovbrug!$C$9)^(C15-Skovbrug!$B$12)))*VLOOKUP(A15,Skovbrug!$A$13:$D$17,IF('Skovbrug-alder'!C15&lt;=År2,3,4),FALSE)
-IF(C15&gt;2020,SUM(INDEX($C$1:$D$311,MATCH(1,(2020=$C$1:$C$311)*(B15=$B$1:$B$311)*(A15=$A$1:$A$311),0),2):D14),0)</f>
        <v>101.81217738851547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666.00394479794772</v>
      </c>
      <c r="G15" s="168">
        <f ca="1">IF($C15-G$1&lt;År1,0,F14*(1-VLOOKUP($A15,[1]Hugst!$R$5:$W$9,MATCH(ROUNDUP((G$1)/10,0)*10,[1]Hugst!$R$4:$W$4,0))))</f>
        <v>666.51556377979864</v>
      </c>
      <c r="H15" s="168">
        <f ca="1">IF($C15-H$1&lt;År1,0,G14*(1-VLOOKUP($A15,[1]Hugst!$R$5:$W$9,MATCH(ROUNDUP((H$1)/10,0)*10,[1]Hugst!$R$4:$W$4,0))))</f>
        <v>667.02975371130765</v>
      </c>
      <c r="I15" s="168">
        <f ca="1">IF($C15-I$1&lt;År1,0,H14*(1-VLOOKUP($A15,[1]Hugst!$R$5:$W$9,MATCH(ROUNDUP((I$1)/10,0)*10,[1]Hugst!$R$4:$W$4,0))))</f>
        <v>1129.1579735740872</v>
      </c>
      <c r="J15" s="168">
        <f ca="1">IF($C15-J$1&lt;År1,0,I14*(1-VLOOKUP($A15,[1]Hugst!$R$5:$W$9,MATCH(ROUNDUP((J$1)/10,0)*10,[1]Hugst!$R$4:$W$4,0))))</f>
        <v>1129.6773442278643</v>
      </c>
      <c r="K15" s="168">
        <f ca="1">IF($C15-K$1&lt;År1,0,J14*(1-VLOOKUP($A15,[1]Hugst!$R$5:$W$9,MATCH(ROUNDUP((K$1)/10,0)*10,[1]Hugst!$R$4:$W$4,0))))</f>
        <v>1130.1993247844275</v>
      </c>
      <c r="L15" s="168">
        <f ca="1">IF($C15-L$1&lt;År1,0,K14*(1-VLOOKUP($A15,[1]Hugst!$R$5:$W$9,MATCH(ROUNDUP((L$1)/10,0)*10,[1]Hugst!$R$4:$W$4,0))))</f>
        <v>1130.7239283588656</v>
      </c>
      <c r="M15" s="168">
        <f ca="1">IF($C15-M$1&lt;År1,0,L14*(1-VLOOKUP($A15,[1]Hugst!$R$5:$W$9,MATCH(ROUNDUP((M$1)/10,0)*10,[1]Hugst!$R$4:$W$4,0))))</f>
        <v>1131.2511681321687</v>
      </c>
      <c r="N15" s="168">
        <f ca="1">IF($C15-N$1&lt;År1,0,M14*(1-VLOOKUP($A15,[1]Hugst!$R$5:$W$9,MATCH(ROUNDUP((N$1)/10,0)*10,[1]Hugst!$R$4:$W$4,0))))</f>
        <v>1131.7810573515656</v>
      </c>
      <c r="O15" s="168">
        <f ca="1">IF($C15-O$1&lt;År1,0,N14*(1-VLOOKUP($A15,[1]Hugst!$R$5:$W$9,MATCH(ROUNDUP((O$1)/10,0)*10,[1]Hugst!$R$4:$W$4,0))))</f>
        <v>1132.3136093308624</v>
      </c>
      <c r="P15" s="168">
        <f ca="1">IF($C15-P$1&lt;År1,0,O14*(1-VLOOKUP($A15,[1]Hugst!$R$5:$W$9,MATCH(ROUNDUP((P$1)/10,0)*10,[1]Hugst!$R$4:$W$4,0))))</f>
        <v>1132.8488374507547</v>
      </c>
      <c r="Q15" s="168">
        <f ca="1">IF($C15-Q$1&lt;År1,0,P14*(1-VLOOKUP($A15,[1]Hugst!$R$5:$W$9,MATCH(ROUNDUP((Q$1)/10,0)*10,[1]Hugst!$R$4:$W$4,0))))</f>
        <v>1133.3867551591973</v>
      </c>
      <c r="R15" s="168">
        <f ca="1">IF($C15-R$1&lt;År1,0,Q14*(1-VLOOKUP($A15,[1]Hugst!$R$5:$W$9,MATCH(ROUNDUP((R$1)/10,0)*10,[1]Hugst!$R$4:$W$4,0))))</f>
        <v>1133.9273759716946</v>
      </c>
      <c r="S15" s="168">
        <f ca="1">IF($C15-S$1&lt;År1,0,R14*(1-VLOOKUP($A15,[1]Hugst!$R$5:$W$9,MATCH(ROUNDUP((S$1)/10,0)*10,[1]Hugst!$R$4:$W$4,0))))</f>
        <v>1134.4707134716939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(IF(B16="Vestdanmark",Skovbrug!$C$22-(Skovbrug!$C$22)*(1-Skovbrug!$C$9)^(C16-Skovbrug!$B$12),Skovbrug!$F$22-(Skovbrug!$F$22)*(1-Skovbrug!$C$9)^(C16-Skovbrug!$B$12)))*VLOOKUP(A16,Skovbrug!$A$13:$D$17,IF('Skovbrug-alder'!C16&lt;=År2,3,4),FALSE)
-IF(C16&gt;2020,SUM(INDEX($C$1:$D$311,MATCH(1,(2020=$C$1:$C$311)*(B16=$B$1:$B$311)*(A16=$A$1:$A$311),0),2):D15),0)</f>
        <v>101.30311650157387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665.49488391100613</v>
      </c>
      <c r="G16" s="168">
        <f ca="1">IF($C16-G$1&lt;År1,0,F15*(1-VLOOKUP($A16,[1]Hugst!$R$5:$W$9,MATCH(ROUNDUP((G$1)/10,0)*10,[1]Hugst!$R$4:$W$4,0))))</f>
        <v>666.00394479794772</v>
      </c>
      <c r="H16" s="168">
        <f ca="1">IF($C16-H$1&lt;År1,0,G15*(1-VLOOKUP($A16,[1]Hugst!$R$5:$W$9,MATCH(ROUNDUP((H$1)/10,0)*10,[1]Hugst!$R$4:$W$4,0))))</f>
        <v>666.51556377979864</v>
      </c>
      <c r="I16" s="168">
        <f ca="1">IF($C16-I$1&lt;År1,0,H15*(1-VLOOKUP($A16,[1]Hugst!$R$5:$W$9,MATCH(ROUNDUP((I$1)/10,0)*10,[1]Hugst!$R$4:$W$4,0))))</f>
        <v>667.02975371130765</v>
      </c>
      <c r="J16" s="168">
        <f ca="1">IF($C16-J$1&lt;År1,0,I15*(1-VLOOKUP($A16,[1]Hugst!$R$5:$W$9,MATCH(ROUNDUP((J$1)/10,0)*10,[1]Hugst!$R$4:$W$4,0))))</f>
        <v>1129.1579735740872</v>
      </c>
      <c r="K16" s="168">
        <f ca="1">IF($C16-K$1&lt;År1,0,J15*(1-VLOOKUP($A16,[1]Hugst!$R$5:$W$9,MATCH(ROUNDUP((K$1)/10,0)*10,[1]Hugst!$R$4:$W$4,0))))</f>
        <v>1129.6773442278643</v>
      </c>
      <c r="L16" s="168">
        <f ca="1">IF($C16-L$1&lt;År1,0,K15*(1-VLOOKUP($A16,[1]Hugst!$R$5:$W$9,MATCH(ROUNDUP((L$1)/10,0)*10,[1]Hugst!$R$4:$W$4,0))))</f>
        <v>1130.1993247844275</v>
      </c>
      <c r="M16" s="168">
        <f ca="1">IF($C16-M$1&lt;År1,0,L15*(1-VLOOKUP($A16,[1]Hugst!$R$5:$W$9,MATCH(ROUNDUP((M$1)/10,0)*10,[1]Hugst!$R$4:$W$4,0))))</f>
        <v>1130.7239283588656</v>
      </c>
      <c r="N16" s="168">
        <f ca="1">IF($C16-N$1&lt;År1,0,M15*(1-VLOOKUP($A16,[1]Hugst!$R$5:$W$9,MATCH(ROUNDUP((N$1)/10,0)*10,[1]Hugst!$R$4:$W$4,0))))</f>
        <v>1131.2511681321687</v>
      </c>
      <c r="O16" s="168">
        <f ca="1">IF($C16-O$1&lt;År1,0,N15*(1-VLOOKUP($A16,[1]Hugst!$R$5:$W$9,MATCH(ROUNDUP((O$1)/10,0)*10,[1]Hugst!$R$4:$W$4,0))))</f>
        <v>1131.7810573515656</v>
      </c>
      <c r="P16" s="168">
        <f ca="1">IF($C16-P$1&lt;År1,0,O15*(1-VLOOKUP($A16,[1]Hugst!$R$5:$W$9,MATCH(ROUNDUP((P$1)/10,0)*10,[1]Hugst!$R$4:$W$4,0))))</f>
        <v>1132.3136093308624</v>
      </c>
      <c r="Q16" s="168">
        <f ca="1">IF($C16-Q$1&lt;År1,0,P15*(1-VLOOKUP($A16,[1]Hugst!$R$5:$W$9,MATCH(ROUNDUP((Q$1)/10,0)*10,[1]Hugst!$R$4:$W$4,0))))</f>
        <v>1132.8488374507547</v>
      </c>
      <c r="R16" s="168">
        <f ca="1">IF($C16-R$1&lt;År1,0,Q15*(1-VLOOKUP($A16,[1]Hugst!$R$5:$W$9,MATCH(ROUNDUP((R$1)/10,0)*10,[1]Hugst!$R$4:$W$4,0))))</f>
        <v>1133.3867551591973</v>
      </c>
      <c r="S16" s="168">
        <f ca="1">IF($C16-S$1&lt;År1,0,R15*(1-VLOOKUP($A16,[1]Hugst!$R$5:$W$9,MATCH(ROUNDUP((S$1)/10,0)*10,[1]Hugst!$R$4:$W$4,0))))</f>
        <v>1133.9273759716946</v>
      </c>
      <c r="T16" s="168">
        <f ca="1">IF($C16-T$1&lt;År1,0,S15*(1-VLOOKUP($A16,[1]Hugst!$R$5:$W$9,MATCH(ROUNDUP((T$1)/10,0)*10,[1]Hugst!$R$4:$W$4,0))))</f>
        <v>1134.4707134716939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(IF(B17="Vestdanmark",Skovbrug!$C$22-(Skovbrug!$C$22)*(1-Skovbrug!$C$9)^(C17-Skovbrug!$B$12),Skovbrug!$F$22-(Skovbrug!$F$22)*(1-Skovbrug!$C$9)^(C17-Skovbrug!$B$12)))*VLOOKUP(A17,Skovbrug!$A$13:$D$17,IF('Skovbrug-alder'!C17&lt;=År2,3,4),FALSE)
-IF(C17&gt;2020,SUM(INDEX($C$1:$D$311,MATCH(1,(2020=$C$1:$C$311)*(B17=$B$1:$B$311)*(A17=$A$1:$A$311),0),2):D16),0)</f>
        <v>100.79660091906567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664.98836832849793</v>
      </c>
      <c r="G17" s="168">
        <f ca="1">IF($C17-G$1&lt;År1,0,F16*(1-VLOOKUP($A17,[1]Hugst!$R$5:$W$9,MATCH(ROUNDUP((G$1)/10,0)*10,[1]Hugst!$R$4:$W$4,0))))</f>
        <v>665.49488391100613</v>
      </c>
      <c r="H17" s="168">
        <f ca="1">IF($C17-H$1&lt;År1,0,G16*(1-VLOOKUP($A17,[1]Hugst!$R$5:$W$9,MATCH(ROUNDUP((H$1)/10,0)*10,[1]Hugst!$R$4:$W$4,0))))</f>
        <v>666.00394479794772</v>
      </c>
      <c r="I17" s="168">
        <f ca="1">IF($C17-I$1&lt;År1,0,H16*(1-VLOOKUP($A17,[1]Hugst!$R$5:$W$9,MATCH(ROUNDUP((I$1)/10,0)*10,[1]Hugst!$R$4:$W$4,0))))</f>
        <v>666.51556377979864</v>
      </c>
      <c r="J17" s="168">
        <f ca="1">IF($C17-J$1&lt;År1,0,I16*(1-VLOOKUP($A17,[1]Hugst!$R$5:$W$9,MATCH(ROUNDUP((J$1)/10,0)*10,[1]Hugst!$R$4:$W$4,0))))</f>
        <v>667.02975371130765</v>
      </c>
      <c r="K17" s="168">
        <f ca="1">IF($C17-K$1&lt;År1,0,J16*(1-VLOOKUP($A17,[1]Hugst!$R$5:$W$9,MATCH(ROUNDUP((K$1)/10,0)*10,[1]Hugst!$R$4:$W$4,0))))</f>
        <v>1129.1579735740872</v>
      </c>
      <c r="L17" s="168">
        <f ca="1">IF($C17-L$1&lt;År1,0,K16*(1-VLOOKUP($A17,[1]Hugst!$R$5:$W$9,MATCH(ROUNDUP((L$1)/10,0)*10,[1]Hugst!$R$4:$W$4,0))))</f>
        <v>1129.6773442278643</v>
      </c>
      <c r="M17" s="168">
        <f ca="1">IF($C17-M$1&lt;År1,0,L16*(1-VLOOKUP($A17,[1]Hugst!$R$5:$W$9,MATCH(ROUNDUP((M$1)/10,0)*10,[1]Hugst!$R$4:$W$4,0))))</f>
        <v>1130.1993247844275</v>
      </c>
      <c r="N17" s="168">
        <f ca="1">IF($C17-N$1&lt;År1,0,M16*(1-VLOOKUP($A17,[1]Hugst!$R$5:$W$9,MATCH(ROUNDUP((N$1)/10,0)*10,[1]Hugst!$R$4:$W$4,0))))</f>
        <v>1130.7239283588656</v>
      </c>
      <c r="O17" s="168">
        <f ca="1">IF($C17-O$1&lt;År1,0,N16*(1-VLOOKUP($A17,[1]Hugst!$R$5:$W$9,MATCH(ROUNDUP((O$1)/10,0)*10,[1]Hugst!$R$4:$W$4,0))))</f>
        <v>1131.2511681321687</v>
      </c>
      <c r="P17" s="168">
        <f ca="1">IF($C17-P$1&lt;År1,0,O16*(1-VLOOKUP($A17,[1]Hugst!$R$5:$W$9,MATCH(ROUNDUP((P$1)/10,0)*10,[1]Hugst!$R$4:$W$4,0))))</f>
        <v>1131.7810573515656</v>
      </c>
      <c r="Q17" s="168">
        <f ca="1">IF($C17-Q$1&lt;År1,0,P16*(1-VLOOKUP($A17,[1]Hugst!$R$5:$W$9,MATCH(ROUNDUP((Q$1)/10,0)*10,[1]Hugst!$R$4:$W$4,0))))</f>
        <v>1132.3136093308624</v>
      </c>
      <c r="R17" s="168">
        <f ca="1">IF($C17-R$1&lt;År1,0,Q16*(1-VLOOKUP($A17,[1]Hugst!$R$5:$W$9,MATCH(ROUNDUP((R$1)/10,0)*10,[1]Hugst!$R$4:$W$4,0))))</f>
        <v>1132.8488374507547</v>
      </c>
      <c r="S17" s="168">
        <f ca="1">IF($C17-S$1&lt;År1,0,R16*(1-VLOOKUP($A17,[1]Hugst!$R$5:$W$9,MATCH(ROUNDUP((S$1)/10,0)*10,[1]Hugst!$R$4:$W$4,0))))</f>
        <v>1133.3867551591973</v>
      </c>
      <c r="T17" s="168">
        <f ca="1">IF($C17-T$1&lt;År1,0,S16*(1-VLOOKUP($A17,[1]Hugst!$R$5:$W$9,MATCH(ROUNDUP((T$1)/10,0)*10,[1]Hugst!$R$4:$W$4,0))))</f>
        <v>1133.9273759716946</v>
      </c>
      <c r="U17" s="168">
        <f ca="1">IF($C17-U$1&lt;År1,0,T16*(1-VLOOKUP($A17,[1]Hugst!$R$5:$W$9,MATCH(ROUNDUP((U$1)/10,0)*10,[1]Hugst!$R$4:$W$4,0))))</f>
        <v>1134.4707134716939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(IF(B18="Vestdanmark",Skovbrug!$C$22-(Skovbrug!$C$22)*(1-Skovbrug!$C$9)^(C18-Skovbrug!$B$12),Skovbrug!$F$22-(Skovbrug!$F$22)*(1-Skovbrug!$C$9)^(C18-Skovbrug!$B$12)))*VLOOKUP(A18,Skovbrug!$A$13:$D$17,IF('Skovbrug-alder'!C18&lt;=År2,3,4),FALSE)
-IF(C18&gt;2020,SUM(INDEX($C$1:$D$311,MATCH(1,(2020=$C$1:$C$311)*(B18=$B$1:$B$311)*(A18=$A$1:$A$311),0),2):D17),0)</f>
        <v>100.29261791447061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664.48438532390287</v>
      </c>
      <c r="G18" s="168">
        <f ca="1">IF($C18-G$1&lt;År1,0,F17*(1-VLOOKUP($A18,[1]Hugst!$R$5:$W$9,MATCH(ROUNDUP((G$1)/10,0)*10,[1]Hugst!$R$4:$W$4,0))))</f>
        <v>664.98836832849793</v>
      </c>
      <c r="H18" s="168">
        <f ca="1">IF($C18-H$1&lt;År1,0,G17*(1-VLOOKUP($A18,[1]Hugst!$R$5:$W$9,MATCH(ROUNDUP((H$1)/10,0)*10,[1]Hugst!$R$4:$W$4,0))))</f>
        <v>665.49488391100613</v>
      </c>
      <c r="I18" s="168">
        <f ca="1">IF($C18-I$1&lt;År1,0,H17*(1-VLOOKUP($A18,[1]Hugst!$R$5:$W$9,MATCH(ROUNDUP((I$1)/10,0)*10,[1]Hugst!$R$4:$W$4,0))))</f>
        <v>666.00394479794772</v>
      </c>
      <c r="J18" s="168">
        <f ca="1">IF($C18-J$1&lt;År1,0,I17*(1-VLOOKUP($A18,[1]Hugst!$R$5:$W$9,MATCH(ROUNDUP((J$1)/10,0)*10,[1]Hugst!$R$4:$W$4,0))))</f>
        <v>666.51556377979864</v>
      </c>
      <c r="K18" s="168">
        <f ca="1">IF($C18-K$1&lt;År1,0,J17*(1-VLOOKUP($A18,[1]Hugst!$R$5:$W$9,MATCH(ROUNDUP((K$1)/10,0)*10,[1]Hugst!$R$4:$W$4,0))))</f>
        <v>667.02975371130765</v>
      </c>
      <c r="L18" s="168">
        <f ca="1">IF($C18-L$1&lt;År1,0,K17*(1-VLOOKUP($A18,[1]Hugst!$R$5:$W$9,MATCH(ROUNDUP((L$1)/10,0)*10,[1]Hugst!$R$4:$W$4,0))))</f>
        <v>1129.1579735740872</v>
      </c>
      <c r="M18" s="168">
        <f ca="1">IF($C18-M$1&lt;År1,0,L17*(1-VLOOKUP($A18,[1]Hugst!$R$5:$W$9,MATCH(ROUNDUP((M$1)/10,0)*10,[1]Hugst!$R$4:$W$4,0))))</f>
        <v>1129.6773442278643</v>
      </c>
      <c r="N18" s="168">
        <f ca="1">IF($C18-N$1&lt;År1,0,M17*(1-VLOOKUP($A18,[1]Hugst!$R$5:$W$9,MATCH(ROUNDUP((N$1)/10,0)*10,[1]Hugst!$R$4:$W$4,0))))</f>
        <v>1130.1993247844275</v>
      </c>
      <c r="O18" s="168">
        <f ca="1">IF($C18-O$1&lt;År1,0,N17*(1-VLOOKUP($A18,[1]Hugst!$R$5:$W$9,MATCH(ROUNDUP((O$1)/10,0)*10,[1]Hugst!$R$4:$W$4,0))))</f>
        <v>1130.7239283588656</v>
      </c>
      <c r="P18" s="168">
        <f ca="1">IF($C18-P$1&lt;År1,0,O17*(1-VLOOKUP($A18,[1]Hugst!$R$5:$W$9,MATCH(ROUNDUP((P$1)/10,0)*10,[1]Hugst!$R$4:$W$4,0))))</f>
        <v>1131.2511681321687</v>
      </c>
      <c r="Q18" s="168">
        <f ca="1">IF($C18-Q$1&lt;År1,0,P17*(1-VLOOKUP($A18,[1]Hugst!$R$5:$W$9,MATCH(ROUNDUP((Q$1)/10,0)*10,[1]Hugst!$R$4:$W$4,0))))</f>
        <v>1131.7810573515656</v>
      </c>
      <c r="R18" s="168">
        <f ca="1">IF($C18-R$1&lt;År1,0,Q17*(1-VLOOKUP($A18,[1]Hugst!$R$5:$W$9,MATCH(ROUNDUP((R$1)/10,0)*10,[1]Hugst!$R$4:$W$4,0))))</f>
        <v>1132.3136093308624</v>
      </c>
      <c r="S18" s="168">
        <f ca="1">IF($C18-S$1&lt;År1,0,R17*(1-VLOOKUP($A18,[1]Hugst!$R$5:$W$9,MATCH(ROUNDUP((S$1)/10,0)*10,[1]Hugst!$R$4:$W$4,0))))</f>
        <v>1132.8488374507547</v>
      </c>
      <c r="T18" s="168">
        <f ca="1">IF($C18-T$1&lt;År1,0,S17*(1-VLOOKUP($A18,[1]Hugst!$R$5:$W$9,MATCH(ROUNDUP((T$1)/10,0)*10,[1]Hugst!$R$4:$W$4,0))))</f>
        <v>1133.3867551591973</v>
      </c>
      <c r="U18" s="168">
        <f ca="1">IF($C18-U$1&lt;År1,0,T17*(1-VLOOKUP($A18,[1]Hugst!$R$5:$W$9,MATCH(ROUNDUP((U$1)/10,0)*10,[1]Hugst!$R$4:$W$4,0))))</f>
        <v>1133.9273759716946</v>
      </c>
      <c r="V18" s="168">
        <f ca="1">IF($C18-V$1&lt;År1,0,U17*(1-VLOOKUP($A18,[1]Hugst!$R$5:$W$9,MATCH(ROUNDUP((V$1)/10,0)*10,[1]Hugst!$R$4:$W$4,0))))</f>
        <v>1134.4707134716939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(IF(B19="Vestdanmark",Skovbrug!$C$22-(Skovbrug!$C$22)*(1-Skovbrug!$C$9)^(C19-Skovbrug!$B$12),Skovbrug!$F$22-(Skovbrug!$F$22)*(1-Skovbrug!$C$9)^(C19-Skovbrug!$B$12)))*VLOOKUP(A19,Skovbrug!$A$13:$D$17,IF('Skovbrug-alder'!C19&lt;=År2,3,4),FALSE)
-IF(C19&gt;2020,SUM(INDEX($C$1:$D$311,MATCH(1,(2020=$C$1:$C$311)*(B19=$B$1:$B$311)*(A19=$A$1:$A$311),0),2):D18),0)</f>
        <v>99.791154824898513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663.98292223433077</v>
      </c>
      <c r="G19" s="168">
        <f ca="1">IF($C19-G$1&lt;År1,0,F18*(1-VLOOKUP($A19,[1]Hugst!$R$5:$W$9,MATCH(ROUNDUP((G$1)/10,0)*10,[1]Hugst!$R$4:$W$4,0))))</f>
        <v>664.48438532390287</v>
      </c>
      <c r="H19" s="168">
        <f ca="1">IF($C19-H$1&lt;År1,0,G18*(1-VLOOKUP($A19,[1]Hugst!$R$5:$W$9,MATCH(ROUNDUP((H$1)/10,0)*10,[1]Hugst!$R$4:$W$4,0))))</f>
        <v>664.98836832849793</v>
      </c>
      <c r="I19" s="168">
        <f ca="1">IF($C19-I$1&lt;År1,0,H18*(1-VLOOKUP($A19,[1]Hugst!$R$5:$W$9,MATCH(ROUNDUP((I$1)/10,0)*10,[1]Hugst!$R$4:$W$4,0))))</f>
        <v>665.49488391100613</v>
      </c>
      <c r="J19" s="168">
        <f ca="1">IF($C19-J$1&lt;År1,0,I18*(1-VLOOKUP($A19,[1]Hugst!$R$5:$W$9,MATCH(ROUNDUP((J$1)/10,0)*10,[1]Hugst!$R$4:$W$4,0))))</f>
        <v>666.00394479794772</v>
      </c>
      <c r="K19" s="168">
        <f ca="1">IF($C19-K$1&lt;År1,0,J18*(1-VLOOKUP($A19,[1]Hugst!$R$5:$W$9,MATCH(ROUNDUP((K$1)/10,0)*10,[1]Hugst!$R$4:$W$4,0))))</f>
        <v>666.51556377979864</v>
      </c>
      <c r="L19" s="168">
        <f ca="1">IF($C19-L$1&lt;År1,0,K18*(1-VLOOKUP($A19,[1]Hugst!$R$5:$W$9,MATCH(ROUNDUP((L$1)/10,0)*10,[1]Hugst!$R$4:$W$4,0))))</f>
        <v>667.02975371130765</v>
      </c>
      <c r="M19" s="168">
        <f ca="1">IF($C19-M$1&lt;År1,0,L18*(1-VLOOKUP($A19,[1]Hugst!$R$5:$W$9,MATCH(ROUNDUP((M$1)/10,0)*10,[1]Hugst!$R$4:$W$4,0))))</f>
        <v>1129.1579735740872</v>
      </c>
      <c r="N19" s="168">
        <f ca="1">IF($C19-N$1&lt;År1,0,M18*(1-VLOOKUP($A19,[1]Hugst!$R$5:$W$9,MATCH(ROUNDUP((N$1)/10,0)*10,[1]Hugst!$R$4:$W$4,0))))</f>
        <v>1129.6773442278643</v>
      </c>
      <c r="O19" s="168">
        <f ca="1">IF($C19-O$1&lt;År1,0,N18*(1-VLOOKUP($A19,[1]Hugst!$R$5:$W$9,MATCH(ROUNDUP((O$1)/10,0)*10,[1]Hugst!$R$4:$W$4,0))))</f>
        <v>1130.1993247844275</v>
      </c>
      <c r="P19" s="168">
        <f ca="1">IF($C19-P$1&lt;År1,0,O18*(1-VLOOKUP($A19,[1]Hugst!$R$5:$W$9,MATCH(ROUNDUP((P$1)/10,0)*10,[1]Hugst!$R$4:$W$4,0))))</f>
        <v>1130.7239283588656</v>
      </c>
      <c r="Q19" s="168">
        <f ca="1">IF($C19-Q$1&lt;År1,0,P18*(1-VLOOKUP($A19,[1]Hugst!$R$5:$W$9,MATCH(ROUNDUP((Q$1)/10,0)*10,[1]Hugst!$R$4:$W$4,0))))</f>
        <v>1131.2511681321687</v>
      </c>
      <c r="R19" s="168">
        <f ca="1">IF($C19-R$1&lt;År1,0,Q18*(1-VLOOKUP($A19,[1]Hugst!$R$5:$W$9,MATCH(ROUNDUP((R$1)/10,0)*10,[1]Hugst!$R$4:$W$4,0))))</f>
        <v>1131.7810573515656</v>
      </c>
      <c r="S19" s="168">
        <f ca="1">IF($C19-S$1&lt;År1,0,R18*(1-VLOOKUP($A19,[1]Hugst!$R$5:$W$9,MATCH(ROUNDUP((S$1)/10,0)*10,[1]Hugst!$R$4:$W$4,0))))</f>
        <v>1132.3136093308624</v>
      </c>
      <c r="T19" s="168">
        <f ca="1">IF($C19-T$1&lt;År1,0,S18*(1-VLOOKUP($A19,[1]Hugst!$R$5:$W$9,MATCH(ROUNDUP((T$1)/10,0)*10,[1]Hugst!$R$4:$W$4,0))))</f>
        <v>1132.8488374507547</v>
      </c>
      <c r="U19" s="168">
        <f ca="1">IF($C19-U$1&lt;År1,0,T18*(1-VLOOKUP($A19,[1]Hugst!$R$5:$W$9,MATCH(ROUNDUP((U$1)/10,0)*10,[1]Hugst!$R$4:$W$4,0))))</f>
        <v>1133.3867551591973</v>
      </c>
      <c r="V19" s="168">
        <f ca="1">IF($C19-V$1&lt;År1,0,U18*(1-VLOOKUP($A19,[1]Hugst!$R$5:$W$9,MATCH(ROUNDUP((V$1)/10,0)*10,[1]Hugst!$R$4:$W$4,0))))</f>
        <v>1133.9273759716946</v>
      </c>
      <c r="W19" s="168">
        <f ca="1">IF($C19-W$1&lt;År1,0,V18*(1-VLOOKUP($A19,[1]Hugst!$R$5:$W$9,MATCH(ROUNDUP((W$1)/10,0)*10,[1]Hugst!$R$4:$W$4,0))))</f>
        <v>1134.4707134716939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(IF(B20="Vestdanmark",Skovbrug!$C$22-(Skovbrug!$C$22)*(1-Skovbrug!$C$9)^(C20-Skovbrug!$B$12),Skovbrug!$F$22-(Skovbrug!$F$22)*(1-Skovbrug!$C$9)^(C20-Skovbrug!$B$12)))*VLOOKUP(A20,Skovbrug!$A$13:$D$17,IF('Skovbrug-alder'!C20&lt;=År2,3,4),FALSE)
-IF(C20&gt;2020,SUM(INDEX($C$1:$D$311,MATCH(1,(2020=$C$1:$C$311)*(B20=$B$1:$B$311)*(A20=$A$1:$A$311),0),2):D19),0)</f>
        <v>99.292199050774798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663.48396646020706</v>
      </c>
      <c r="G20" s="168">
        <f ca="1">IF($C20-G$1&lt;År1,0,F19*(1-VLOOKUP($A20,[1]Hugst!$R$5:$W$9,MATCH(ROUNDUP((G$1)/10,0)*10,[1]Hugst!$R$4:$W$4,0))))</f>
        <v>663.98292223433077</v>
      </c>
      <c r="H20" s="168">
        <f ca="1">IF($C20-H$1&lt;År1,0,G19*(1-VLOOKUP($A20,[1]Hugst!$R$5:$W$9,MATCH(ROUNDUP((H$1)/10,0)*10,[1]Hugst!$R$4:$W$4,0))))</f>
        <v>664.48438532390287</v>
      </c>
      <c r="I20" s="168">
        <f ca="1">IF($C20-I$1&lt;År1,0,H19*(1-VLOOKUP($A20,[1]Hugst!$R$5:$W$9,MATCH(ROUNDUP((I$1)/10,0)*10,[1]Hugst!$R$4:$W$4,0))))</f>
        <v>664.98836832849793</v>
      </c>
      <c r="J20" s="168">
        <f ca="1">IF($C20-J$1&lt;År1,0,I19*(1-VLOOKUP($A20,[1]Hugst!$R$5:$W$9,MATCH(ROUNDUP((J$1)/10,0)*10,[1]Hugst!$R$4:$W$4,0))))</f>
        <v>665.49488391100613</v>
      </c>
      <c r="K20" s="168">
        <f ca="1">IF($C20-K$1&lt;År1,0,J19*(1-VLOOKUP($A20,[1]Hugst!$R$5:$W$9,MATCH(ROUNDUP((K$1)/10,0)*10,[1]Hugst!$R$4:$W$4,0))))</f>
        <v>666.00394479794772</v>
      </c>
      <c r="L20" s="168">
        <f ca="1">IF($C20-L$1&lt;År1,0,K19*(1-VLOOKUP($A20,[1]Hugst!$R$5:$W$9,MATCH(ROUNDUP((L$1)/10,0)*10,[1]Hugst!$R$4:$W$4,0))))</f>
        <v>666.51556377979864</v>
      </c>
      <c r="M20" s="168">
        <f ca="1">IF($C20-M$1&lt;År1,0,L19*(1-VLOOKUP($A20,[1]Hugst!$R$5:$W$9,MATCH(ROUNDUP((M$1)/10,0)*10,[1]Hugst!$R$4:$W$4,0))))</f>
        <v>667.02975371130765</v>
      </c>
      <c r="N20" s="168">
        <f ca="1">IF($C20-N$1&lt;År1,0,M19*(1-VLOOKUP($A20,[1]Hugst!$R$5:$W$9,MATCH(ROUNDUP((N$1)/10,0)*10,[1]Hugst!$R$4:$W$4,0))))</f>
        <v>1129.1579735740872</v>
      </c>
      <c r="O20" s="168">
        <f ca="1">IF($C20-O$1&lt;År1,0,N19*(1-VLOOKUP($A20,[1]Hugst!$R$5:$W$9,MATCH(ROUNDUP((O$1)/10,0)*10,[1]Hugst!$R$4:$W$4,0))))</f>
        <v>1129.6773442278643</v>
      </c>
      <c r="P20" s="168">
        <f ca="1">IF($C20-P$1&lt;År1,0,O19*(1-VLOOKUP($A20,[1]Hugst!$R$5:$W$9,MATCH(ROUNDUP((P$1)/10,0)*10,[1]Hugst!$R$4:$W$4,0))))</f>
        <v>1130.1993247844275</v>
      </c>
      <c r="Q20" s="168">
        <f ca="1">IF($C20-Q$1&lt;År1,0,P19*(1-VLOOKUP($A20,[1]Hugst!$R$5:$W$9,MATCH(ROUNDUP((Q$1)/10,0)*10,[1]Hugst!$R$4:$W$4,0))))</f>
        <v>1130.7239283588656</v>
      </c>
      <c r="R20" s="168">
        <f ca="1">IF($C20-R$1&lt;År1,0,Q19*(1-VLOOKUP($A20,[1]Hugst!$R$5:$W$9,MATCH(ROUNDUP((R$1)/10,0)*10,[1]Hugst!$R$4:$W$4,0))))</f>
        <v>1131.2511681321687</v>
      </c>
      <c r="S20" s="168">
        <f ca="1">IF($C20-S$1&lt;År1,0,R19*(1-VLOOKUP($A20,[1]Hugst!$R$5:$W$9,MATCH(ROUNDUP((S$1)/10,0)*10,[1]Hugst!$R$4:$W$4,0))))</f>
        <v>1131.7810573515656</v>
      </c>
      <c r="T20" s="168">
        <f ca="1">IF($C20-T$1&lt;År1,0,S19*(1-VLOOKUP($A20,[1]Hugst!$R$5:$W$9,MATCH(ROUNDUP((T$1)/10,0)*10,[1]Hugst!$R$4:$W$4,0))))</f>
        <v>1132.3136093308624</v>
      </c>
      <c r="U20" s="168">
        <f ca="1">IF($C20-U$1&lt;År1,0,T19*(1-VLOOKUP($A20,[1]Hugst!$R$5:$W$9,MATCH(ROUNDUP((U$1)/10,0)*10,[1]Hugst!$R$4:$W$4,0))))</f>
        <v>1132.8488374507547</v>
      </c>
      <c r="V20" s="168">
        <f ca="1">IF($C20-V$1&lt;År1,0,U19*(1-VLOOKUP($A20,[1]Hugst!$R$5:$W$9,MATCH(ROUNDUP((V$1)/10,0)*10,[1]Hugst!$R$4:$W$4,0))))</f>
        <v>1133.3867551591973</v>
      </c>
      <c r="W20" s="168">
        <f ca="1">IF($C20-W$1&lt;År1,0,V19*(1-VLOOKUP($A20,[1]Hugst!$R$5:$W$9,MATCH(ROUNDUP((W$1)/10,0)*10,[1]Hugst!$R$4:$W$4,0))))</f>
        <v>1133.9273759716946</v>
      </c>
      <c r="X20" s="168">
        <f ca="1">IF($C20-X$1&lt;År1,0,W19*(1-VLOOKUP($A20,[1]Hugst!$R$5:$W$9,MATCH(ROUNDUP((X$1)/10,0)*10,[1]Hugst!$R$4:$W$4,0))))</f>
        <v>1134.4707134716939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(IF(B21="Vestdanmark",Skovbrug!$C$22-(Skovbrug!$C$22)*(1-Skovbrug!$C$9)^(C21-Skovbrug!$B$12),Skovbrug!$F$22-(Skovbrug!$F$22)*(1-Skovbrug!$C$9)^(C21-Skovbrug!$B$12)))*VLOOKUP(A21,Skovbrug!$A$13:$D$17,IF('Skovbrug-alder'!C21&lt;=År2,3,4),FALSE)
-IF(C21&gt;2020,SUM(INDEX($C$1:$D$311,MATCH(1,(2020=$C$1:$C$311)*(B21=$B$1:$B$311)*(A21=$A$1:$A$311),0),2):D20),0)</f>
        <v>98.795738055516267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662.98750546494853</v>
      </c>
      <c r="G21" s="168">
        <f ca="1">IF($C21-G$1&lt;År1,0,F20*(1-VLOOKUP($A21,[1]Hugst!$R$5:$W$9,MATCH(ROUNDUP((G$1)/10,0)*10,[1]Hugst!$R$4:$W$4,0))))</f>
        <v>663.48396646020706</v>
      </c>
      <c r="H21" s="168">
        <f ca="1">IF($C21-H$1&lt;År1,0,G20*(1-VLOOKUP($A21,[1]Hugst!$R$5:$W$9,MATCH(ROUNDUP((H$1)/10,0)*10,[1]Hugst!$R$4:$W$4,0))))</f>
        <v>663.98292223433077</v>
      </c>
      <c r="I21" s="168">
        <f ca="1">IF($C21-I$1&lt;År1,0,H20*(1-VLOOKUP($A21,[1]Hugst!$R$5:$W$9,MATCH(ROUNDUP((I$1)/10,0)*10,[1]Hugst!$R$4:$W$4,0))))</f>
        <v>664.48438532390287</v>
      </c>
      <c r="J21" s="168">
        <f ca="1">IF($C21-J$1&lt;År1,0,I20*(1-VLOOKUP($A21,[1]Hugst!$R$5:$W$9,MATCH(ROUNDUP((J$1)/10,0)*10,[1]Hugst!$R$4:$W$4,0))))</f>
        <v>664.98836832849793</v>
      </c>
      <c r="K21" s="168">
        <f ca="1">IF($C21-K$1&lt;År1,0,J20*(1-VLOOKUP($A21,[1]Hugst!$R$5:$W$9,MATCH(ROUNDUP((K$1)/10,0)*10,[1]Hugst!$R$4:$W$4,0))))</f>
        <v>665.49488391100613</v>
      </c>
      <c r="L21" s="168">
        <f ca="1">IF($C21-L$1&lt;År1,0,K20*(1-VLOOKUP($A21,[1]Hugst!$R$5:$W$9,MATCH(ROUNDUP((L$1)/10,0)*10,[1]Hugst!$R$4:$W$4,0))))</f>
        <v>666.00394479794772</v>
      </c>
      <c r="M21" s="168">
        <f ca="1">IF($C21-M$1&lt;År1,0,L20*(1-VLOOKUP($A21,[1]Hugst!$R$5:$W$9,MATCH(ROUNDUP((M$1)/10,0)*10,[1]Hugst!$R$4:$W$4,0))))</f>
        <v>666.51556377979864</v>
      </c>
      <c r="N21" s="168">
        <f ca="1">IF($C21-N$1&lt;År1,0,M20*(1-VLOOKUP($A21,[1]Hugst!$R$5:$W$9,MATCH(ROUNDUP((N$1)/10,0)*10,[1]Hugst!$R$4:$W$4,0))))</f>
        <v>667.02975371130765</v>
      </c>
      <c r="O21" s="168">
        <f ca="1">IF($C21-O$1&lt;År1,0,N20*(1-VLOOKUP($A21,[1]Hugst!$R$5:$W$9,MATCH(ROUNDUP((O$1)/10,0)*10,[1]Hugst!$R$4:$W$4,0))))</f>
        <v>1129.1579735740872</v>
      </c>
      <c r="P21" s="168">
        <f ca="1">IF($C21-P$1&lt;År1,0,O20*(1-VLOOKUP($A21,[1]Hugst!$R$5:$W$9,MATCH(ROUNDUP((P$1)/10,0)*10,[1]Hugst!$R$4:$W$4,0))))</f>
        <v>1129.6773442278643</v>
      </c>
      <c r="Q21" s="168">
        <f ca="1">IF($C21-Q$1&lt;År1,0,P20*(1-VLOOKUP($A21,[1]Hugst!$R$5:$W$9,MATCH(ROUNDUP((Q$1)/10,0)*10,[1]Hugst!$R$4:$W$4,0))))</f>
        <v>1130.1993247844275</v>
      </c>
      <c r="R21" s="168">
        <f ca="1">IF($C21-R$1&lt;År1,0,Q20*(1-VLOOKUP($A21,[1]Hugst!$R$5:$W$9,MATCH(ROUNDUP((R$1)/10,0)*10,[1]Hugst!$R$4:$W$4,0))))</f>
        <v>1130.7239283588656</v>
      </c>
      <c r="S21" s="168">
        <f ca="1">IF($C21-S$1&lt;År1,0,R20*(1-VLOOKUP($A21,[1]Hugst!$R$5:$W$9,MATCH(ROUNDUP((S$1)/10,0)*10,[1]Hugst!$R$4:$W$4,0))))</f>
        <v>1131.2511681321687</v>
      </c>
      <c r="T21" s="168">
        <f ca="1">IF($C21-T$1&lt;År1,0,S20*(1-VLOOKUP($A21,[1]Hugst!$R$5:$W$9,MATCH(ROUNDUP((T$1)/10,0)*10,[1]Hugst!$R$4:$W$4,0))))</f>
        <v>1131.7810573515656</v>
      </c>
      <c r="U21" s="168">
        <f ca="1">IF($C21-U$1&lt;År1,0,T20*(1-VLOOKUP($A21,[1]Hugst!$R$5:$W$9,MATCH(ROUNDUP((U$1)/10,0)*10,[1]Hugst!$R$4:$W$4,0))))</f>
        <v>1132.3136093308624</v>
      </c>
      <c r="V21" s="168">
        <f ca="1">IF($C21-V$1&lt;År1,0,U20*(1-VLOOKUP($A21,[1]Hugst!$R$5:$W$9,MATCH(ROUNDUP((V$1)/10,0)*10,[1]Hugst!$R$4:$W$4,0))))</f>
        <v>1132.8488374507547</v>
      </c>
      <c r="W21" s="168">
        <f ca="1">IF($C21-W$1&lt;År1,0,V20*(1-VLOOKUP($A21,[1]Hugst!$R$5:$W$9,MATCH(ROUNDUP((W$1)/10,0)*10,[1]Hugst!$R$4:$W$4,0))))</f>
        <v>1133.3867551591973</v>
      </c>
      <c r="X21" s="168">
        <f ca="1">IF($C21-X$1&lt;År1,0,W20*(1-VLOOKUP($A21,[1]Hugst!$R$5:$W$9,MATCH(ROUNDUP((X$1)/10,0)*10,[1]Hugst!$R$4:$W$4,0))))</f>
        <v>1133.9273759716946</v>
      </c>
      <c r="Y21" s="168">
        <f ca="1">IF($C21-Y$1&lt;År1,0,X20*(1-VLOOKUP($A21,[1]Hugst!$R$5:$W$9,MATCH(ROUNDUP((Y$1)/10,0)*10,[1]Hugst!$R$4:$W$4,0))))</f>
        <v>1134.4707134716939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(IF(B22="Vestdanmark",Skovbrug!$C$22-(Skovbrug!$C$22)*(1-Skovbrug!$C$9)^(C22-Skovbrug!$B$12),Skovbrug!$F$22-(Skovbrug!$F$22)*(1-Skovbrug!$C$9)^(C22-Skovbrug!$B$12)))*VLOOKUP(A22,Skovbrug!$A$13:$D$17,IF('Skovbrug-alder'!C22&lt;=År2,3,4),FALSE)
-IF(C22&gt;2020,SUM(INDEX($C$1:$D$311,MATCH(1,(2020=$C$1:$C$311)*(B22=$B$1:$B$311)*(A22=$A$1:$A$311),0),2):D21),0)</f>
        <v>98.301759365241651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662.49352677467391</v>
      </c>
      <c r="G22" s="168">
        <f ca="1">IF($C22-G$1&lt;År1,0,F21*(1-VLOOKUP($A22,[1]Hugst!$R$5:$W$9,MATCH(ROUNDUP((G$1)/10,0)*10,[1]Hugst!$R$4:$W$4,0))))</f>
        <v>662.98750546494853</v>
      </c>
      <c r="H22" s="168">
        <f ca="1">IF($C22-H$1&lt;År1,0,G21*(1-VLOOKUP($A22,[1]Hugst!$R$5:$W$9,MATCH(ROUNDUP((H$1)/10,0)*10,[1]Hugst!$R$4:$W$4,0))))</f>
        <v>663.48396646020706</v>
      </c>
      <c r="I22" s="168">
        <f ca="1">IF($C22-I$1&lt;År1,0,H21*(1-VLOOKUP($A22,[1]Hugst!$R$5:$W$9,MATCH(ROUNDUP((I$1)/10,0)*10,[1]Hugst!$R$4:$W$4,0))))</f>
        <v>663.98292223433077</v>
      </c>
      <c r="J22" s="168">
        <f ca="1">IF($C22-J$1&lt;År1,0,I21*(1-VLOOKUP($A22,[1]Hugst!$R$5:$W$9,MATCH(ROUNDUP((J$1)/10,0)*10,[1]Hugst!$R$4:$W$4,0))))</f>
        <v>664.48438532390287</v>
      </c>
      <c r="K22" s="168">
        <f ca="1">IF($C22-K$1&lt;År1,0,J21*(1-VLOOKUP($A22,[1]Hugst!$R$5:$W$9,MATCH(ROUNDUP((K$1)/10,0)*10,[1]Hugst!$R$4:$W$4,0))))</f>
        <v>664.98836832849793</v>
      </c>
      <c r="L22" s="168">
        <f ca="1">IF($C22-L$1&lt;År1,0,K21*(1-VLOOKUP($A22,[1]Hugst!$R$5:$W$9,MATCH(ROUNDUP((L$1)/10,0)*10,[1]Hugst!$R$4:$W$4,0))))</f>
        <v>665.49488391100613</v>
      </c>
      <c r="M22" s="168">
        <f ca="1">IF($C22-M$1&lt;År1,0,L21*(1-VLOOKUP($A22,[1]Hugst!$R$5:$W$9,MATCH(ROUNDUP((M$1)/10,0)*10,[1]Hugst!$R$4:$W$4,0))))</f>
        <v>666.00394479794772</v>
      </c>
      <c r="N22" s="168">
        <f ca="1">IF($C22-N$1&lt;År1,0,M21*(1-VLOOKUP($A22,[1]Hugst!$R$5:$W$9,MATCH(ROUNDUP((N$1)/10,0)*10,[1]Hugst!$R$4:$W$4,0))))</f>
        <v>666.51556377979864</v>
      </c>
      <c r="O22" s="168">
        <f ca="1">IF($C22-O$1&lt;År1,0,N21*(1-VLOOKUP($A22,[1]Hugst!$R$5:$W$9,MATCH(ROUNDUP((O$1)/10,0)*10,[1]Hugst!$R$4:$W$4,0))))</f>
        <v>667.02975371130765</v>
      </c>
      <c r="P22" s="168">
        <f ca="1">IF($C22-P$1&lt;År1,0,O21*(1-VLOOKUP($A22,[1]Hugst!$R$5:$W$9,MATCH(ROUNDUP((P$1)/10,0)*10,[1]Hugst!$R$4:$W$4,0))))</f>
        <v>1129.1579735740872</v>
      </c>
      <c r="Q22" s="168">
        <f ca="1">IF($C22-Q$1&lt;År1,0,P21*(1-VLOOKUP($A22,[1]Hugst!$R$5:$W$9,MATCH(ROUNDUP((Q$1)/10,0)*10,[1]Hugst!$R$4:$W$4,0))))</f>
        <v>1129.6773442278643</v>
      </c>
      <c r="R22" s="168">
        <f ca="1">IF($C22-R$1&lt;År1,0,Q21*(1-VLOOKUP($A22,[1]Hugst!$R$5:$W$9,MATCH(ROUNDUP((R$1)/10,0)*10,[1]Hugst!$R$4:$W$4,0))))</f>
        <v>1130.1993247844275</v>
      </c>
      <c r="S22" s="168">
        <f ca="1">IF($C22-S$1&lt;År1,0,R21*(1-VLOOKUP($A22,[1]Hugst!$R$5:$W$9,MATCH(ROUNDUP((S$1)/10,0)*10,[1]Hugst!$R$4:$W$4,0))))</f>
        <v>1130.7239283588656</v>
      </c>
      <c r="T22" s="168">
        <f ca="1">IF($C22-T$1&lt;År1,0,S21*(1-VLOOKUP($A22,[1]Hugst!$R$5:$W$9,MATCH(ROUNDUP((T$1)/10,0)*10,[1]Hugst!$R$4:$W$4,0))))</f>
        <v>1131.2511681321687</v>
      </c>
      <c r="U22" s="168">
        <f ca="1">IF($C22-U$1&lt;År1,0,T21*(1-VLOOKUP($A22,[1]Hugst!$R$5:$W$9,MATCH(ROUNDUP((U$1)/10,0)*10,[1]Hugst!$R$4:$W$4,0))))</f>
        <v>1131.7810573515656</v>
      </c>
      <c r="V22" s="168">
        <f ca="1">IF($C22-V$1&lt;År1,0,U21*(1-VLOOKUP($A22,[1]Hugst!$R$5:$W$9,MATCH(ROUNDUP((V$1)/10,0)*10,[1]Hugst!$R$4:$W$4,0))))</f>
        <v>1132.3136093308624</v>
      </c>
      <c r="W22" s="168">
        <f ca="1">IF($C22-W$1&lt;År1,0,V21*(1-VLOOKUP($A22,[1]Hugst!$R$5:$W$9,MATCH(ROUNDUP((W$1)/10,0)*10,[1]Hugst!$R$4:$W$4,0))))</f>
        <v>1132.8488374507547</v>
      </c>
      <c r="X22" s="168">
        <f ca="1">IF($C22-X$1&lt;År1,0,W21*(1-VLOOKUP($A22,[1]Hugst!$R$5:$W$9,MATCH(ROUNDUP((X$1)/10,0)*10,[1]Hugst!$R$4:$W$4,0))))</f>
        <v>1133.3867551591973</v>
      </c>
      <c r="Y22" s="168">
        <f ca="1">IF($C22-Y$1&lt;År1,0,X21*(1-VLOOKUP($A22,[1]Hugst!$R$5:$W$9,MATCH(ROUNDUP((Y$1)/10,0)*10,[1]Hugst!$R$4:$W$4,0))))</f>
        <v>1133.9273759716946</v>
      </c>
      <c r="Z22" s="168">
        <f ca="1">IF($C22-Z$1&lt;År1,0,Y21*(1-VLOOKUP($A22,[1]Hugst!$R$5:$W$9,MATCH(ROUNDUP((Z$1)/10,0)*10,[1]Hugst!$R$4:$W$4,0))))</f>
        <v>1134.4707134716939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(IF(B23="Vestdanmark",Skovbrug!$C$22-(Skovbrug!$C$22)*(1-Skovbrug!$C$9)^(C23-Skovbrug!$B$12),Skovbrug!$F$22-(Skovbrug!$F$22)*(1-Skovbrug!$C$9)^(C23-Skovbrug!$B$12)))*VLOOKUP(A23,Skovbrug!$A$13:$D$17,IF('Skovbrug-alder'!C23&lt;=År2,3,4),FALSE)
-IF(C23&gt;2020,SUM(INDEX($C$1:$D$311,MATCH(1,(2020=$C$1:$C$311)*(B23=$B$1:$B$311)*(A23=$A$1:$A$311),0),2):D22),0)</f>
        <v>97.81025056841645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662.00201797784871</v>
      </c>
      <c r="G23" s="168">
        <f ca="1">IF($C23-G$1&lt;År1,0,F22*(1-VLOOKUP($A23,[1]Hugst!$R$5:$W$9,MATCH(ROUNDUP((G$1)/10,0)*10,[1]Hugst!$R$4:$W$4,0))))</f>
        <v>662.49352677467391</v>
      </c>
      <c r="H23" s="168">
        <f ca="1">IF($C23-H$1&lt;År1,0,G22*(1-VLOOKUP($A23,[1]Hugst!$R$5:$W$9,MATCH(ROUNDUP((H$1)/10,0)*10,[1]Hugst!$R$4:$W$4,0))))</f>
        <v>662.98750546494853</v>
      </c>
      <c r="I23" s="168">
        <f ca="1">IF($C23-I$1&lt;År1,0,H22*(1-VLOOKUP($A23,[1]Hugst!$R$5:$W$9,MATCH(ROUNDUP((I$1)/10,0)*10,[1]Hugst!$R$4:$W$4,0))))</f>
        <v>663.48396646020706</v>
      </c>
      <c r="J23" s="168">
        <f ca="1">IF($C23-J$1&lt;År1,0,I22*(1-VLOOKUP($A23,[1]Hugst!$R$5:$W$9,MATCH(ROUNDUP((J$1)/10,0)*10,[1]Hugst!$R$4:$W$4,0))))</f>
        <v>663.98292223433077</v>
      </c>
      <c r="K23" s="168">
        <f ca="1">IF($C23-K$1&lt;År1,0,J22*(1-VLOOKUP($A23,[1]Hugst!$R$5:$W$9,MATCH(ROUNDUP((K$1)/10,0)*10,[1]Hugst!$R$4:$W$4,0))))</f>
        <v>664.48438532390287</v>
      </c>
      <c r="L23" s="168">
        <f ca="1">IF($C23-L$1&lt;År1,0,K22*(1-VLOOKUP($A23,[1]Hugst!$R$5:$W$9,MATCH(ROUNDUP((L$1)/10,0)*10,[1]Hugst!$R$4:$W$4,0))))</f>
        <v>664.98836832849793</v>
      </c>
      <c r="M23" s="168">
        <f ca="1">IF($C23-M$1&lt;År1,0,L22*(1-VLOOKUP($A23,[1]Hugst!$R$5:$W$9,MATCH(ROUNDUP((M$1)/10,0)*10,[1]Hugst!$R$4:$W$4,0))))</f>
        <v>665.49488391100613</v>
      </c>
      <c r="N23" s="168">
        <f ca="1">IF($C23-N$1&lt;År1,0,M22*(1-VLOOKUP($A23,[1]Hugst!$R$5:$W$9,MATCH(ROUNDUP((N$1)/10,0)*10,[1]Hugst!$R$4:$W$4,0))))</f>
        <v>666.00394479794772</v>
      </c>
      <c r="O23" s="168">
        <f ca="1">IF($C23-O$1&lt;År1,0,N22*(1-VLOOKUP($A23,[1]Hugst!$R$5:$W$9,MATCH(ROUNDUP((O$1)/10,0)*10,[1]Hugst!$R$4:$W$4,0))))</f>
        <v>666.51556377979864</v>
      </c>
      <c r="P23" s="168">
        <f ca="1">IF($C23-P$1&lt;År1,0,O22*(1-VLOOKUP($A23,[1]Hugst!$R$5:$W$9,MATCH(ROUNDUP((P$1)/10,0)*10,[1]Hugst!$R$4:$W$4,0))))</f>
        <v>667.02975371130765</v>
      </c>
      <c r="Q23" s="168">
        <f ca="1">IF($C23-Q$1&lt;År1,0,P22*(1-VLOOKUP($A23,[1]Hugst!$R$5:$W$9,MATCH(ROUNDUP((Q$1)/10,0)*10,[1]Hugst!$R$4:$W$4,0))))</f>
        <v>1129.1579735740872</v>
      </c>
      <c r="R23" s="168">
        <f ca="1">IF($C23-R$1&lt;År1,0,Q22*(1-VLOOKUP($A23,[1]Hugst!$R$5:$W$9,MATCH(ROUNDUP((R$1)/10,0)*10,[1]Hugst!$R$4:$W$4,0))))</f>
        <v>1129.6773442278643</v>
      </c>
      <c r="S23" s="168">
        <f ca="1">IF($C23-S$1&lt;År1,0,R22*(1-VLOOKUP($A23,[1]Hugst!$R$5:$W$9,MATCH(ROUNDUP((S$1)/10,0)*10,[1]Hugst!$R$4:$W$4,0))))</f>
        <v>1130.1993247844275</v>
      </c>
      <c r="T23" s="168">
        <f ca="1">IF($C23-T$1&lt;År1,0,S22*(1-VLOOKUP($A23,[1]Hugst!$R$5:$W$9,MATCH(ROUNDUP((T$1)/10,0)*10,[1]Hugst!$R$4:$W$4,0))))</f>
        <v>1130.7239283588656</v>
      </c>
      <c r="U23" s="168">
        <f ca="1">IF($C23-U$1&lt;År1,0,T22*(1-VLOOKUP($A23,[1]Hugst!$R$5:$W$9,MATCH(ROUNDUP((U$1)/10,0)*10,[1]Hugst!$R$4:$W$4,0))))</f>
        <v>1131.2511681321687</v>
      </c>
      <c r="V23" s="168">
        <f ca="1">IF($C23-V$1&lt;År1,0,U22*(1-VLOOKUP($A23,[1]Hugst!$R$5:$W$9,MATCH(ROUNDUP((V$1)/10,0)*10,[1]Hugst!$R$4:$W$4,0))))</f>
        <v>1131.7810573515656</v>
      </c>
      <c r="W23" s="168">
        <f ca="1">IF($C23-W$1&lt;År1,0,V22*(1-VLOOKUP($A23,[1]Hugst!$R$5:$W$9,MATCH(ROUNDUP((W$1)/10,0)*10,[1]Hugst!$R$4:$W$4,0))))</f>
        <v>1132.3136093308624</v>
      </c>
      <c r="X23" s="168">
        <f ca="1">IF($C23-X$1&lt;År1,0,W22*(1-VLOOKUP($A23,[1]Hugst!$R$5:$W$9,MATCH(ROUNDUP((X$1)/10,0)*10,[1]Hugst!$R$4:$W$4,0))))</f>
        <v>1132.8488374507547</v>
      </c>
      <c r="Y23" s="168">
        <f ca="1">IF($C23-Y$1&lt;År1,0,X22*(1-VLOOKUP($A23,[1]Hugst!$R$5:$W$9,MATCH(ROUNDUP((Y$1)/10,0)*10,[1]Hugst!$R$4:$W$4,0))))</f>
        <v>1133.3867551591973</v>
      </c>
      <c r="Z23" s="168">
        <f ca="1">IF($C23-Z$1&lt;År1,0,Y22*(1-VLOOKUP($A23,[1]Hugst!$R$5:$W$9,MATCH(ROUNDUP((Z$1)/10,0)*10,[1]Hugst!$R$4:$W$4,0))))</f>
        <v>1133.9273759716946</v>
      </c>
      <c r="AA23" s="168">
        <f ca="1">IF($C23-AA$1&lt;År1,0,Z22*(1-VLOOKUP($A23,[1]Hugst!$R$5:$W$9,MATCH(ROUNDUP((AA$1)/10,0)*10,[1]Hugst!$R$4:$W$4,0))))</f>
        <v>1134.4707134716939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(IF(B24="Vestdanmark",Skovbrug!$C$22-(Skovbrug!$C$22)*(1-Skovbrug!$C$9)^(C24-Skovbrug!$B$12),Skovbrug!$F$22-(Skovbrug!$F$22)*(1-Skovbrug!$C$9)^(C24-Skovbrug!$B$12)))*VLOOKUP(A24,Skovbrug!$A$13:$D$17,IF('Skovbrug-alder'!C24&lt;=År2,3,4),FALSE)
-IF(C24&gt;2020,SUM(INDEX($C$1:$D$311,MATCH(1,(2020=$C$1:$C$311)*(B24=$B$1:$B$311)*(A24=$A$1:$A$311),0),2):D23),0)</f>
        <v>97.32119931557645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661.51296672500871</v>
      </c>
      <c r="G24" s="168">
        <f ca="1">IF($C24-G$1&lt;År1,0,F23*(1-VLOOKUP($A24,[1]Hugst!$R$5:$W$9,MATCH(ROUNDUP((G$1)/10,0)*10,[1]Hugst!$R$4:$W$4,0))))</f>
        <v>662.00201797784871</v>
      </c>
      <c r="H24" s="168">
        <f ca="1">IF($C24-H$1&lt;År1,0,G23*(1-VLOOKUP($A24,[1]Hugst!$R$5:$W$9,MATCH(ROUNDUP((H$1)/10,0)*10,[1]Hugst!$R$4:$W$4,0))))</f>
        <v>662.49352677467391</v>
      </c>
      <c r="I24" s="168">
        <f ca="1">IF($C24-I$1&lt;År1,0,H23*(1-VLOOKUP($A24,[1]Hugst!$R$5:$W$9,MATCH(ROUNDUP((I$1)/10,0)*10,[1]Hugst!$R$4:$W$4,0))))</f>
        <v>662.98750546494853</v>
      </c>
      <c r="J24" s="168">
        <f ca="1">IF($C24-J$1&lt;År1,0,I23*(1-VLOOKUP($A24,[1]Hugst!$R$5:$W$9,MATCH(ROUNDUP((J$1)/10,0)*10,[1]Hugst!$R$4:$W$4,0))))</f>
        <v>663.48396646020706</v>
      </c>
      <c r="K24" s="168">
        <f ca="1">IF($C24-K$1&lt;År1,0,J23*(1-VLOOKUP($A24,[1]Hugst!$R$5:$W$9,MATCH(ROUNDUP((K$1)/10,0)*10,[1]Hugst!$R$4:$W$4,0))))</f>
        <v>663.98292223433077</v>
      </c>
      <c r="L24" s="168">
        <f ca="1">IF($C24-L$1&lt;År1,0,K23*(1-VLOOKUP($A24,[1]Hugst!$R$5:$W$9,MATCH(ROUNDUP((L$1)/10,0)*10,[1]Hugst!$R$4:$W$4,0))))</f>
        <v>664.48438532390287</v>
      </c>
      <c r="M24" s="168">
        <f ca="1">IF($C24-M$1&lt;År1,0,L23*(1-VLOOKUP($A24,[1]Hugst!$R$5:$W$9,MATCH(ROUNDUP((M$1)/10,0)*10,[1]Hugst!$R$4:$W$4,0))))</f>
        <v>664.98836832849793</v>
      </c>
      <c r="N24" s="168">
        <f ca="1">IF($C24-N$1&lt;År1,0,M23*(1-VLOOKUP($A24,[1]Hugst!$R$5:$W$9,MATCH(ROUNDUP((N$1)/10,0)*10,[1]Hugst!$R$4:$W$4,0))))</f>
        <v>665.49488391100613</v>
      </c>
      <c r="O24" s="168">
        <f ca="1">IF($C24-O$1&lt;År1,0,N23*(1-VLOOKUP($A24,[1]Hugst!$R$5:$W$9,MATCH(ROUNDUP((O$1)/10,0)*10,[1]Hugst!$R$4:$W$4,0))))</f>
        <v>666.00394479794772</v>
      </c>
      <c r="P24" s="168">
        <f ca="1">IF($C24-P$1&lt;År1,0,O23*(1-VLOOKUP($A24,[1]Hugst!$R$5:$W$9,MATCH(ROUNDUP((P$1)/10,0)*10,[1]Hugst!$R$4:$W$4,0))))</f>
        <v>666.51556377979864</v>
      </c>
      <c r="Q24" s="168">
        <f ca="1">IF($C24-Q$1&lt;År1,0,P23*(1-VLOOKUP($A24,[1]Hugst!$R$5:$W$9,MATCH(ROUNDUP((Q$1)/10,0)*10,[1]Hugst!$R$4:$W$4,0))))</f>
        <v>667.02975371130765</v>
      </c>
      <c r="R24" s="168">
        <f ca="1">IF($C24-R$1&lt;År1,0,Q23*(1-VLOOKUP($A24,[1]Hugst!$R$5:$W$9,MATCH(ROUNDUP((R$1)/10,0)*10,[1]Hugst!$R$4:$W$4,0))))</f>
        <v>1129.1579735740872</v>
      </c>
      <c r="S24" s="168">
        <f ca="1">IF($C24-S$1&lt;År1,0,R23*(1-VLOOKUP($A24,[1]Hugst!$R$5:$W$9,MATCH(ROUNDUP((S$1)/10,0)*10,[1]Hugst!$R$4:$W$4,0))))</f>
        <v>1129.6773442278643</v>
      </c>
      <c r="T24" s="168">
        <f ca="1">IF($C24-T$1&lt;År1,0,S23*(1-VLOOKUP($A24,[1]Hugst!$R$5:$W$9,MATCH(ROUNDUP((T$1)/10,0)*10,[1]Hugst!$R$4:$W$4,0))))</f>
        <v>1130.1993247844275</v>
      </c>
      <c r="U24" s="168">
        <f ca="1">IF($C24-U$1&lt;År1,0,T23*(1-VLOOKUP($A24,[1]Hugst!$R$5:$W$9,MATCH(ROUNDUP((U$1)/10,0)*10,[1]Hugst!$R$4:$W$4,0))))</f>
        <v>1130.7239283588656</v>
      </c>
      <c r="V24" s="168">
        <f ca="1">IF($C24-V$1&lt;År1,0,U23*(1-VLOOKUP($A24,[1]Hugst!$R$5:$W$9,MATCH(ROUNDUP((V$1)/10,0)*10,[1]Hugst!$R$4:$W$4,0))))</f>
        <v>1131.2511681321687</v>
      </c>
      <c r="W24" s="168">
        <f ca="1">IF($C24-W$1&lt;År1,0,V23*(1-VLOOKUP($A24,[1]Hugst!$R$5:$W$9,MATCH(ROUNDUP((W$1)/10,0)*10,[1]Hugst!$R$4:$W$4,0))))</f>
        <v>1131.7810573515656</v>
      </c>
      <c r="X24" s="168">
        <f ca="1">IF($C24-X$1&lt;År1,0,W23*(1-VLOOKUP($A24,[1]Hugst!$R$5:$W$9,MATCH(ROUNDUP((X$1)/10,0)*10,[1]Hugst!$R$4:$W$4,0))))</f>
        <v>1132.3136093308624</v>
      </c>
      <c r="Y24" s="168">
        <f ca="1">IF($C24-Y$1&lt;År1,0,X23*(1-VLOOKUP($A24,[1]Hugst!$R$5:$W$9,MATCH(ROUNDUP((Y$1)/10,0)*10,[1]Hugst!$R$4:$W$4,0))))</f>
        <v>1132.8488374507547</v>
      </c>
      <c r="Z24" s="168">
        <f ca="1">IF($C24-Z$1&lt;År1,0,Y23*(1-VLOOKUP($A24,[1]Hugst!$R$5:$W$9,MATCH(ROUNDUP((Z$1)/10,0)*10,[1]Hugst!$R$4:$W$4,0))))</f>
        <v>1133.3867551591973</v>
      </c>
      <c r="AA24" s="168">
        <f ca="1">IF($C24-AA$1&lt;År1,0,Z23*(1-VLOOKUP($A24,[1]Hugst!$R$5:$W$9,MATCH(ROUNDUP((AA$1)/10,0)*10,[1]Hugst!$R$4:$W$4,0))))</f>
        <v>1133.9273759716946</v>
      </c>
      <c r="AB24" s="168">
        <f ca="1">IF($C24-AB$1&lt;År1,0,AA23*(1-VLOOKUP($A24,[1]Hugst!$R$5:$W$9,MATCH(ROUNDUP((AB$1)/10,0)*10,[1]Hugst!$R$4:$W$4,0))))</f>
        <v>1134.4707134716939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(IF(B25="Vestdanmark",Skovbrug!$C$22-(Skovbrug!$C$22)*(1-Skovbrug!$C$9)^(C25-Skovbrug!$B$12),Skovbrug!$F$22-(Skovbrug!$F$22)*(1-Skovbrug!$C$9)^(C25-Skovbrug!$B$12)))*VLOOKUP(A25,Skovbrug!$A$13:$D$17,IF('Skovbrug-alder'!C25&lt;=År2,3,4),FALSE)
-IF(C25&gt;2020,SUM(INDEX($C$1:$D$311,MATCH(1,(2020=$C$1:$C$311)*(B25=$B$1:$B$311)*(A25=$A$1:$A$311),0),2):D24),0)</f>
        <v>96.834593318993939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661.0263607284262</v>
      </c>
      <c r="G25" s="168">
        <f ca="1">IF($C25-G$1&lt;År1,0,F24*(1-VLOOKUP($A25,[1]Hugst!$R$5:$W$9,MATCH(ROUNDUP((G$1)/10,0)*10,[1]Hugst!$R$4:$W$4,0))))</f>
        <v>661.51296672500871</v>
      </c>
      <c r="H25" s="168">
        <f ca="1">IF($C25-H$1&lt;År1,0,G24*(1-VLOOKUP($A25,[1]Hugst!$R$5:$W$9,MATCH(ROUNDUP((H$1)/10,0)*10,[1]Hugst!$R$4:$W$4,0))))</f>
        <v>662.00201797784871</v>
      </c>
      <c r="I25" s="168">
        <f ca="1">IF($C25-I$1&lt;År1,0,H24*(1-VLOOKUP($A25,[1]Hugst!$R$5:$W$9,MATCH(ROUNDUP((I$1)/10,0)*10,[1]Hugst!$R$4:$W$4,0))))</f>
        <v>662.49352677467391</v>
      </c>
      <c r="J25" s="168">
        <f ca="1">IF($C25-J$1&lt;År1,0,I24*(1-VLOOKUP($A25,[1]Hugst!$R$5:$W$9,MATCH(ROUNDUP((J$1)/10,0)*10,[1]Hugst!$R$4:$W$4,0))))</f>
        <v>662.98750546494853</v>
      </c>
      <c r="K25" s="168">
        <f ca="1">IF($C25-K$1&lt;År1,0,J24*(1-VLOOKUP($A25,[1]Hugst!$R$5:$W$9,MATCH(ROUNDUP((K$1)/10,0)*10,[1]Hugst!$R$4:$W$4,0))))</f>
        <v>663.48396646020706</v>
      </c>
      <c r="L25" s="168">
        <f ca="1">IF($C25-L$1&lt;År1,0,K24*(1-VLOOKUP($A25,[1]Hugst!$R$5:$W$9,MATCH(ROUNDUP((L$1)/10,0)*10,[1]Hugst!$R$4:$W$4,0))))</f>
        <v>663.98292223433077</v>
      </c>
      <c r="M25" s="168">
        <f ca="1">IF($C25-M$1&lt;År1,0,L24*(1-VLOOKUP($A25,[1]Hugst!$R$5:$W$9,MATCH(ROUNDUP((M$1)/10,0)*10,[1]Hugst!$R$4:$W$4,0))))</f>
        <v>664.48438532390287</v>
      </c>
      <c r="N25" s="168">
        <f ca="1">IF($C25-N$1&lt;År1,0,M24*(1-VLOOKUP($A25,[1]Hugst!$R$5:$W$9,MATCH(ROUNDUP((N$1)/10,0)*10,[1]Hugst!$R$4:$W$4,0))))</f>
        <v>664.98836832849793</v>
      </c>
      <c r="O25" s="168">
        <f ca="1">IF($C25-O$1&lt;År1,0,N24*(1-VLOOKUP($A25,[1]Hugst!$R$5:$W$9,MATCH(ROUNDUP((O$1)/10,0)*10,[1]Hugst!$R$4:$W$4,0))))</f>
        <v>665.49488391100613</v>
      </c>
      <c r="P25" s="168">
        <f ca="1">IF($C25-P$1&lt;År1,0,O24*(1-VLOOKUP($A25,[1]Hugst!$R$5:$W$9,MATCH(ROUNDUP((P$1)/10,0)*10,[1]Hugst!$R$4:$W$4,0))))</f>
        <v>666.00394479794772</v>
      </c>
      <c r="Q25" s="168">
        <f ca="1">IF($C25-Q$1&lt;År1,0,P24*(1-VLOOKUP($A25,[1]Hugst!$R$5:$W$9,MATCH(ROUNDUP((Q$1)/10,0)*10,[1]Hugst!$R$4:$W$4,0))))</f>
        <v>666.51556377979864</v>
      </c>
      <c r="R25" s="168">
        <f ca="1">IF($C25-R$1&lt;År1,0,Q24*(1-VLOOKUP($A25,[1]Hugst!$R$5:$W$9,MATCH(ROUNDUP((R$1)/10,0)*10,[1]Hugst!$R$4:$W$4,0))))</f>
        <v>667.02975371130765</v>
      </c>
      <c r="S25" s="168">
        <f ca="1">IF($C25-S$1&lt;År1,0,R24*(1-VLOOKUP($A25,[1]Hugst!$R$5:$W$9,MATCH(ROUNDUP((S$1)/10,0)*10,[1]Hugst!$R$4:$W$4,0))))</f>
        <v>1129.1579735740872</v>
      </c>
      <c r="T25" s="168">
        <f ca="1">IF($C25-T$1&lt;År1,0,S24*(1-VLOOKUP($A25,[1]Hugst!$R$5:$W$9,MATCH(ROUNDUP((T$1)/10,0)*10,[1]Hugst!$R$4:$W$4,0))))</f>
        <v>1129.6773442278643</v>
      </c>
      <c r="U25" s="168">
        <f ca="1">IF($C25-U$1&lt;År1,0,T24*(1-VLOOKUP($A25,[1]Hugst!$R$5:$W$9,MATCH(ROUNDUP((U$1)/10,0)*10,[1]Hugst!$R$4:$W$4,0))))</f>
        <v>1130.1993247844275</v>
      </c>
      <c r="V25" s="168">
        <f ca="1">IF($C25-V$1&lt;År1,0,U24*(1-VLOOKUP($A25,[1]Hugst!$R$5:$W$9,MATCH(ROUNDUP((V$1)/10,0)*10,[1]Hugst!$R$4:$W$4,0))))</f>
        <v>1130.7239283588656</v>
      </c>
      <c r="W25" s="168">
        <f ca="1">IF($C25-W$1&lt;År1,0,V24*(1-VLOOKUP($A25,[1]Hugst!$R$5:$W$9,MATCH(ROUNDUP((W$1)/10,0)*10,[1]Hugst!$R$4:$W$4,0))))</f>
        <v>1131.2511681321687</v>
      </c>
      <c r="X25" s="168">
        <f ca="1">IF($C25-X$1&lt;År1,0,W24*(1-VLOOKUP($A25,[1]Hugst!$R$5:$W$9,MATCH(ROUNDUP((X$1)/10,0)*10,[1]Hugst!$R$4:$W$4,0))))</f>
        <v>1131.7810573515656</v>
      </c>
      <c r="Y25" s="168">
        <f ca="1">IF($C25-Y$1&lt;År1,0,X24*(1-VLOOKUP($A25,[1]Hugst!$R$5:$W$9,MATCH(ROUNDUP((Y$1)/10,0)*10,[1]Hugst!$R$4:$W$4,0))))</f>
        <v>1132.3136093308624</v>
      </c>
      <c r="Z25" s="168">
        <f ca="1">IF($C25-Z$1&lt;År1,0,Y24*(1-VLOOKUP($A25,[1]Hugst!$R$5:$W$9,MATCH(ROUNDUP((Z$1)/10,0)*10,[1]Hugst!$R$4:$W$4,0))))</f>
        <v>1132.8488374507547</v>
      </c>
      <c r="AA25" s="168">
        <f ca="1">IF($C25-AA$1&lt;År1,0,Z24*(1-VLOOKUP($A25,[1]Hugst!$R$5:$W$9,MATCH(ROUNDUP((AA$1)/10,0)*10,[1]Hugst!$R$4:$W$4,0))))</f>
        <v>1133.3867551591973</v>
      </c>
      <c r="AB25" s="168">
        <f ca="1">IF($C25-AB$1&lt;År1,0,AA24*(1-VLOOKUP($A25,[1]Hugst!$R$5:$W$9,MATCH(ROUNDUP((AB$1)/10,0)*10,[1]Hugst!$R$4:$W$4,0))))</f>
        <v>1133.9273759716946</v>
      </c>
      <c r="AC25" s="168">
        <f ca="1">IF($C25-AC$1&lt;År1,0,AB24*(1-VLOOKUP($A25,[1]Hugst!$R$5:$W$9,MATCH(ROUNDUP((AC$1)/10,0)*10,[1]Hugst!$R$4:$W$4,0))))</f>
        <v>1134.4707134716939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(IF(B26="Vestdanmark",Skovbrug!$C$22-(Skovbrug!$C$22)*(1-Skovbrug!$C$9)^(C26-Skovbrug!$B$12),Skovbrug!$F$22-(Skovbrug!$F$22)*(1-Skovbrug!$C$9)^(C26-Skovbrug!$B$12)))*VLOOKUP(A26,Skovbrug!$A$13:$D$17,IF('Skovbrug-alder'!C26&lt;=År2,3,4),FALSE)
-IF(C26&gt;2020,SUM(INDEX($C$1:$D$311,MATCH(1,(2020=$C$1:$C$311)*(B26=$B$1:$B$311)*(A26=$A$1:$A$311),0),2):D25),0)</f>
        <v>96.350420352400306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660.54218776183257</v>
      </c>
      <c r="G26" s="168">
        <f ca="1">IF($C26-G$1&lt;År1,0,F25*(1-VLOOKUP($A26,[1]Hugst!$R$5:$W$9,MATCH(ROUNDUP((G$1)/10,0)*10,[1]Hugst!$R$4:$W$4,0))))</f>
        <v>661.0263607284262</v>
      </c>
      <c r="H26" s="168">
        <f ca="1">IF($C26-H$1&lt;År1,0,G25*(1-VLOOKUP($A26,[1]Hugst!$R$5:$W$9,MATCH(ROUNDUP((H$1)/10,0)*10,[1]Hugst!$R$4:$W$4,0))))</f>
        <v>661.51296672500871</v>
      </c>
      <c r="I26" s="168">
        <f ca="1">IF($C26-I$1&lt;År1,0,H25*(1-VLOOKUP($A26,[1]Hugst!$R$5:$W$9,MATCH(ROUNDUP((I$1)/10,0)*10,[1]Hugst!$R$4:$W$4,0))))</f>
        <v>662.00201797784871</v>
      </c>
      <c r="J26" s="168">
        <f ca="1">IF($C26-J$1&lt;År1,0,I25*(1-VLOOKUP($A26,[1]Hugst!$R$5:$W$9,MATCH(ROUNDUP((J$1)/10,0)*10,[1]Hugst!$R$4:$W$4,0))))</f>
        <v>662.49352677467391</v>
      </c>
      <c r="K26" s="168">
        <f ca="1">IF($C26-K$1&lt;År1,0,J25*(1-VLOOKUP($A26,[1]Hugst!$R$5:$W$9,MATCH(ROUNDUP((K$1)/10,0)*10,[1]Hugst!$R$4:$W$4,0))))</f>
        <v>662.98750546494853</v>
      </c>
      <c r="L26" s="168">
        <f ca="1">IF($C26-L$1&lt;År1,0,K25*(1-VLOOKUP($A26,[1]Hugst!$R$5:$W$9,MATCH(ROUNDUP((L$1)/10,0)*10,[1]Hugst!$R$4:$W$4,0))))</f>
        <v>663.48396646020706</v>
      </c>
      <c r="M26" s="168">
        <f ca="1">IF($C26-M$1&lt;År1,0,L25*(1-VLOOKUP($A26,[1]Hugst!$R$5:$W$9,MATCH(ROUNDUP((M$1)/10,0)*10,[1]Hugst!$R$4:$W$4,0))))</f>
        <v>663.98292223433077</v>
      </c>
      <c r="N26" s="168">
        <f ca="1">IF($C26-N$1&lt;År1,0,M25*(1-VLOOKUP($A26,[1]Hugst!$R$5:$W$9,MATCH(ROUNDUP((N$1)/10,0)*10,[1]Hugst!$R$4:$W$4,0))))</f>
        <v>664.48438532390287</v>
      </c>
      <c r="O26" s="168">
        <f ca="1">IF($C26-O$1&lt;År1,0,N25*(1-VLOOKUP($A26,[1]Hugst!$R$5:$W$9,MATCH(ROUNDUP((O$1)/10,0)*10,[1]Hugst!$R$4:$W$4,0))))</f>
        <v>664.98836832849793</v>
      </c>
      <c r="P26" s="168">
        <f ca="1">IF($C26-P$1&lt;År1,0,O25*(1-VLOOKUP($A26,[1]Hugst!$R$5:$W$9,MATCH(ROUNDUP((P$1)/10,0)*10,[1]Hugst!$R$4:$W$4,0))))</f>
        <v>665.49488391100613</v>
      </c>
      <c r="Q26" s="168">
        <f ca="1">IF($C26-Q$1&lt;År1,0,P25*(1-VLOOKUP($A26,[1]Hugst!$R$5:$W$9,MATCH(ROUNDUP((Q$1)/10,0)*10,[1]Hugst!$R$4:$W$4,0))))</f>
        <v>666.00394479794772</v>
      </c>
      <c r="R26" s="168">
        <f ca="1">IF($C26-R$1&lt;År1,0,Q25*(1-VLOOKUP($A26,[1]Hugst!$R$5:$W$9,MATCH(ROUNDUP((R$1)/10,0)*10,[1]Hugst!$R$4:$W$4,0))))</f>
        <v>666.51556377979864</v>
      </c>
      <c r="S26" s="168">
        <f ca="1">IF($C26-S$1&lt;År1,0,R25*(1-VLOOKUP($A26,[1]Hugst!$R$5:$W$9,MATCH(ROUNDUP((S$1)/10,0)*10,[1]Hugst!$R$4:$W$4,0))))</f>
        <v>667.02975371130765</v>
      </c>
      <c r="T26" s="168">
        <f ca="1">IF($C26-T$1&lt;År1,0,S25*(1-VLOOKUP($A26,[1]Hugst!$R$5:$W$9,MATCH(ROUNDUP((T$1)/10,0)*10,[1]Hugst!$R$4:$W$4,0))))</f>
        <v>1129.1579735740872</v>
      </c>
      <c r="U26" s="168">
        <f ca="1">IF($C26-U$1&lt;År1,0,T25*(1-VLOOKUP($A26,[1]Hugst!$R$5:$W$9,MATCH(ROUNDUP((U$1)/10,0)*10,[1]Hugst!$R$4:$W$4,0))))</f>
        <v>1129.6773442278643</v>
      </c>
      <c r="V26" s="168">
        <f ca="1">IF($C26-V$1&lt;År1,0,U25*(1-VLOOKUP($A26,[1]Hugst!$R$5:$W$9,MATCH(ROUNDUP((V$1)/10,0)*10,[1]Hugst!$R$4:$W$4,0))))</f>
        <v>1130.1993247844275</v>
      </c>
      <c r="W26" s="168">
        <f ca="1">IF($C26-W$1&lt;År1,0,V25*(1-VLOOKUP($A26,[1]Hugst!$R$5:$W$9,MATCH(ROUNDUP((W$1)/10,0)*10,[1]Hugst!$R$4:$W$4,0))))</f>
        <v>1130.7239283588656</v>
      </c>
      <c r="X26" s="168">
        <f ca="1">IF($C26-X$1&lt;År1,0,W25*(1-VLOOKUP($A26,[1]Hugst!$R$5:$W$9,MATCH(ROUNDUP((X$1)/10,0)*10,[1]Hugst!$R$4:$W$4,0))))</f>
        <v>1131.2511681321687</v>
      </c>
      <c r="Y26" s="168">
        <f ca="1">IF($C26-Y$1&lt;År1,0,X25*(1-VLOOKUP($A26,[1]Hugst!$R$5:$W$9,MATCH(ROUNDUP((Y$1)/10,0)*10,[1]Hugst!$R$4:$W$4,0))))</f>
        <v>1131.7810573515656</v>
      </c>
      <c r="Z26" s="168">
        <f ca="1">IF($C26-Z$1&lt;År1,0,Y25*(1-VLOOKUP($A26,[1]Hugst!$R$5:$W$9,MATCH(ROUNDUP((Z$1)/10,0)*10,[1]Hugst!$R$4:$W$4,0))))</f>
        <v>1132.3136093308624</v>
      </c>
      <c r="AA26" s="168">
        <f ca="1">IF($C26-AA$1&lt;År1,0,Z25*(1-VLOOKUP($A26,[1]Hugst!$R$5:$W$9,MATCH(ROUNDUP((AA$1)/10,0)*10,[1]Hugst!$R$4:$W$4,0))))</f>
        <v>1132.8488374507547</v>
      </c>
      <c r="AB26" s="168">
        <f ca="1">IF($C26-AB$1&lt;År1,0,AA25*(1-VLOOKUP($A26,[1]Hugst!$R$5:$W$9,MATCH(ROUNDUP((AB$1)/10,0)*10,[1]Hugst!$R$4:$W$4,0))))</f>
        <v>1133.3867551591973</v>
      </c>
      <c r="AC26" s="168">
        <f ca="1">IF($C26-AC$1&lt;År1,0,AB25*(1-VLOOKUP($A26,[1]Hugst!$R$5:$W$9,MATCH(ROUNDUP((AC$1)/10,0)*10,[1]Hugst!$R$4:$W$4,0))))</f>
        <v>1133.9273759716946</v>
      </c>
      <c r="AD26" s="168">
        <f ca="1">IF($C26-AD$1&lt;År1,0,AC25*(1-VLOOKUP($A26,[1]Hugst!$R$5:$W$9,MATCH(ROUNDUP((AD$1)/10,0)*10,[1]Hugst!$R$4:$W$4,0))))</f>
        <v>1134.4707134716939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(IF(B27="Vestdanmark",Skovbrug!$C$22-(Skovbrug!$C$22)*(1-Skovbrug!$C$9)^(C27-Skovbrug!$B$12),Skovbrug!$F$22-(Skovbrug!$F$22)*(1-Skovbrug!$C$9)^(C27-Skovbrug!$B$12)))*VLOOKUP(A27,Skovbrug!$A$13:$D$17,IF('Skovbrug-alder'!C27&lt;=År2,3,4),FALSE)
-IF(C27&gt;2020,SUM(INDEX($C$1:$D$311,MATCH(1,(2020=$C$1:$C$311)*(B27=$B$1:$B$311)*(A27=$A$1:$A$311),0),2):D26),0)</f>
        <v>95.868668250637711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660.06043566006997</v>
      </c>
      <c r="G27" s="168">
        <f ca="1">IF($C27-G$1&lt;År1,0,F26*(1-VLOOKUP($A27,[1]Hugst!$R$5:$W$9,MATCH(ROUNDUP((G$1)/10,0)*10,[1]Hugst!$R$4:$W$4,0))))</f>
        <v>660.54218776183257</v>
      </c>
      <c r="H27" s="168">
        <f ca="1">IF($C27-H$1&lt;År1,0,G26*(1-VLOOKUP($A27,[1]Hugst!$R$5:$W$9,MATCH(ROUNDUP((H$1)/10,0)*10,[1]Hugst!$R$4:$W$4,0))))</f>
        <v>661.0263607284262</v>
      </c>
      <c r="I27" s="168">
        <f ca="1">IF($C27-I$1&lt;År1,0,H26*(1-VLOOKUP($A27,[1]Hugst!$R$5:$W$9,MATCH(ROUNDUP((I$1)/10,0)*10,[1]Hugst!$R$4:$W$4,0))))</f>
        <v>661.51296672500871</v>
      </c>
      <c r="J27" s="168">
        <f ca="1">IF($C27-J$1&lt;År1,0,I26*(1-VLOOKUP($A27,[1]Hugst!$R$5:$W$9,MATCH(ROUNDUP((J$1)/10,0)*10,[1]Hugst!$R$4:$W$4,0))))</f>
        <v>662.00201797784871</v>
      </c>
      <c r="K27" s="168">
        <f ca="1">IF($C27-K$1&lt;År1,0,J26*(1-VLOOKUP($A27,[1]Hugst!$R$5:$W$9,MATCH(ROUNDUP((K$1)/10,0)*10,[1]Hugst!$R$4:$W$4,0))))</f>
        <v>662.49352677467391</v>
      </c>
      <c r="L27" s="168">
        <f ca="1">IF($C27-L$1&lt;År1,0,K26*(1-VLOOKUP($A27,[1]Hugst!$R$5:$W$9,MATCH(ROUNDUP((L$1)/10,0)*10,[1]Hugst!$R$4:$W$4,0))))</f>
        <v>662.98750546494853</v>
      </c>
      <c r="M27" s="168">
        <f ca="1">IF($C27-M$1&lt;År1,0,L26*(1-VLOOKUP($A27,[1]Hugst!$R$5:$W$9,MATCH(ROUNDUP((M$1)/10,0)*10,[1]Hugst!$R$4:$W$4,0))))</f>
        <v>663.48396646020706</v>
      </c>
      <c r="N27" s="168">
        <f ca="1">IF($C27-N$1&lt;År1,0,M26*(1-VLOOKUP($A27,[1]Hugst!$R$5:$W$9,MATCH(ROUNDUP((N$1)/10,0)*10,[1]Hugst!$R$4:$W$4,0))))</f>
        <v>663.98292223433077</v>
      </c>
      <c r="O27" s="168">
        <f ca="1">IF($C27-O$1&lt;År1,0,N26*(1-VLOOKUP($A27,[1]Hugst!$R$5:$W$9,MATCH(ROUNDUP((O$1)/10,0)*10,[1]Hugst!$R$4:$W$4,0))))</f>
        <v>664.48438532390287</v>
      </c>
      <c r="P27" s="168">
        <f ca="1">IF($C27-P$1&lt;År1,0,O26*(1-VLOOKUP($A27,[1]Hugst!$R$5:$W$9,MATCH(ROUNDUP((P$1)/10,0)*10,[1]Hugst!$R$4:$W$4,0))))</f>
        <v>664.98836832849793</v>
      </c>
      <c r="Q27" s="168">
        <f ca="1">IF($C27-Q$1&lt;År1,0,P26*(1-VLOOKUP($A27,[1]Hugst!$R$5:$W$9,MATCH(ROUNDUP((Q$1)/10,0)*10,[1]Hugst!$R$4:$W$4,0))))</f>
        <v>665.49488391100613</v>
      </c>
      <c r="R27" s="168">
        <f ca="1">IF($C27-R$1&lt;År1,0,Q26*(1-VLOOKUP($A27,[1]Hugst!$R$5:$W$9,MATCH(ROUNDUP((R$1)/10,0)*10,[1]Hugst!$R$4:$W$4,0))))</f>
        <v>666.00394479794772</v>
      </c>
      <c r="S27" s="168">
        <f ca="1">IF($C27-S$1&lt;År1,0,R26*(1-VLOOKUP($A27,[1]Hugst!$R$5:$W$9,MATCH(ROUNDUP((S$1)/10,0)*10,[1]Hugst!$R$4:$W$4,0))))</f>
        <v>666.51556377979864</v>
      </c>
      <c r="T27" s="168">
        <f ca="1">IF($C27-T$1&lt;År1,0,S26*(1-VLOOKUP($A27,[1]Hugst!$R$5:$W$9,MATCH(ROUNDUP((T$1)/10,0)*10,[1]Hugst!$R$4:$W$4,0))))</f>
        <v>667.02975371130765</v>
      </c>
      <c r="U27" s="168">
        <f ca="1">IF($C27-U$1&lt;År1,0,T26*(1-VLOOKUP($A27,[1]Hugst!$R$5:$W$9,MATCH(ROUNDUP((U$1)/10,0)*10,[1]Hugst!$R$4:$W$4,0))))</f>
        <v>1129.1579735740872</v>
      </c>
      <c r="V27" s="168">
        <f ca="1">IF($C27-V$1&lt;År1,0,U26*(1-VLOOKUP($A27,[1]Hugst!$R$5:$W$9,MATCH(ROUNDUP((V$1)/10,0)*10,[1]Hugst!$R$4:$W$4,0))))</f>
        <v>1129.6773442278643</v>
      </c>
      <c r="W27" s="168">
        <f ca="1">IF($C27-W$1&lt;År1,0,V26*(1-VLOOKUP($A27,[1]Hugst!$R$5:$W$9,MATCH(ROUNDUP((W$1)/10,0)*10,[1]Hugst!$R$4:$W$4,0))))</f>
        <v>1130.1993247844275</v>
      </c>
      <c r="X27" s="168">
        <f ca="1">IF($C27-X$1&lt;År1,0,W26*(1-VLOOKUP($A27,[1]Hugst!$R$5:$W$9,MATCH(ROUNDUP((X$1)/10,0)*10,[1]Hugst!$R$4:$W$4,0))))</f>
        <v>1130.7239283588656</v>
      </c>
      <c r="Y27" s="168">
        <f ca="1">IF($C27-Y$1&lt;År1,0,X26*(1-VLOOKUP($A27,[1]Hugst!$R$5:$W$9,MATCH(ROUNDUP((Y$1)/10,0)*10,[1]Hugst!$R$4:$W$4,0))))</f>
        <v>1131.2511681321687</v>
      </c>
      <c r="Z27" s="168">
        <f ca="1">IF($C27-Z$1&lt;År1,0,Y26*(1-VLOOKUP($A27,[1]Hugst!$R$5:$W$9,MATCH(ROUNDUP((Z$1)/10,0)*10,[1]Hugst!$R$4:$W$4,0))))</f>
        <v>1131.7810573515656</v>
      </c>
      <c r="AA27" s="168">
        <f ca="1">IF($C27-AA$1&lt;År1,0,Z26*(1-VLOOKUP($A27,[1]Hugst!$R$5:$W$9,MATCH(ROUNDUP((AA$1)/10,0)*10,[1]Hugst!$R$4:$W$4,0))))</f>
        <v>1132.3136093308624</v>
      </c>
      <c r="AB27" s="168">
        <f ca="1">IF($C27-AB$1&lt;År1,0,AA26*(1-VLOOKUP($A27,[1]Hugst!$R$5:$W$9,MATCH(ROUNDUP((AB$1)/10,0)*10,[1]Hugst!$R$4:$W$4,0))))</f>
        <v>1132.8488374507547</v>
      </c>
      <c r="AC27" s="168">
        <f ca="1">IF($C27-AC$1&lt;År1,0,AB26*(1-VLOOKUP($A27,[1]Hugst!$R$5:$W$9,MATCH(ROUNDUP((AC$1)/10,0)*10,[1]Hugst!$R$4:$W$4,0))))</f>
        <v>1133.3867551591973</v>
      </c>
      <c r="AD27" s="168">
        <f ca="1">IF($C27-AD$1&lt;År1,0,AC26*(1-VLOOKUP($A27,[1]Hugst!$R$5:$W$9,MATCH(ROUNDUP((AD$1)/10,0)*10,[1]Hugst!$R$4:$W$4,0))))</f>
        <v>1133.9273759716946</v>
      </c>
      <c r="AE27" s="168">
        <f ca="1">IF($C27-AE$1&lt;År1,0,AD26*(1-VLOOKUP($A27,[1]Hugst!$R$5:$W$9,MATCH(ROUNDUP((AE$1)/10,0)*10,[1]Hugst!$R$4:$W$4,0))))</f>
        <v>1134.4707134716939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(IF(B28="Vestdanmark",Skovbrug!$C$22-(Skovbrug!$C$22)*(1-Skovbrug!$C$9)^(C28-Skovbrug!$B$12),Skovbrug!$F$22-(Skovbrug!$F$22)*(1-Skovbrug!$C$9)^(C28-Skovbrug!$B$12)))*VLOOKUP(A28,Skovbrug!$A$13:$D$17,IF('Skovbrug-alder'!C28&lt;=År2,3,4),FALSE)
-IF(C28&gt;2020,SUM(INDEX($C$1:$D$311,MATCH(1,(2020=$C$1:$C$311)*(B28=$B$1:$B$311)*(A28=$A$1:$A$311),0),2):D27),0)</f>
        <v>95.389324909387597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659.58109231881986</v>
      </c>
      <c r="G28" s="168">
        <f ca="1">IF($C28-G$1&lt;År1,0,F27*(1-VLOOKUP($A28,[1]Hugst!$R$5:$W$9,MATCH(ROUNDUP((G$1)/10,0)*10,[1]Hugst!$R$4:$W$4,0))))</f>
        <v>660.06043566006997</v>
      </c>
      <c r="H28" s="168">
        <f ca="1">IF($C28-H$1&lt;År1,0,G27*(1-VLOOKUP($A28,[1]Hugst!$R$5:$W$9,MATCH(ROUNDUP((H$1)/10,0)*10,[1]Hugst!$R$4:$W$4,0))))</f>
        <v>660.54218776183257</v>
      </c>
      <c r="I28" s="168">
        <f ca="1">IF($C28-I$1&lt;År1,0,H27*(1-VLOOKUP($A28,[1]Hugst!$R$5:$W$9,MATCH(ROUNDUP((I$1)/10,0)*10,[1]Hugst!$R$4:$W$4,0))))</f>
        <v>661.0263607284262</v>
      </c>
      <c r="J28" s="168">
        <f ca="1">IF($C28-J$1&lt;År1,0,I27*(1-VLOOKUP($A28,[1]Hugst!$R$5:$W$9,MATCH(ROUNDUP((J$1)/10,0)*10,[1]Hugst!$R$4:$W$4,0))))</f>
        <v>661.51296672500871</v>
      </c>
      <c r="K28" s="168">
        <f ca="1">IF($C28-K$1&lt;År1,0,J27*(1-VLOOKUP($A28,[1]Hugst!$R$5:$W$9,MATCH(ROUNDUP((K$1)/10,0)*10,[1]Hugst!$R$4:$W$4,0))))</f>
        <v>662.00201797784871</v>
      </c>
      <c r="L28" s="168">
        <f ca="1">IF($C28-L$1&lt;År1,0,K27*(1-VLOOKUP($A28,[1]Hugst!$R$5:$W$9,MATCH(ROUNDUP((L$1)/10,0)*10,[1]Hugst!$R$4:$W$4,0))))</f>
        <v>662.49352677467391</v>
      </c>
      <c r="M28" s="168">
        <f ca="1">IF($C28-M$1&lt;År1,0,L27*(1-VLOOKUP($A28,[1]Hugst!$R$5:$W$9,MATCH(ROUNDUP((M$1)/10,0)*10,[1]Hugst!$R$4:$W$4,0))))</f>
        <v>662.98750546494853</v>
      </c>
      <c r="N28" s="168">
        <f ca="1">IF($C28-N$1&lt;År1,0,M27*(1-VLOOKUP($A28,[1]Hugst!$R$5:$W$9,MATCH(ROUNDUP((N$1)/10,0)*10,[1]Hugst!$R$4:$W$4,0))))</f>
        <v>663.48396646020706</v>
      </c>
      <c r="O28" s="168">
        <f ca="1">IF($C28-O$1&lt;År1,0,N27*(1-VLOOKUP($A28,[1]Hugst!$R$5:$W$9,MATCH(ROUNDUP((O$1)/10,0)*10,[1]Hugst!$R$4:$W$4,0))))</f>
        <v>663.98292223433077</v>
      </c>
      <c r="P28" s="168">
        <f ca="1">IF($C28-P$1&lt;År1,0,O27*(1-VLOOKUP($A28,[1]Hugst!$R$5:$W$9,MATCH(ROUNDUP((P$1)/10,0)*10,[1]Hugst!$R$4:$W$4,0))))</f>
        <v>664.48438532390287</v>
      </c>
      <c r="Q28" s="168">
        <f ca="1">IF($C28-Q$1&lt;År1,0,P27*(1-VLOOKUP($A28,[1]Hugst!$R$5:$W$9,MATCH(ROUNDUP((Q$1)/10,0)*10,[1]Hugst!$R$4:$W$4,0))))</f>
        <v>664.98836832849793</v>
      </c>
      <c r="R28" s="168">
        <f ca="1">IF($C28-R$1&lt;År1,0,Q27*(1-VLOOKUP($A28,[1]Hugst!$R$5:$W$9,MATCH(ROUNDUP((R$1)/10,0)*10,[1]Hugst!$R$4:$W$4,0))))</f>
        <v>665.49488391100613</v>
      </c>
      <c r="S28" s="168">
        <f ca="1">IF($C28-S$1&lt;År1,0,R27*(1-VLOOKUP($A28,[1]Hugst!$R$5:$W$9,MATCH(ROUNDUP((S$1)/10,0)*10,[1]Hugst!$R$4:$W$4,0))))</f>
        <v>666.00394479794772</v>
      </c>
      <c r="T28" s="168">
        <f ca="1">IF($C28-T$1&lt;År1,0,S27*(1-VLOOKUP($A28,[1]Hugst!$R$5:$W$9,MATCH(ROUNDUP((T$1)/10,0)*10,[1]Hugst!$R$4:$W$4,0))))</f>
        <v>666.51556377979864</v>
      </c>
      <c r="U28" s="168">
        <f ca="1">IF($C28-U$1&lt;År1,0,T27*(1-VLOOKUP($A28,[1]Hugst!$R$5:$W$9,MATCH(ROUNDUP((U$1)/10,0)*10,[1]Hugst!$R$4:$W$4,0))))</f>
        <v>667.02975371130765</v>
      </c>
      <c r="V28" s="168">
        <f ca="1">IF($C28-V$1&lt;År1,0,U27*(1-VLOOKUP($A28,[1]Hugst!$R$5:$W$9,MATCH(ROUNDUP((V$1)/10,0)*10,[1]Hugst!$R$4:$W$4,0))))</f>
        <v>1129.1579735740872</v>
      </c>
      <c r="W28" s="168">
        <f ca="1">IF($C28-W$1&lt;År1,0,V27*(1-VLOOKUP($A28,[1]Hugst!$R$5:$W$9,MATCH(ROUNDUP((W$1)/10,0)*10,[1]Hugst!$R$4:$W$4,0))))</f>
        <v>1129.6773442278643</v>
      </c>
      <c r="X28" s="168">
        <f ca="1">IF($C28-X$1&lt;År1,0,W27*(1-VLOOKUP($A28,[1]Hugst!$R$5:$W$9,MATCH(ROUNDUP((X$1)/10,0)*10,[1]Hugst!$R$4:$W$4,0))))</f>
        <v>1130.1993247844275</v>
      </c>
      <c r="Y28" s="168">
        <f ca="1">IF($C28-Y$1&lt;År1,0,X27*(1-VLOOKUP($A28,[1]Hugst!$R$5:$W$9,MATCH(ROUNDUP((Y$1)/10,0)*10,[1]Hugst!$R$4:$W$4,0))))</f>
        <v>1130.7239283588656</v>
      </c>
      <c r="Z28" s="168">
        <f ca="1">IF($C28-Z$1&lt;År1,0,Y27*(1-VLOOKUP($A28,[1]Hugst!$R$5:$W$9,MATCH(ROUNDUP((Z$1)/10,0)*10,[1]Hugst!$R$4:$W$4,0))))</f>
        <v>1131.2511681321687</v>
      </c>
      <c r="AA28" s="168">
        <f ca="1">IF($C28-AA$1&lt;År1,0,Z27*(1-VLOOKUP($A28,[1]Hugst!$R$5:$W$9,MATCH(ROUNDUP((AA$1)/10,0)*10,[1]Hugst!$R$4:$W$4,0))))</f>
        <v>1131.7810573515656</v>
      </c>
      <c r="AB28" s="168">
        <f ca="1">IF($C28-AB$1&lt;År1,0,AA27*(1-VLOOKUP($A28,[1]Hugst!$R$5:$W$9,MATCH(ROUNDUP((AB$1)/10,0)*10,[1]Hugst!$R$4:$W$4,0))))</f>
        <v>1132.3136093308624</v>
      </c>
      <c r="AC28" s="168">
        <f ca="1">IF($C28-AC$1&lt;År1,0,AB27*(1-VLOOKUP($A28,[1]Hugst!$R$5:$W$9,MATCH(ROUNDUP((AC$1)/10,0)*10,[1]Hugst!$R$4:$W$4,0))))</f>
        <v>1132.8488374507547</v>
      </c>
      <c r="AD28" s="168">
        <f ca="1">IF($C28-AD$1&lt;År1,0,AC27*(1-VLOOKUP($A28,[1]Hugst!$R$5:$W$9,MATCH(ROUNDUP((AD$1)/10,0)*10,[1]Hugst!$R$4:$W$4,0))))</f>
        <v>1133.3867551591973</v>
      </c>
      <c r="AE28" s="168">
        <f ca="1">IF($C28-AE$1&lt;År1,0,AD27*(1-VLOOKUP($A28,[1]Hugst!$R$5:$W$9,MATCH(ROUNDUP((AE$1)/10,0)*10,[1]Hugst!$R$4:$W$4,0))))</f>
        <v>1133.9273759716946</v>
      </c>
      <c r="AF28" s="168">
        <f ca="1">IF($C28-AF$1&lt;År1,0,AE27*(1-VLOOKUP($A28,[1]Hugst!$R$5:$W$9,MATCH(ROUNDUP((AF$1)/10,0)*10,[1]Hugst!$R$4:$W$4,0))))</f>
        <v>1134.4707134716939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(IF(B29="Vestdanmark",Skovbrug!$C$22-(Skovbrug!$C$22)*(1-Skovbrug!$C$9)^(C29-Skovbrug!$B$12),Skovbrug!$F$22-(Skovbrug!$F$22)*(1-Skovbrug!$C$9)^(C29-Skovbrug!$B$12)))*VLOOKUP(A29,Skovbrug!$A$13:$D$17,IF('Skovbrug-alder'!C29&lt;=År2,3,4),FALSE)
-IF(C29&gt;2020,SUM(INDEX($C$1:$D$311,MATCH(1,(2020=$C$1:$C$311)*(B29=$B$1:$B$311)*(A29=$A$1:$A$311),0),2):D28),0)</f>
        <v>94.91237828483554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659.1041456942678</v>
      </c>
      <c r="G29" s="168">
        <f ca="1">IF($C29-G$1&lt;År1,0,F28*(1-VLOOKUP($A29,[1]Hugst!$R$5:$W$9,MATCH(ROUNDUP((G$1)/10,0)*10,[1]Hugst!$R$4:$W$4,0))))</f>
        <v>659.58109231881986</v>
      </c>
      <c r="H29" s="168">
        <f ca="1">IF($C29-H$1&lt;År1,0,G28*(1-VLOOKUP($A29,[1]Hugst!$R$5:$W$9,MATCH(ROUNDUP((H$1)/10,0)*10,[1]Hugst!$R$4:$W$4,0))))</f>
        <v>660.06043566006997</v>
      </c>
      <c r="I29" s="168">
        <f ca="1">IF($C29-I$1&lt;År1,0,H28*(1-VLOOKUP($A29,[1]Hugst!$R$5:$W$9,MATCH(ROUNDUP((I$1)/10,0)*10,[1]Hugst!$R$4:$W$4,0))))</f>
        <v>660.54218776183257</v>
      </c>
      <c r="J29" s="168">
        <f ca="1">IF($C29-J$1&lt;År1,0,I28*(1-VLOOKUP($A29,[1]Hugst!$R$5:$W$9,MATCH(ROUNDUP((J$1)/10,0)*10,[1]Hugst!$R$4:$W$4,0))))</f>
        <v>661.0263607284262</v>
      </c>
      <c r="K29" s="168">
        <f ca="1">IF($C29-K$1&lt;År1,0,J28*(1-VLOOKUP($A29,[1]Hugst!$R$5:$W$9,MATCH(ROUNDUP((K$1)/10,0)*10,[1]Hugst!$R$4:$W$4,0))))</f>
        <v>661.51296672500871</v>
      </c>
      <c r="L29" s="168">
        <f ca="1">IF($C29-L$1&lt;År1,0,K28*(1-VLOOKUP($A29,[1]Hugst!$R$5:$W$9,MATCH(ROUNDUP((L$1)/10,0)*10,[1]Hugst!$R$4:$W$4,0))))</f>
        <v>662.00201797784871</v>
      </c>
      <c r="M29" s="168">
        <f ca="1">IF($C29-M$1&lt;År1,0,L28*(1-VLOOKUP($A29,[1]Hugst!$R$5:$W$9,MATCH(ROUNDUP((M$1)/10,0)*10,[1]Hugst!$R$4:$W$4,0))))</f>
        <v>662.49352677467391</v>
      </c>
      <c r="N29" s="168">
        <f ca="1">IF($C29-N$1&lt;År1,0,M28*(1-VLOOKUP($A29,[1]Hugst!$R$5:$W$9,MATCH(ROUNDUP((N$1)/10,0)*10,[1]Hugst!$R$4:$W$4,0))))</f>
        <v>662.98750546494853</v>
      </c>
      <c r="O29" s="168">
        <f ca="1">IF($C29-O$1&lt;År1,0,N28*(1-VLOOKUP($A29,[1]Hugst!$R$5:$W$9,MATCH(ROUNDUP((O$1)/10,0)*10,[1]Hugst!$R$4:$W$4,0))))</f>
        <v>663.48396646020706</v>
      </c>
      <c r="P29" s="168">
        <f ca="1">IF($C29-P$1&lt;År1,0,O28*(1-VLOOKUP($A29,[1]Hugst!$R$5:$W$9,MATCH(ROUNDUP((P$1)/10,0)*10,[1]Hugst!$R$4:$W$4,0))))</f>
        <v>663.98292223433077</v>
      </c>
      <c r="Q29" s="168">
        <f ca="1">IF($C29-Q$1&lt;År1,0,P28*(1-VLOOKUP($A29,[1]Hugst!$R$5:$W$9,MATCH(ROUNDUP((Q$1)/10,0)*10,[1]Hugst!$R$4:$W$4,0))))</f>
        <v>664.48438532390287</v>
      </c>
      <c r="R29" s="168">
        <f ca="1">IF($C29-R$1&lt;År1,0,Q28*(1-VLOOKUP($A29,[1]Hugst!$R$5:$W$9,MATCH(ROUNDUP((R$1)/10,0)*10,[1]Hugst!$R$4:$W$4,0))))</f>
        <v>664.98836832849793</v>
      </c>
      <c r="S29" s="168">
        <f ca="1">IF($C29-S$1&lt;År1,0,R28*(1-VLOOKUP($A29,[1]Hugst!$R$5:$W$9,MATCH(ROUNDUP((S$1)/10,0)*10,[1]Hugst!$R$4:$W$4,0))))</f>
        <v>665.49488391100613</v>
      </c>
      <c r="T29" s="168">
        <f ca="1">IF($C29-T$1&lt;År1,0,S28*(1-VLOOKUP($A29,[1]Hugst!$R$5:$W$9,MATCH(ROUNDUP((T$1)/10,0)*10,[1]Hugst!$R$4:$W$4,0))))</f>
        <v>666.00394479794772</v>
      </c>
      <c r="U29" s="168">
        <f ca="1">IF($C29-U$1&lt;År1,0,T28*(1-VLOOKUP($A29,[1]Hugst!$R$5:$W$9,MATCH(ROUNDUP((U$1)/10,0)*10,[1]Hugst!$R$4:$W$4,0))))</f>
        <v>666.51556377979864</v>
      </c>
      <c r="V29" s="168">
        <f ca="1">IF($C29-V$1&lt;År1,0,U28*(1-VLOOKUP($A29,[1]Hugst!$R$5:$W$9,MATCH(ROUNDUP((V$1)/10,0)*10,[1]Hugst!$R$4:$W$4,0))))</f>
        <v>667.02975371130765</v>
      </c>
      <c r="W29" s="168">
        <f ca="1">IF($C29-W$1&lt;År1,0,V28*(1-VLOOKUP($A29,[1]Hugst!$R$5:$W$9,MATCH(ROUNDUP((W$1)/10,0)*10,[1]Hugst!$R$4:$W$4,0))))</f>
        <v>1129.1579735740872</v>
      </c>
      <c r="X29" s="168">
        <f ca="1">IF($C29-X$1&lt;År1,0,W28*(1-VLOOKUP($A29,[1]Hugst!$R$5:$W$9,MATCH(ROUNDUP((X$1)/10,0)*10,[1]Hugst!$R$4:$W$4,0))))</f>
        <v>1129.6773442278643</v>
      </c>
      <c r="Y29" s="168">
        <f ca="1">IF($C29-Y$1&lt;År1,0,X28*(1-VLOOKUP($A29,[1]Hugst!$R$5:$W$9,MATCH(ROUNDUP((Y$1)/10,0)*10,[1]Hugst!$R$4:$W$4,0))))</f>
        <v>1130.1993247844275</v>
      </c>
      <c r="Z29" s="168">
        <f ca="1">IF($C29-Z$1&lt;År1,0,Y28*(1-VLOOKUP($A29,[1]Hugst!$R$5:$W$9,MATCH(ROUNDUP((Z$1)/10,0)*10,[1]Hugst!$R$4:$W$4,0))))</f>
        <v>1130.7239283588656</v>
      </c>
      <c r="AA29" s="168">
        <f ca="1">IF($C29-AA$1&lt;År1,0,Z28*(1-VLOOKUP($A29,[1]Hugst!$R$5:$W$9,MATCH(ROUNDUP((AA$1)/10,0)*10,[1]Hugst!$R$4:$W$4,0))))</f>
        <v>1131.2511681321687</v>
      </c>
      <c r="AB29" s="168">
        <f ca="1">IF($C29-AB$1&lt;År1,0,AA28*(1-VLOOKUP($A29,[1]Hugst!$R$5:$W$9,MATCH(ROUNDUP((AB$1)/10,0)*10,[1]Hugst!$R$4:$W$4,0))))</f>
        <v>1131.7810573515656</v>
      </c>
      <c r="AC29" s="168">
        <f ca="1">IF($C29-AC$1&lt;År1,0,AB28*(1-VLOOKUP($A29,[1]Hugst!$R$5:$W$9,MATCH(ROUNDUP((AC$1)/10,0)*10,[1]Hugst!$R$4:$W$4,0))))</f>
        <v>1132.3136093308624</v>
      </c>
      <c r="AD29" s="168">
        <f ca="1">IF($C29-AD$1&lt;År1,0,AC28*(1-VLOOKUP($A29,[1]Hugst!$R$5:$W$9,MATCH(ROUNDUP((AD$1)/10,0)*10,[1]Hugst!$R$4:$W$4,0))))</f>
        <v>1132.8488374507547</v>
      </c>
      <c r="AE29" s="168">
        <f ca="1">IF($C29-AE$1&lt;År1,0,AD28*(1-VLOOKUP($A29,[1]Hugst!$R$5:$W$9,MATCH(ROUNDUP((AE$1)/10,0)*10,[1]Hugst!$R$4:$W$4,0))))</f>
        <v>1133.3867551591973</v>
      </c>
      <c r="AF29" s="168">
        <f ca="1">IF($C29-AF$1&lt;År1,0,AE28*(1-VLOOKUP($A29,[1]Hugst!$R$5:$W$9,MATCH(ROUNDUP((AF$1)/10,0)*10,[1]Hugst!$R$4:$W$4,0))))</f>
        <v>1133.9273759716946</v>
      </c>
      <c r="AG29" s="168">
        <f ca="1">IF($C29-AG$1&lt;År1,0,AF28*(1-VLOOKUP($A29,[1]Hugst!$R$5:$W$9,MATCH(ROUNDUP((AG$1)/10,0)*10,[1]Hugst!$R$4:$W$4,0))))</f>
        <v>1134.4707134716939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(IF(B30="Vestdanmark",Skovbrug!$C$22-(Skovbrug!$C$22)*(1-Skovbrug!$C$9)^(C30-Skovbrug!$B$12),Skovbrug!$F$22-(Skovbrug!$F$22)*(1-Skovbrug!$C$9)^(C30-Skovbrug!$B$12)))*VLOOKUP(A30,Skovbrug!$A$13:$D$17,IF('Skovbrug-alder'!C30&lt;=År2,3,4),FALSE)
-IF(C30&gt;2020,SUM(INDEX($C$1:$D$311,MATCH(1,(2020=$C$1:$C$311)*(B30=$B$1:$B$311)*(A30=$A$1:$A$311),0),2):D29),0)</f>
        <v>94.437816393413414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658.62958380284567</v>
      </c>
      <c r="G30" s="168">
        <f ca="1">IF($C30-G$1&lt;År1,0,F29*(1-VLOOKUP($A30,[1]Hugst!$R$5:$W$9,MATCH(ROUNDUP((G$1)/10,0)*10,[1]Hugst!$R$4:$W$4,0))))</f>
        <v>659.1041456942678</v>
      </c>
      <c r="H30" s="168">
        <f ca="1">IF($C30-H$1&lt;År1,0,G29*(1-VLOOKUP($A30,[1]Hugst!$R$5:$W$9,MATCH(ROUNDUP((H$1)/10,0)*10,[1]Hugst!$R$4:$W$4,0))))</f>
        <v>659.58109231881986</v>
      </c>
      <c r="I30" s="168">
        <f ca="1">IF($C30-I$1&lt;År1,0,H29*(1-VLOOKUP($A30,[1]Hugst!$R$5:$W$9,MATCH(ROUNDUP((I$1)/10,0)*10,[1]Hugst!$R$4:$W$4,0))))</f>
        <v>660.06043566006997</v>
      </c>
      <c r="J30" s="168">
        <f ca="1">IF($C30-J$1&lt;År1,0,I29*(1-VLOOKUP($A30,[1]Hugst!$R$5:$W$9,MATCH(ROUNDUP((J$1)/10,0)*10,[1]Hugst!$R$4:$W$4,0))))</f>
        <v>660.54218776183257</v>
      </c>
      <c r="K30" s="168">
        <f ca="1">IF($C30-K$1&lt;År1,0,J29*(1-VLOOKUP($A30,[1]Hugst!$R$5:$W$9,MATCH(ROUNDUP((K$1)/10,0)*10,[1]Hugst!$R$4:$W$4,0))))</f>
        <v>661.0263607284262</v>
      </c>
      <c r="L30" s="168">
        <f ca="1">IF($C30-L$1&lt;År1,0,K29*(1-VLOOKUP($A30,[1]Hugst!$R$5:$W$9,MATCH(ROUNDUP((L$1)/10,0)*10,[1]Hugst!$R$4:$W$4,0))))</f>
        <v>661.51296672500871</v>
      </c>
      <c r="M30" s="168">
        <f ca="1">IF($C30-M$1&lt;År1,0,L29*(1-VLOOKUP($A30,[1]Hugst!$R$5:$W$9,MATCH(ROUNDUP((M$1)/10,0)*10,[1]Hugst!$R$4:$W$4,0))))</f>
        <v>662.00201797784871</v>
      </c>
      <c r="N30" s="168">
        <f ca="1">IF($C30-N$1&lt;År1,0,M29*(1-VLOOKUP($A30,[1]Hugst!$R$5:$W$9,MATCH(ROUNDUP((N$1)/10,0)*10,[1]Hugst!$R$4:$W$4,0))))</f>
        <v>662.49352677467391</v>
      </c>
      <c r="O30" s="168">
        <f ca="1">IF($C30-O$1&lt;År1,0,N29*(1-VLOOKUP($A30,[1]Hugst!$R$5:$W$9,MATCH(ROUNDUP((O$1)/10,0)*10,[1]Hugst!$R$4:$W$4,0))))</f>
        <v>662.98750546494853</v>
      </c>
      <c r="P30" s="168">
        <f ca="1">IF($C30-P$1&lt;År1,0,O29*(1-VLOOKUP($A30,[1]Hugst!$R$5:$W$9,MATCH(ROUNDUP((P$1)/10,0)*10,[1]Hugst!$R$4:$W$4,0))))</f>
        <v>663.48396646020706</v>
      </c>
      <c r="Q30" s="168">
        <f ca="1">IF($C30-Q$1&lt;År1,0,P29*(1-VLOOKUP($A30,[1]Hugst!$R$5:$W$9,MATCH(ROUNDUP((Q$1)/10,0)*10,[1]Hugst!$R$4:$W$4,0))))</f>
        <v>663.98292223433077</v>
      </c>
      <c r="R30" s="168">
        <f ca="1">IF($C30-R$1&lt;År1,0,Q29*(1-VLOOKUP($A30,[1]Hugst!$R$5:$W$9,MATCH(ROUNDUP((R$1)/10,0)*10,[1]Hugst!$R$4:$W$4,0))))</f>
        <v>664.48438532390287</v>
      </c>
      <c r="S30" s="168">
        <f ca="1">IF($C30-S$1&lt;År1,0,R29*(1-VLOOKUP($A30,[1]Hugst!$R$5:$W$9,MATCH(ROUNDUP((S$1)/10,0)*10,[1]Hugst!$R$4:$W$4,0))))</f>
        <v>664.98836832849793</v>
      </c>
      <c r="T30" s="168">
        <f ca="1">IF($C30-T$1&lt;År1,0,S29*(1-VLOOKUP($A30,[1]Hugst!$R$5:$W$9,MATCH(ROUNDUP((T$1)/10,0)*10,[1]Hugst!$R$4:$W$4,0))))</f>
        <v>665.49488391100613</v>
      </c>
      <c r="U30" s="168">
        <f ca="1">IF($C30-U$1&lt;År1,0,T29*(1-VLOOKUP($A30,[1]Hugst!$R$5:$W$9,MATCH(ROUNDUP((U$1)/10,0)*10,[1]Hugst!$R$4:$W$4,0))))</f>
        <v>666.00394479794772</v>
      </c>
      <c r="V30" s="168">
        <f ca="1">IF($C30-V$1&lt;År1,0,U29*(1-VLOOKUP($A30,[1]Hugst!$R$5:$W$9,MATCH(ROUNDUP((V$1)/10,0)*10,[1]Hugst!$R$4:$W$4,0))))</f>
        <v>666.51556377979864</v>
      </c>
      <c r="W30" s="168">
        <f ca="1">IF($C30-W$1&lt;År1,0,V29*(1-VLOOKUP($A30,[1]Hugst!$R$5:$W$9,MATCH(ROUNDUP((W$1)/10,0)*10,[1]Hugst!$R$4:$W$4,0))))</f>
        <v>667.02975371130765</v>
      </c>
      <c r="X30" s="168">
        <f ca="1">IF($C30-X$1&lt;År1,0,W29*(1-VLOOKUP($A30,[1]Hugst!$R$5:$W$9,MATCH(ROUNDUP((X$1)/10,0)*10,[1]Hugst!$R$4:$W$4,0))))</f>
        <v>1129.1579735740872</v>
      </c>
      <c r="Y30" s="168">
        <f ca="1">IF($C30-Y$1&lt;År1,0,X29*(1-VLOOKUP($A30,[1]Hugst!$R$5:$W$9,MATCH(ROUNDUP((Y$1)/10,0)*10,[1]Hugst!$R$4:$W$4,0))))</f>
        <v>1129.6773442278643</v>
      </c>
      <c r="Z30" s="168">
        <f ca="1">IF($C30-Z$1&lt;År1,0,Y29*(1-VLOOKUP($A30,[1]Hugst!$R$5:$W$9,MATCH(ROUNDUP((Z$1)/10,0)*10,[1]Hugst!$R$4:$W$4,0))))</f>
        <v>1130.1993247844275</v>
      </c>
      <c r="AA30" s="168">
        <f ca="1">IF($C30-AA$1&lt;År1,0,Z29*(1-VLOOKUP($A30,[1]Hugst!$R$5:$W$9,MATCH(ROUNDUP((AA$1)/10,0)*10,[1]Hugst!$R$4:$W$4,0))))</f>
        <v>1130.7239283588656</v>
      </c>
      <c r="AB30" s="168">
        <f ca="1">IF($C30-AB$1&lt;År1,0,AA29*(1-VLOOKUP($A30,[1]Hugst!$R$5:$W$9,MATCH(ROUNDUP((AB$1)/10,0)*10,[1]Hugst!$R$4:$W$4,0))))</f>
        <v>1131.2511681321687</v>
      </c>
      <c r="AC30" s="168">
        <f ca="1">IF($C30-AC$1&lt;År1,0,AB29*(1-VLOOKUP($A30,[1]Hugst!$R$5:$W$9,MATCH(ROUNDUP((AC$1)/10,0)*10,[1]Hugst!$R$4:$W$4,0))))</f>
        <v>1131.7810573515656</v>
      </c>
      <c r="AD30" s="168">
        <f ca="1">IF($C30-AD$1&lt;År1,0,AC29*(1-VLOOKUP($A30,[1]Hugst!$R$5:$W$9,MATCH(ROUNDUP((AD$1)/10,0)*10,[1]Hugst!$R$4:$W$4,0))))</f>
        <v>1132.3136093308624</v>
      </c>
      <c r="AE30" s="168">
        <f ca="1">IF($C30-AE$1&lt;År1,0,AD29*(1-VLOOKUP($A30,[1]Hugst!$R$5:$W$9,MATCH(ROUNDUP((AE$1)/10,0)*10,[1]Hugst!$R$4:$W$4,0))))</f>
        <v>1132.8488374507547</v>
      </c>
      <c r="AF30" s="168">
        <f ca="1">IF($C30-AF$1&lt;År1,0,AE29*(1-VLOOKUP($A30,[1]Hugst!$R$5:$W$9,MATCH(ROUNDUP((AF$1)/10,0)*10,[1]Hugst!$R$4:$W$4,0))))</f>
        <v>1133.3867551591973</v>
      </c>
      <c r="AG30" s="168">
        <f ca="1">IF($C30-AG$1&lt;År1,0,AF29*(1-VLOOKUP($A30,[1]Hugst!$R$5:$W$9,MATCH(ROUNDUP((AG$1)/10,0)*10,[1]Hugst!$R$4:$W$4,0))))</f>
        <v>1133.9273759716946</v>
      </c>
      <c r="AH30" s="168">
        <f ca="1">IF($C30-AH$1&lt;År1,0,AG29*(1-VLOOKUP($A30,[1]Hugst!$R$5:$W$9,MATCH(ROUNDUP((AH$1)/10,0)*10,[1]Hugst!$R$4:$W$4,0))))</f>
        <v>1134.4707134716939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(IF(B31="Vestdanmark",Skovbrug!$C$22-(Skovbrug!$C$22)*(1-Skovbrug!$C$9)^(C31-Skovbrug!$B$12),Skovbrug!$F$22-(Skovbrug!$F$22)*(1-Skovbrug!$C$9)^(C31-Skovbrug!$B$12)))*VLOOKUP(A31,Skovbrug!$A$13:$D$17,IF('Skovbrug-alder'!C31&lt;=År2,3,4),FALSE)
-IF(C31&gt;2020,SUM(INDEX($C$1:$D$311,MATCH(1,(2020=$C$1:$C$311)*(B31=$B$1:$B$311)*(A31=$A$1:$A$311),0),2):D30),0)</f>
        <v>93.965627311449225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658.15739472088148</v>
      </c>
      <c r="G31" s="168">
        <f ca="1">IF($C31-G$1&lt;År1,0,F30*(1-VLOOKUP($A31,[1]Hugst!$R$5:$W$9,MATCH(ROUNDUP((G$1)/10,0)*10,[1]Hugst!$R$4:$W$4,0))))</f>
        <v>658.62958380284567</v>
      </c>
      <c r="H31" s="168">
        <f ca="1">IF($C31-H$1&lt;År1,0,G30*(1-VLOOKUP($A31,[1]Hugst!$R$5:$W$9,MATCH(ROUNDUP((H$1)/10,0)*10,[1]Hugst!$R$4:$W$4,0))))</f>
        <v>659.1041456942678</v>
      </c>
      <c r="I31" s="168">
        <f ca="1">IF($C31-I$1&lt;År1,0,H30*(1-VLOOKUP($A31,[1]Hugst!$R$5:$W$9,MATCH(ROUNDUP((I$1)/10,0)*10,[1]Hugst!$R$4:$W$4,0))))</f>
        <v>659.58109231881986</v>
      </c>
      <c r="J31" s="168">
        <f ca="1">IF($C31-J$1&lt;År1,0,I30*(1-VLOOKUP($A31,[1]Hugst!$R$5:$W$9,MATCH(ROUNDUP((J$1)/10,0)*10,[1]Hugst!$R$4:$W$4,0))))</f>
        <v>660.06043566006997</v>
      </c>
      <c r="K31" s="168">
        <f ca="1">IF($C31-K$1&lt;År1,0,J30*(1-VLOOKUP($A31,[1]Hugst!$R$5:$W$9,MATCH(ROUNDUP((K$1)/10,0)*10,[1]Hugst!$R$4:$W$4,0))))</f>
        <v>660.54218776183257</v>
      </c>
      <c r="L31" s="168">
        <f ca="1">IF($C31-L$1&lt;År1,0,K30*(1-VLOOKUP($A31,[1]Hugst!$R$5:$W$9,MATCH(ROUNDUP((L$1)/10,0)*10,[1]Hugst!$R$4:$W$4,0))))</f>
        <v>661.0263607284262</v>
      </c>
      <c r="M31" s="168">
        <f ca="1">IF($C31-M$1&lt;År1,0,L30*(1-VLOOKUP($A31,[1]Hugst!$R$5:$W$9,MATCH(ROUNDUP((M$1)/10,0)*10,[1]Hugst!$R$4:$W$4,0))))</f>
        <v>661.51296672500871</v>
      </c>
      <c r="N31" s="168">
        <f ca="1">IF($C31-N$1&lt;År1,0,M30*(1-VLOOKUP($A31,[1]Hugst!$R$5:$W$9,MATCH(ROUNDUP((N$1)/10,0)*10,[1]Hugst!$R$4:$W$4,0))))</f>
        <v>662.00201797784871</v>
      </c>
      <c r="O31" s="168">
        <f ca="1">IF($C31-O$1&lt;År1,0,N30*(1-VLOOKUP($A31,[1]Hugst!$R$5:$W$9,MATCH(ROUNDUP((O$1)/10,0)*10,[1]Hugst!$R$4:$W$4,0))))</f>
        <v>662.49352677467391</v>
      </c>
      <c r="P31" s="168">
        <f ca="1">IF($C31-P$1&lt;År1,0,O30*(1-VLOOKUP($A31,[1]Hugst!$R$5:$W$9,MATCH(ROUNDUP((P$1)/10,0)*10,[1]Hugst!$R$4:$W$4,0))))</f>
        <v>662.98750546494853</v>
      </c>
      <c r="Q31" s="168">
        <f ca="1">IF($C31-Q$1&lt;År1,0,P30*(1-VLOOKUP($A31,[1]Hugst!$R$5:$W$9,MATCH(ROUNDUP((Q$1)/10,0)*10,[1]Hugst!$R$4:$W$4,0))))</f>
        <v>663.48396646020706</v>
      </c>
      <c r="R31" s="168">
        <f ca="1">IF($C31-R$1&lt;År1,0,Q30*(1-VLOOKUP($A31,[1]Hugst!$R$5:$W$9,MATCH(ROUNDUP((R$1)/10,0)*10,[1]Hugst!$R$4:$W$4,0))))</f>
        <v>663.98292223433077</v>
      </c>
      <c r="S31" s="168">
        <f ca="1">IF($C31-S$1&lt;År1,0,R30*(1-VLOOKUP($A31,[1]Hugst!$R$5:$W$9,MATCH(ROUNDUP((S$1)/10,0)*10,[1]Hugst!$R$4:$W$4,0))))</f>
        <v>664.48438532390287</v>
      </c>
      <c r="T31" s="168">
        <f ca="1">IF($C31-T$1&lt;År1,0,S30*(1-VLOOKUP($A31,[1]Hugst!$R$5:$W$9,MATCH(ROUNDUP((T$1)/10,0)*10,[1]Hugst!$R$4:$W$4,0))))</f>
        <v>664.98836832849793</v>
      </c>
      <c r="U31" s="168">
        <f ca="1">IF($C31-U$1&lt;År1,0,T30*(1-VLOOKUP($A31,[1]Hugst!$R$5:$W$9,MATCH(ROUNDUP((U$1)/10,0)*10,[1]Hugst!$R$4:$W$4,0))))</f>
        <v>665.49488391100613</v>
      </c>
      <c r="V31" s="168">
        <f ca="1">IF($C31-V$1&lt;År1,0,U30*(1-VLOOKUP($A31,[1]Hugst!$R$5:$W$9,MATCH(ROUNDUP((V$1)/10,0)*10,[1]Hugst!$R$4:$W$4,0))))</f>
        <v>666.00394479794772</v>
      </c>
      <c r="W31" s="168">
        <f ca="1">IF($C31-W$1&lt;År1,0,V30*(1-VLOOKUP($A31,[1]Hugst!$R$5:$W$9,MATCH(ROUNDUP((W$1)/10,0)*10,[1]Hugst!$R$4:$W$4,0))))</f>
        <v>666.51556377979864</v>
      </c>
      <c r="X31" s="168">
        <f ca="1">IF($C31-X$1&lt;År1,0,W30*(1-VLOOKUP($A31,[1]Hugst!$R$5:$W$9,MATCH(ROUNDUP((X$1)/10,0)*10,[1]Hugst!$R$4:$W$4,0))))</f>
        <v>667.02975371130765</v>
      </c>
      <c r="Y31" s="168">
        <f ca="1">IF($C31-Y$1&lt;År1,0,X30*(1-VLOOKUP($A31,[1]Hugst!$R$5:$W$9,MATCH(ROUNDUP((Y$1)/10,0)*10,[1]Hugst!$R$4:$W$4,0))))</f>
        <v>1129.1579735740872</v>
      </c>
      <c r="Z31" s="168">
        <f ca="1">IF($C31-Z$1&lt;År1,0,Y30*(1-VLOOKUP($A31,[1]Hugst!$R$5:$W$9,MATCH(ROUNDUP((Z$1)/10,0)*10,[1]Hugst!$R$4:$W$4,0))))</f>
        <v>1129.6773442278643</v>
      </c>
      <c r="AA31" s="168">
        <f ca="1">IF($C31-AA$1&lt;År1,0,Z30*(1-VLOOKUP($A31,[1]Hugst!$R$5:$W$9,MATCH(ROUNDUP((AA$1)/10,0)*10,[1]Hugst!$R$4:$W$4,0))))</f>
        <v>1130.1993247844275</v>
      </c>
      <c r="AB31" s="168">
        <f ca="1">IF($C31-AB$1&lt;År1,0,AA30*(1-VLOOKUP($A31,[1]Hugst!$R$5:$W$9,MATCH(ROUNDUP((AB$1)/10,0)*10,[1]Hugst!$R$4:$W$4,0))))</f>
        <v>1130.7239283588656</v>
      </c>
      <c r="AC31" s="168">
        <f ca="1">IF($C31-AC$1&lt;År1,0,AB30*(1-VLOOKUP($A31,[1]Hugst!$R$5:$W$9,MATCH(ROUNDUP((AC$1)/10,0)*10,[1]Hugst!$R$4:$W$4,0))))</f>
        <v>1131.2511681321687</v>
      </c>
      <c r="AD31" s="168">
        <f ca="1">IF($C31-AD$1&lt;År1,0,AC30*(1-VLOOKUP($A31,[1]Hugst!$R$5:$W$9,MATCH(ROUNDUP((AD$1)/10,0)*10,[1]Hugst!$R$4:$W$4,0))))</f>
        <v>1131.7810573515656</v>
      </c>
      <c r="AE31" s="168">
        <f ca="1">IF($C31-AE$1&lt;År1,0,AD30*(1-VLOOKUP($A31,[1]Hugst!$R$5:$W$9,MATCH(ROUNDUP((AE$1)/10,0)*10,[1]Hugst!$R$4:$W$4,0))))</f>
        <v>1132.3136093308624</v>
      </c>
      <c r="AF31" s="168">
        <f ca="1">IF($C31-AF$1&lt;År1,0,AE30*(1-VLOOKUP($A31,[1]Hugst!$R$5:$W$9,MATCH(ROUNDUP((AF$1)/10,0)*10,[1]Hugst!$R$4:$W$4,0))))</f>
        <v>1132.8488374507547</v>
      </c>
      <c r="AG31" s="168">
        <f ca="1">IF($C31-AG$1&lt;År1,0,AF30*(1-VLOOKUP($A31,[1]Hugst!$R$5:$W$9,MATCH(ROUNDUP((AG$1)/10,0)*10,[1]Hugst!$R$4:$W$4,0))))</f>
        <v>1133.3867551591973</v>
      </c>
      <c r="AH31" s="168">
        <f ca="1">IF($C31-AH$1&lt;År1,0,AG30*(1-VLOOKUP($A31,[1]Hugst!$R$5:$W$9,MATCH(ROUNDUP((AH$1)/10,0)*10,[1]Hugst!$R$4:$W$4,0))))</f>
        <v>1133.9273759716946</v>
      </c>
      <c r="AI31" s="168">
        <f ca="1">IF($C31-AI$1&lt;År1,0,AH30*(1-VLOOKUP($A31,[1]Hugst!$R$5:$W$9,MATCH(ROUNDUP((AI$1)/10,0)*10,[1]Hugst!$R$4:$W$4,0))))</f>
        <v>1134.4707134716939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(IF(B32="Vestdanmark",Skovbrug!$C$22-(Skovbrug!$C$22)*(1-Skovbrug!$C$9)^(C32-Skovbrug!$B$12),Skovbrug!$F$22-(Skovbrug!$F$22)*(1-Skovbrug!$C$9)^(C32-Skovbrug!$B$12)))*VLOOKUP(A32,Skovbrug!$A$13:$D$17,IF('Skovbrug-alder'!C32&lt;=År2,3,4),FALSE)
-IF(C32&gt;2020,SUM(INDEX($C$1:$D$311,MATCH(1,(2020=$C$1:$C$311)*(B32=$B$1:$B$311)*(A32=$A$1:$A$311),0),2):D31),0)</f>
        <v>93.495799174890635</v>
      </c>
      <c r="E32" s="168">
        <f t="shared" ca="1" si="0"/>
        <v>3.7413395869843953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661.42890617130729</v>
      </c>
      <c r="G32" s="168">
        <f ca="1">IF($C32-G$1&lt;År1,0,F31*(1-VLOOKUP($A32,[1]Hugst!$R$5:$W$9,MATCH(ROUNDUP((G$1)/10,0)*10,[1]Hugst!$R$4:$W$4,0))))</f>
        <v>658.15739472088148</v>
      </c>
      <c r="H32" s="168">
        <f ca="1">IF($C32-H$1&lt;År1,0,G31*(1-VLOOKUP($A32,[1]Hugst!$R$5:$W$9,MATCH(ROUNDUP((H$1)/10,0)*10,[1]Hugst!$R$4:$W$4,0))))</f>
        <v>658.62958380284567</v>
      </c>
      <c r="I32" s="168">
        <f ca="1">IF($C32-I$1&lt;År1,0,H31*(1-VLOOKUP($A32,[1]Hugst!$R$5:$W$9,MATCH(ROUNDUP((I$1)/10,0)*10,[1]Hugst!$R$4:$W$4,0))))</f>
        <v>659.1041456942678</v>
      </c>
      <c r="J32" s="168">
        <f ca="1">IF($C32-J$1&lt;År1,0,I31*(1-VLOOKUP($A32,[1]Hugst!$R$5:$W$9,MATCH(ROUNDUP((J$1)/10,0)*10,[1]Hugst!$R$4:$W$4,0))))</f>
        <v>659.58109231881986</v>
      </c>
      <c r="K32" s="168">
        <f ca="1">IF($C32-K$1&lt;År1,0,J31*(1-VLOOKUP($A32,[1]Hugst!$R$5:$W$9,MATCH(ROUNDUP((K$1)/10,0)*10,[1]Hugst!$R$4:$W$4,0))))</f>
        <v>660.06043566006997</v>
      </c>
      <c r="L32" s="168">
        <f ca="1">IF($C32-L$1&lt;År1,0,K31*(1-VLOOKUP($A32,[1]Hugst!$R$5:$W$9,MATCH(ROUNDUP((L$1)/10,0)*10,[1]Hugst!$R$4:$W$4,0))))</f>
        <v>660.54218776183257</v>
      </c>
      <c r="M32" s="168">
        <f ca="1">IF($C32-M$1&lt;År1,0,L31*(1-VLOOKUP($A32,[1]Hugst!$R$5:$W$9,MATCH(ROUNDUP((M$1)/10,0)*10,[1]Hugst!$R$4:$W$4,0))))</f>
        <v>661.0263607284262</v>
      </c>
      <c r="N32" s="168">
        <f ca="1">IF($C32-N$1&lt;År1,0,M31*(1-VLOOKUP($A32,[1]Hugst!$R$5:$W$9,MATCH(ROUNDUP((N$1)/10,0)*10,[1]Hugst!$R$4:$W$4,0))))</f>
        <v>661.51296672500871</v>
      </c>
      <c r="O32" s="168">
        <f ca="1">IF($C32-O$1&lt;År1,0,N31*(1-VLOOKUP($A32,[1]Hugst!$R$5:$W$9,MATCH(ROUNDUP((O$1)/10,0)*10,[1]Hugst!$R$4:$W$4,0))))</f>
        <v>662.00201797784871</v>
      </c>
      <c r="P32" s="168">
        <f ca="1">IF($C32-P$1&lt;År1,0,O31*(1-VLOOKUP($A32,[1]Hugst!$R$5:$W$9,MATCH(ROUNDUP((P$1)/10,0)*10,[1]Hugst!$R$4:$W$4,0))))</f>
        <v>662.49352677467391</v>
      </c>
      <c r="Q32" s="168">
        <f ca="1">IF($C32-Q$1&lt;År1,0,P31*(1-VLOOKUP($A32,[1]Hugst!$R$5:$W$9,MATCH(ROUNDUP((Q$1)/10,0)*10,[1]Hugst!$R$4:$W$4,0))))</f>
        <v>662.98750546494853</v>
      </c>
      <c r="R32" s="168">
        <f ca="1">IF($C32-R$1&lt;År1,0,Q31*(1-VLOOKUP($A32,[1]Hugst!$R$5:$W$9,MATCH(ROUNDUP((R$1)/10,0)*10,[1]Hugst!$R$4:$W$4,0))))</f>
        <v>663.48396646020706</v>
      </c>
      <c r="S32" s="168">
        <f ca="1">IF($C32-S$1&lt;År1,0,R31*(1-VLOOKUP($A32,[1]Hugst!$R$5:$W$9,MATCH(ROUNDUP((S$1)/10,0)*10,[1]Hugst!$R$4:$W$4,0))))</f>
        <v>663.98292223433077</v>
      </c>
      <c r="T32" s="168">
        <f ca="1">IF($C32-T$1&lt;År1,0,S31*(1-VLOOKUP($A32,[1]Hugst!$R$5:$W$9,MATCH(ROUNDUP((T$1)/10,0)*10,[1]Hugst!$R$4:$W$4,0))))</f>
        <v>664.48438532390287</v>
      </c>
      <c r="U32" s="168">
        <f ca="1">IF($C32-U$1&lt;År1,0,T31*(1-VLOOKUP($A32,[1]Hugst!$R$5:$W$9,MATCH(ROUNDUP((U$1)/10,0)*10,[1]Hugst!$R$4:$W$4,0))))</f>
        <v>664.98836832849793</v>
      </c>
      <c r="V32" s="168">
        <f ca="1">IF($C32-V$1&lt;År1,0,U31*(1-VLOOKUP($A32,[1]Hugst!$R$5:$W$9,MATCH(ROUNDUP((V$1)/10,0)*10,[1]Hugst!$R$4:$W$4,0))))</f>
        <v>665.49488391100613</v>
      </c>
      <c r="W32" s="168">
        <f ca="1">IF($C32-W$1&lt;År1,0,V31*(1-VLOOKUP($A32,[1]Hugst!$R$5:$W$9,MATCH(ROUNDUP((W$1)/10,0)*10,[1]Hugst!$R$4:$W$4,0))))</f>
        <v>666.00394479794772</v>
      </c>
      <c r="X32" s="168">
        <f ca="1">IF($C32-X$1&lt;År1,0,W31*(1-VLOOKUP($A32,[1]Hugst!$R$5:$W$9,MATCH(ROUNDUP((X$1)/10,0)*10,[1]Hugst!$R$4:$W$4,0))))</f>
        <v>666.51556377979864</v>
      </c>
      <c r="Y32" s="168">
        <f ca="1">IF($C32-Y$1&lt;År1,0,X31*(1-VLOOKUP($A32,[1]Hugst!$R$5:$W$9,MATCH(ROUNDUP((Y$1)/10,0)*10,[1]Hugst!$R$4:$W$4,0))))</f>
        <v>667.02975371130765</v>
      </c>
      <c r="Z32" s="168">
        <f ca="1">IF($C32-Z$1&lt;År1,0,Y31*(1-VLOOKUP($A32,[1]Hugst!$R$5:$W$9,MATCH(ROUNDUP((Z$1)/10,0)*10,[1]Hugst!$R$4:$W$4,0))))</f>
        <v>1129.1579735740872</v>
      </c>
      <c r="AA32" s="168">
        <f ca="1">IF($C32-AA$1&lt;År1,0,Z31*(1-VLOOKUP($A32,[1]Hugst!$R$5:$W$9,MATCH(ROUNDUP((AA$1)/10,0)*10,[1]Hugst!$R$4:$W$4,0))))</f>
        <v>1129.6773442278643</v>
      </c>
      <c r="AB32" s="168">
        <f ca="1">IF($C32-AB$1&lt;År1,0,AA31*(1-VLOOKUP($A32,[1]Hugst!$R$5:$W$9,MATCH(ROUNDUP((AB$1)/10,0)*10,[1]Hugst!$R$4:$W$4,0))))</f>
        <v>1130.1993247844275</v>
      </c>
      <c r="AC32" s="168">
        <f ca="1">IF($C32-AC$1&lt;År1,0,AB31*(1-VLOOKUP($A32,[1]Hugst!$R$5:$W$9,MATCH(ROUNDUP((AC$1)/10,0)*10,[1]Hugst!$R$4:$W$4,0))))</f>
        <v>1130.7239283588656</v>
      </c>
      <c r="AD32" s="168">
        <f ca="1">IF($C32-AD$1&lt;År1,0,AC31*(1-VLOOKUP($A32,[1]Hugst!$R$5:$W$9,MATCH(ROUNDUP((AD$1)/10,0)*10,[1]Hugst!$R$4:$W$4,0))))</f>
        <v>1131.2511681321687</v>
      </c>
      <c r="AE32" s="168">
        <f ca="1">IF($C32-AE$1&lt;År1,0,AD31*(1-VLOOKUP($A32,[1]Hugst!$R$5:$W$9,MATCH(ROUNDUP((AE$1)/10,0)*10,[1]Hugst!$R$4:$W$4,0))))</f>
        <v>1131.7810573515656</v>
      </c>
      <c r="AF32" s="168">
        <f ca="1">IF($C32-AF$1&lt;År1,0,AE31*(1-VLOOKUP($A32,[1]Hugst!$R$5:$W$9,MATCH(ROUNDUP((AF$1)/10,0)*10,[1]Hugst!$R$4:$W$4,0))))</f>
        <v>1132.3136093308624</v>
      </c>
      <c r="AG32" s="168">
        <f ca="1">IF($C32-AG$1&lt;År1,0,AF31*(1-VLOOKUP($A32,[1]Hugst!$R$5:$W$9,MATCH(ROUNDUP((AG$1)/10,0)*10,[1]Hugst!$R$4:$W$4,0))))</f>
        <v>1132.8488374507547</v>
      </c>
      <c r="AH32" s="168">
        <f ca="1">IF($C32-AH$1&lt;År1,0,AG31*(1-VLOOKUP($A32,[1]Hugst!$R$5:$W$9,MATCH(ROUNDUP((AH$1)/10,0)*10,[1]Hugst!$R$4:$W$4,0))))</f>
        <v>1133.3867551591973</v>
      </c>
      <c r="AI32" s="168">
        <f ca="1">IF($C32-AI$1&lt;År1,0,AH31*(1-VLOOKUP($A32,[1]Hugst!$R$5:$W$9,MATCH(ROUNDUP((AI$1)/10,0)*10,[1]Hugst!$R$4:$W$4,0))))</f>
        <v>1133.9273759716946</v>
      </c>
      <c r="AJ32" s="168">
        <f ca="1">IF($C32-AJ$1&lt;År1,0,AI31*(1-VLOOKUP($A32,[1]Hugst!$R$5:$W$9,MATCH(ROUNDUP((AJ$1)/10,0)*10,[1]Hugst!$R$4:$W$4,0))))</f>
        <v>1130.7293738847127</v>
      </c>
      <c r="AL32" s="168">
        <f ca="1">SUM(F32:AJ32)</f>
        <v>25695.50666057413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(IF(B33="Vestdanmark",Skovbrug!$C$22-(Skovbrug!$C$22)*(1-Skovbrug!$C$9)^(C33-Skovbrug!$B$12),Skovbrug!$F$22-(Skovbrug!$F$22)*(1-Skovbrug!$C$9)^(C33-Skovbrug!$B$12)))*VLOOKUP(A33,Skovbrug!$A$13:$D$17,IF('Skovbrug-alder'!C33&lt;=År2,3,4),FALSE)
-IF(C33&gt;2020,SUM(INDEX($C$1:$D$311,MATCH(1,(2020=$C$1:$C$311)*(B33=$B$1:$B$311)*(A33=$A$1:$A$311),0),2):D32),0)</f>
        <v>31.80749999999971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142.36792289194113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(IF(B34="Vestdanmark",Skovbrug!$C$22-(Skovbrug!$C$22)*(1-Skovbrug!$C$9)^(C34-Skovbrug!$B$12),Skovbrug!$F$22-(Skovbrug!$F$22)*(1-Skovbrug!$C$9)^(C34-Skovbrug!$B$12)))*VLOOKUP(A34,Skovbrug!$A$13:$D$17,IF('Skovbrug-alder'!C34&lt;=År2,3,4),FALSE)
-IF(C34&gt;2020,SUM(INDEX($C$1:$D$311,MATCH(1,(2020=$C$1:$C$311)*(B34=$B$1:$B$311)*(A34=$A$1:$A$311),0),2):D33),0)</f>
        <v>31.648462499999734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142.20888539194115</v>
      </c>
      <c r="G34" s="168">
        <f ca="1">IF($C34-G$1&lt;År1,0,F33*(1-VLOOKUP($A34,[1]Hugst!$R$5:$W$9,MATCH(ROUNDUP((G$1)/10,0)*10,[1]Hugst!$R$4:$W$4,0))))</f>
        <v>142.36792289194113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(IF(B35="Vestdanmark",Skovbrug!$C$22-(Skovbrug!$C$22)*(1-Skovbrug!$C$9)^(C35-Skovbrug!$B$12),Skovbrug!$F$22-(Skovbrug!$F$22)*(1-Skovbrug!$C$9)^(C35-Skovbrug!$B$12)))*VLOOKUP(A35,Skovbrug!$A$13:$D$17,IF('Skovbrug-alder'!C35&lt;=År2,3,4),FALSE)
-IF(C35&gt;2020,SUM(INDEX($C$1:$D$311,MATCH(1,(2020=$C$1:$C$311)*(B35=$B$1:$B$311)*(A35=$A$1:$A$311),0),2):D34),0)</f>
        <v>31.490220187500384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142.05064307944181</v>
      </c>
      <c r="G35" s="168">
        <f ca="1">IF($C35-G$1&lt;År1,0,F34*(1-VLOOKUP($A35,[1]Hugst!$R$5:$W$9,MATCH(ROUNDUP((G$1)/10,0)*10,[1]Hugst!$R$4:$W$4,0))))</f>
        <v>142.20888539194115</v>
      </c>
      <c r="H35" s="168">
        <f ca="1">IF($C35-H$1&lt;År1,0,G34*(1-VLOOKUP($A35,[1]Hugst!$R$5:$W$9,MATCH(ROUNDUP((H$1)/10,0)*10,[1]Hugst!$R$4:$W$4,0))))</f>
        <v>142.36792289194113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(IF(B36="Vestdanmark",Skovbrug!$C$22-(Skovbrug!$C$22)*(1-Skovbrug!$C$9)^(C36-Skovbrug!$B$12),Skovbrug!$F$22-(Skovbrug!$F$22)*(1-Skovbrug!$C$9)^(C36-Skovbrug!$B$12)))*VLOOKUP(A36,Skovbrug!$A$13:$D$17,IF('Skovbrug-alder'!C36&lt;=År2,3,4),FALSE)
-IF(C36&gt;2020,SUM(INDEX($C$1:$D$311,MATCH(1,(2020=$C$1:$C$311)*(B36=$B$1:$B$311)*(A36=$A$1:$A$311),0),2):D35),0)</f>
        <v>31.332769086562621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141.89319197850403</v>
      </c>
      <c r="G36" s="168">
        <f ca="1">IF($C36-G$1&lt;År1,0,F35*(1-VLOOKUP($A36,[1]Hugst!$R$5:$W$9,MATCH(ROUNDUP((G$1)/10,0)*10,[1]Hugst!$R$4:$W$4,0))))</f>
        <v>142.05064307944181</v>
      </c>
      <c r="H36" s="168">
        <f ca="1">IF($C36-H$1&lt;År1,0,G35*(1-VLOOKUP($A36,[1]Hugst!$R$5:$W$9,MATCH(ROUNDUP((H$1)/10,0)*10,[1]Hugst!$R$4:$W$4,0))))</f>
        <v>142.20888539194115</v>
      </c>
      <c r="I36" s="168">
        <f ca="1">IF($C36-I$1&lt;År1,0,H35*(1-VLOOKUP($A36,[1]Hugst!$R$5:$W$9,MATCH(ROUNDUP((I$1)/10,0)*10,[1]Hugst!$R$4:$W$4,0))))</f>
        <v>142.36792289194113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(IF(B37="Vestdanmark",Skovbrug!$C$22-(Skovbrug!$C$22)*(1-Skovbrug!$C$9)^(C37-Skovbrug!$B$12),Skovbrug!$F$22-(Skovbrug!$F$22)*(1-Skovbrug!$C$9)^(C37-Skovbrug!$B$12)))*VLOOKUP(A37,Skovbrug!$A$13:$D$17,IF('Skovbrug-alder'!C37&lt;=År2,3,4),FALSE)
-IF(C37&gt;2020,SUM(INDEX($C$1:$D$311,MATCH(1,(2020=$C$1:$C$311)*(B37=$B$1:$B$311)*(A37=$A$1:$A$311),0),2):D36),0)</f>
        <v>31.176105241128965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141.73652813307041</v>
      </c>
      <c r="G37" s="168">
        <f ca="1">IF($C37-G$1&lt;År1,0,F36*(1-VLOOKUP($A37,[1]Hugst!$R$5:$W$9,MATCH(ROUNDUP((G$1)/10,0)*10,[1]Hugst!$R$4:$W$4,0))))</f>
        <v>141.89319197850403</v>
      </c>
      <c r="H37" s="168">
        <f ca="1">IF($C37-H$1&lt;År1,0,G36*(1-VLOOKUP($A37,[1]Hugst!$R$5:$W$9,MATCH(ROUNDUP((H$1)/10,0)*10,[1]Hugst!$R$4:$W$4,0))))</f>
        <v>142.05064307944181</v>
      </c>
      <c r="I37" s="168">
        <f ca="1">IF($C37-I$1&lt;År1,0,H36*(1-VLOOKUP($A37,[1]Hugst!$R$5:$W$9,MATCH(ROUNDUP((I$1)/10,0)*10,[1]Hugst!$R$4:$W$4,0))))</f>
        <v>142.20888539194115</v>
      </c>
      <c r="J37" s="168">
        <f ca="1">IF($C37-J$1&lt;År1,0,I36*(1-VLOOKUP($A37,[1]Hugst!$R$5:$W$9,MATCH(ROUNDUP((J$1)/10,0)*10,[1]Hugst!$R$4:$W$4,0))))</f>
        <v>142.36792289194113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(IF(B38="Vestdanmark",Skovbrug!$C$22-(Skovbrug!$C$22)*(1-Skovbrug!$C$9)^(C38-Skovbrug!$B$12),Skovbrug!$F$22-(Skovbrug!$F$22)*(1-Skovbrug!$C$9)^(C38-Skovbrug!$B$12)))*VLOOKUP(A38,Skovbrug!$A$13:$D$17,IF('Skovbrug-alder'!C38&lt;=År2,3,4),FALSE)
-IF(C38&gt;2020,SUM(INDEX($C$1:$D$311,MATCH(1,(2020=$C$1:$C$311)*(B38=$B$1:$B$311)*(A38=$A$1:$A$311),0),2):D37),0)</f>
        <v>31.020224714923842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141.58064760686528</v>
      </c>
      <c r="G38" s="168">
        <f ca="1">IF($C38-G$1&lt;År1,0,F37*(1-VLOOKUP($A38,[1]Hugst!$R$5:$W$9,MATCH(ROUNDUP((G$1)/10,0)*10,[1]Hugst!$R$4:$W$4,0))))</f>
        <v>141.73652813307041</v>
      </c>
      <c r="H38" s="168">
        <f ca="1">IF($C38-H$1&lt;År1,0,G37*(1-VLOOKUP($A38,[1]Hugst!$R$5:$W$9,MATCH(ROUNDUP((H$1)/10,0)*10,[1]Hugst!$R$4:$W$4,0))))</f>
        <v>141.89319197850403</v>
      </c>
      <c r="I38" s="168">
        <f ca="1">IF($C38-I$1&lt;År1,0,H37*(1-VLOOKUP($A38,[1]Hugst!$R$5:$W$9,MATCH(ROUNDUP((I$1)/10,0)*10,[1]Hugst!$R$4:$W$4,0))))</f>
        <v>142.05064307944181</v>
      </c>
      <c r="J38" s="168">
        <f ca="1">IF($C38-J$1&lt;År1,0,I37*(1-VLOOKUP($A38,[1]Hugst!$R$5:$W$9,MATCH(ROUNDUP((J$1)/10,0)*10,[1]Hugst!$R$4:$W$4,0))))</f>
        <v>142.20888539194115</v>
      </c>
      <c r="K38" s="168">
        <f ca="1">IF($C38-K$1&lt;År1,0,J37*(1-VLOOKUP($A38,[1]Hugst!$R$5:$W$9,MATCH(ROUNDUP((K$1)/10,0)*10,[1]Hugst!$R$4:$W$4,0))))</f>
        <v>142.36792289194113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(IF(B39="Vestdanmark",Skovbrug!$C$22-(Skovbrug!$C$22)*(1-Skovbrug!$C$9)^(C39-Skovbrug!$B$12),Skovbrug!$F$22-(Skovbrug!$F$22)*(1-Skovbrug!$C$9)^(C39-Skovbrug!$B$12)))*VLOOKUP(A39,Skovbrug!$A$13:$D$17,IF('Skovbrug-alder'!C39&lt;=År2,3,4),FALSE)
-IF(C39&gt;2020,SUM(INDEX($C$1:$D$311,MATCH(1,(2020=$C$1:$C$311)*(B39=$B$1:$B$311)*(A39=$A$1:$A$311),0),2):D38),0)</f>
        <v>30.865123591350113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141.42554648329155</v>
      </c>
      <c r="G39" s="168">
        <f ca="1">IF($C39-G$1&lt;År1,0,F38*(1-VLOOKUP($A39,[1]Hugst!$R$5:$W$9,MATCH(ROUNDUP((G$1)/10,0)*10,[1]Hugst!$R$4:$W$4,0))))</f>
        <v>141.58064760686528</v>
      </c>
      <c r="H39" s="168">
        <f ca="1">IF($C39-H$1&lt;År1,0,G38*(1-VLOOKUP($A39,[1]Hugst!$R$5:$W$9,MATCH(ROUNDUP((H$1)/10,0)*10,[1]Hugst!$R$4:$W$4,0))))</f>
        <v>141.73652813307041</v>
      </c>
      <c r="I39" s="168">
        <f ca="1">IF($C39-I$1&lt;År1,0,H38*(1-VLOOKUP($A39,[1]Hugst!$R$5:$W$9,MATCH(ROUNDUP((I$1)/10,0)*10,[1]Hugst!$R$4:$W$4,0))))</f>
        <v>141.89319197850403</v>
      </c>
      <c r="J39" s="168">
        <f ca="1">IF($C39-J$1&lt;År1,0,I38*(1-VLOOKUP($A39,[1]Hugst!$R$5:$W$9,MATCH(ROUNDUP((J$1)/10,0)*10,[1]Hugst!$R$4:$W$4,0))))</f>
        <v>142.05064307944181</v>
      </c>
      <c r="K39" s="168">
        <f ca="1">IF($C39-K$1&lt;År1,0,J38*(1-VLOOKUP($A39,[1]Hugst!$R$5:$W$9,MATCH(ROUNDUP((K$1)/10,0)*10,[1]Hugst!$R$4:$W$4,0))))</f>
        <v>142.20888539194115</v>
      </c>
      <c r="L39" s="168">
        <f ca="1">IF($C39-L$1&lt;År1,0,K38*(1-VLOOKUP($A39,[1]Hugst!$R$5:$W$9,MATCH(ROUNDUP((L$1)/10,0)*10,[1]Hugst!$R$4:$W$4,0))))</f>
        <v>142.36792289194113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(IF(B40="Vestdanmark",Skovbrug!$C$22-(Skovbrug!$C$22)*(1-Skovbrug!$C$9)^(C40-Skovbrug!$B$12),Skovbrug!$F$22-(Skovbrug!$F$22)*(1-Skovbrug!$C$9)^(C40-Skovbrug!$B$12)))*VLOOKUP(A40,Skovbrug!$A$13:$D$17,IF('Skovbrug-alder'!C40&lt;=År2,3,4),FALSE)
-IF(C40&gt;2020,SUM(INDEX($C$1:$D$311,MATCH(1,(2020=$C$1:$C$311)*(B40=$B$1:$B$311)*(A40=$A$1:$A$311),0),2):D39),0)</f>
        <v>30.71079797339263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141.27122086533404</v>
      </c>
      <c r="G40" s="168">
        <f ca="1">IF($C40-G$1&lt;År1,0,F39*(1-VLOOKUP($A40,[1]Hugst!$R$5:$W$9,MATCH(ROUNDUP((G$1)/10,0)*10,[1]Hugst!$R$4:$W$4,0))))</f>
        <v>141.42554648329155</v>
      </c>
      <c r="H40" s="168">
        <f ca="1">IF($C40-H$1&lt;År1,0,G39*(1-VLOOKUP($A40,[1]Hugst!$R$5:$W$9,MATCH(ROUNDUP((H$1)/10,0)*10,[1]Hugst!$R$4:$W$4,0))))</f>
        <v>141.58064760686528</v>
      </c>
      <c r="I40" s="168">
        <f ca="1">IF($C40-I$1&lt;År1,0,H39*(1-VLOOKUP($A40,[1]Hugst!$R$5:$W$9,MATCH(ROUNDUP((I$1)/10,0)*10,[1]Hugst!$R$4:$W$4,0))))</f>
        <v>141.73652813307041</v>
      </c>
      <c r="J40" s="168">
        <f ca="1">IF($C40-J$1&lt;År1,0,I39*(1-VLOOKUP($A40,[1]Hugst!$R$5:$W$9,MATCH(ROUNDUP((J$1)/10,0)*10,[1]Hugst!$R$4:$W$4,0))))</f>
        <v>141.89319197850403</v>
      </c>
      <c r="K40" s="168">
        <f ca="1">IF($C40-K$1&lt;År1,0,J39*(1-VLOOKUP($A40,[1]Hugst!$R$5:$W$9,MATCH(ROUNDUP((K$1)/10,0)*10,[1]Hugst!$R$4:$W$4,0))))</f>
        <v>142.05064307944181</v>
      </c>
      <c r="L40" s="168">
        <f ca="1">IF($C40-L$1&lt;År1,0,K39*(1-VLOOKUP($A40,[1]Hugst!$R$5:$W$9,MATCH(ROUNDUP((L$1)/10,0)*10,[1]Hugst!$R$4:$W$4,0))))</f>
        <v>142.20888539194115</v>
      </c>
      <c r="M40" s="168">
        <f ca="1">IF($C40-M$1&lt;År1,0,L39*(1-VLOOKUP($A40,[1]Hugst!$R$5:$W$9,MATCH(ROUNDUP((M$1)/10,0)*10,[1]Hugst!$R$4:$W$4,0))))</f>
        <v>142.36792289194113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(IF(B41="Vestdanmark",Skovbrug!$C$22-(Skovbrug!$C$22)*(1-Skovbrug!$C$9)^(C41-Skovbrug!$B$12),Skovbrug!$F$22-(Skovbrug!$F$22)*(1-Skovbrug!$C$9)^(C41-Skovbrug!$B$12)))*VLOOKUP(A41,Skovbrug!$A$13:$D$17,IF('Skovbrug-alder'!C41&lt;=År2,3,4),FALSE)
-IF(C41&gt;2020,SUM(INDEX($C$1:$D$311,MATCH(1,(2020=$C$1:$C$311)*(B41=$B$1:$B$311)*(A41=$A$1:$A$311),0),2):D40),0)</f>
        <v>30.557243983526121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141.11766687546753</v>
      </c>
      <c r="G41" s="168">
        <f ca="1">IF($C41-G$1&lt;År1,0,F40*(1-VLOOKUP($A41,[1]Hugst!$R$5:$W$9,MATCH(ROUNDUP((G$1)/10,0)*10,[1]Hugst!$R$4:$W$4,0))))</f>
        <v>141.27122086533404</v>
      </c>
      <c r="H41" s="168">
        <f ca="1">IF($C41-H$1&lt;År1,0,G40*(1-VLOOKUP($A41,[1]Hugst!$R$5:$W$9,MATCH(ROUNDUP((H$1)/10,0)*10,[1]Hugst!$R$4:$W$4,0))))</f>
        <v>141.42554648329155</v>
      </c>
      <c r="I41" s="168">
        <f ca="1">IF($C41-I$1&lt;År1,0,H40*(1-VLOOKUP($A41,[1]Hugst!$R$5:$W$9,MATCH(ROUNDUP((I$1)/10,0)*10,[1]Hugst!$R$4:$W$4,0))))</f>
        <v>141.58064760686528</v>
      </c>
      <c r="J41" s="168">
        <f ca="1">IF($C41-J$1&lt;År1,0,I40*(1-VLOOKUP($A41,[1]Hugst!$R$5:$W$9,MATCH(ROUNDUP((J$1)/10,0)*10,[1]Hugst!$R$4:$W$4,0))))</f>
        <v>141.73652813307041</v>
      </c>
      <c r="K41" s="168">
        <f ca="1">IF($C41-K$1&lt;År1,0,J40*(1-VLOOKUP($A41,[1]Hugst!$R$5:$W$9,MATCH(ROUNDUP((K$1)/10,0)*10,[1]Hugst!$R$4:$W$4,0))))</f>
        <v>141.89319197850403</v>
      </c>
      <c r="L41" s="168">
        <f ca="1">IF($C41-L$1&lt;År1,0,K40*(1-VLOOKUP($A41,[1]Hugst!$R$5:$W$9,MATCH(ROUNDUP((L$1)/10,0)*10,[1]Hugst!$R$4:$W$4,0))))</f>
        <v>142.05064307944181</v>
      </c>
      <c r="M41" s="168">
        <f ca="1">IF($C41-M$1&lt;År1,0,L40*(1-VLOOKUP($A41,[1]Hugst!$R$5:$W$9,MATCH(ROUNDUP((M$1)/10,0)*10,[1]Hugst!$R$4:$W$4,0))))</f>
        <v>142.20888539194115</v>
      </c>
      <c r="N41" s="168">
        <f ca="1">IF($C41-N$1&lt;År1,0,M40*(1-VLOOKUP($A41,[1]Hugst!$R$5:$W$9,MATCH(ROUNDUP((N$1)/10,0)*10,[1]Hugst!$R$4:$W$4,0))))</f>
        <v>142.36792289194113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(IF(B42="Vestdanmark",Skovbrug!$C$22-(Skovbrug!$C$22)*(1-Skovbrug!$C$9)^(C42-Skovbrug!$B$12),Skovbrug!$F$22-(Skovbrug!$F$22)*(1-Skovbrug!$C$9)^(C42-Skovbrug!$B$12)))*VLOOKUP(A42,Skovbrug!$A$13:$D$17,IF('Skovbrug-alder'!C42&lt;=År2,3,4),FALSE)
-IF(C42&gt;2020,SUM(INDEX($C$1:$D$311,MATCH(1,(2020=$C$1:$C$311)*(B42=$B$1:$B$311)*(A42=$A$1:$A$311),0),2):D41),0)</f>
        <v>30.40445776360724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140.96488065554865</v>
      </c>
      <c r="G42" s="168">
        <f ca="1">IF($C42-G$1&lt;År1,0,F41*(1-VLOOKUP($A42,[1]Hugst!$R$5:$W$9,MATCH(ROUNDUP((G$1)/10,0)*10,[1]Hugst!$R$4:$W$4,0))))</f>
        <v>141.11766687546753</v>
      </c>
      <c r="H42" s="168">
        <f ca="1">IF($C42-H$1&lt;År1,0,G41*(1-VLOOKUP($A42,[1]Hugst!$R$5:$W$9,MATCH(ROUNDUP((H$1)/10,0)*10,[1]Hugst!$R$4:$W$4,0))))</f>
        <v>141.27122086533404</v>
      </c>
      <c r="I42" s="168">
        <f ca="1">IF($C42-I$1&lt;År1,0,H41*(1-VLOOKUP($A42,[1]Hugst!$R$5:$W$9,MATCH(ROUNDUP((I$1)/10,0)*10,[1]Hugst!$R$4:$W$4,0))))</f>
        <v>141.42554648329155</v>
      </c>
      <c r="J42" s="168">
        <f ca="1">IF($C42-J$1&lt;År1,0,I41*(1-VLOOKUP($A42,[1]Hugst!$R$5:$W$9,MATCH(ROUNDUP((J$1)/10,0)*10,[1]Hugst!$R$4:$W$4,0))))</f>
        <v>141.58064760686528</v>
      </c>
      <c r="K42" s="168">
        <f ca="1">IF($C42-K$1&lt;År1,0,J41*(1-VLOOKUP($A42,[1]Hugst!$R$5:$W$9,MATCH(ROUNDUP((K$1)/10,0)*10,[1]Hugst!$R$4:$W$4,0))))</f>
        <v>141.73652813307041</v>
      </c>
      <c r="L42" s="168">
        <f ca="1">IF($C42-L$1&lt;År1,0,K41*(1-VLOOKUP($A42,[1]Hugst!$R$5:$W$9,MATCH(ROUNDUP((L$1)/10,0)*10,[1]Hugst!$R$4:$W$4,0))))</f>
        <v>141.89319197850403</v>
      </c>
      <c r="M42" s="168">
        <f ca="1">IF($C42-M$1&lt;År1,0,L41*(1-VLOOKUP($A42,[1]Hugst!$R$5:$W$9,MATCH(ROUNDUP((M$1)/10,0)*10,[1]Hugst!$R$4:$W$4,0))))</f>
        <v>142.05064307944181</v>
      </c>
      <c r="N42" s="168">
        <f ca="1">IF($C42-N$1&lt;År1,0,M41*(1-VLOOKUP($A42,[1]Hugst!$R$5:$W$9,MATCH(ROUNDUP((N$1)/10,0)*10,[1]Hugst!$R$4:$W$4,0))))</f>
        <v>142.20888539194115</v>
      </c>
      <c r="O42" s="168">
        <f ca="1">IF($C42-O$1&lt;År1,0,N41*(1-VLOOKUP($A42,[1]Hugst!$R$5:$W$9,MATCH(ROUNDUP((O$1)/10,0)*10,[1]Hugst!$R$4:$W$4,0))))</f>
        <v>142.36792289194113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(IF(B43="Vestdanmark",Skovbrug!$C$22-(Skovbrug!$C$22)*(1-Skovbrug!$C$9)^(C43-Skovbrug!$B$12),Skovbrug!$F$22-(Skovbrug!$F$22)*(1-Skovbrug!$C$9)^(C43-Skovbrug!$B$12)))*VLOOKUP(A43,Skovbrug!$A$13:$D$17,IF('Skovbrug-alder'!C43&lt;=År2,3,4),FALSE)
-IF(C43&gt;2020,SUM(INDEX($C$1:$D$311,MATCH(1,(2020=$C$1:$C$311)*(B43=$B$1:$B$311)*(A43=$A$1:$A$311),0),2):D42),0)</f>
        <v>30.252435474790389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140.8128583667318</v>
      </c>
      <c r="G43" s="168">
        <f ca="1">IF($C43-G$1&lt;År1,0,F42*(1-VLOOKUP($A43,[1]Hugst!$R$5:$W$9,MATCH(ROUNDUP((G$1)/10,0)*10,[1]Hugst!$R$4:$W$4,0))))</f>
        <v>140.96488065554865</v>
      </c>
      <c r="H43" s="168">
        <f ca="1">IF($C43-H$1&lt;År1,0,G42*(1-VLOOKUP($A43,[1]Hugst!$R$5:$W$9,MATCH(ROUNDUP((H$1)/10,0)*10,[1]Hugst!$R$4:$W$4,0))))</f>
        <v>141.11766687546753</v>
      </c>
      <c r="I43" s="168">
        <f ca="1">IF($C43-I$1&lt;År1,0,H42*(1-VLOOKUP($A43,[1]Hugst!$R$5:$W$9,MATCH(ROUNDUP((I$1)/10,0)*10,[1]Hugst!$R$4:$W$4,0))))</f>
        <v>141.27122086533404</v>
      </c>
      <c r="J43" s="168">
        <f ca="1">IF($C43-J$1&lt;År1,0,I42*(1-VLOOKUP($A43,[1]Hugst!$R$5:$W$9,MATCH(ROUNDUP((J$1)/10,0)*10,[1]Hugst!$R$4:$W$4,0))))</f>
        <v>141.42554648329155</v>
      </c>
      <c r="K43" s="168">
        <f ca="1">IF($C43-K$1&lt;År1,0,J42*(1-VLOOKUP($A43,[1]Hugst!$R$5:$W$9,MATCH(ROUNDUP((K$1)/10,0)*10,[1]Hugst!$R$4:$W$4,0))))</f>
        <v>141.58064760686528</v>
      </c>
      <c r="L43" s="168">
        <f ca="1">IF($C43-L$1&lt;År1,0,K42*(1-VLOOKUP($A43,[1]Hugst!$R$5:$W$9,MATCH(ROUNDUP((L$1)/10,0)*10,[1]Hugst!$R$4:$W$4,0))))</f>
        <v>141.73652813307041</v>
      </c>
      <c r="M43" s="168">
        <f ca="1">IF($C43-M$1&lt;År1,0,L42*(1-VLOOKUP($A43,[1]Hugst!$R$5:$W$9,MATCH(ROUNDUP((M$1)/10,0)*10,[1]Hugst!$R$4:$W$4,0))))</f>
        <v>141.89319197850403</v>
      </c>
      <c r="N43" s="168">
        <f ca="1">IF($C43-N$1&lt;År1,0,M42*(1-VLOOKUP($A43,[1]Hugst!$R$5:$W$9,MATCH(ROUNDUP((N$1)/10,0)*10,[1]Hugst!$R$4:$W$4,0))))</f>
        <v>142.05064307944181</v>
      </c>
      <c r="O43" s="168">
        <f ca="1">IF($C43-O$1&lt;År1,0,N42*(1-VLOOKUP($A43,[1]Hugst!$R$5:$W$9,MATCH(ROUNDUP((O$1)/10,0)*10,[1]Hugst!$R$4:$W$4,0))))</f>
        <v>142.20888539194115</v>
      </c>
      <c r="P43" s="168">
        <f ca="1">IF($C43-P$1&lt;År1,0,O42*(1-VLOOKUP($A43,[1]Hugst!$R$5:$W$9,MATCH(ROUNDUP((P$1)/10,0)*10,[1]Hugst!$R$4:$W$4,0))))</f>
        <v>142.36792289194113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(IF(B44="Vestdanmark",Skovbrug!$C$22-(Skovbrug!$C$22)*(1-Skovbrug!$C$9)^(C44-Skovbrug!$B$12),Skovbrug!$F$22-(Skovbrug!$F$22)*(1-Skovbrug!$C$9)^(C44-Skovbrug!$B$12)))*VLOOKUP(A44,Skovbrug!$A$13:$D$17,IF('Skovbrug-alder'!C44&lt;=År2,3,4),FALSE)
-IF(C44&gt;2020,SUM(INDEX($C$1:$D$311,MATCH(1,(2020=$C$1:$C$311)*(B44=$B$1:$B$311)*(A44=$A$1:$A$311),0),2):D43),0)</f>
        <v>30.101173297415528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90.909405887983326</v>
      </c>
      <c r="G44" s="168">
        <f ca="1">IF($C44-G$1&lt;År1,0,F43*(1-VLOOKUP($A44,[1]Hugst!$R$5:$W$9,MATCH(ROUNDUP((G$1)/10,0)*10,[1]Hugst!$R$4:$W$4,0))))</f>
        <v>140.8128583667318</v>
      </c>
      <c r="H44" s="168">
        <f ca="1">IF($C44-H$1&lt;År1,0,G43*(1-VLOOKUP($A44,[1]Hugst!$R$5:$W$9,MATCH(ROUNDUP((H$1)/10,0)*10,[1]Hugst!$R$4:$W$4,0))))</f>
        <v>140.96488065554865</v>
      </c>
      <c r="I44" s="168">
        <f ca="1">IF($C44-I$1&lt;År1,0,H43*(1-VLOOKUP($A44,[1]Hugst!$R$5:$W$9,MATCH(ROUNDUP((I$1)/10,0)*10,[1]Hugst!$R$4:$W$4,0))))</f>
        <v>141.11766687546753</v>
      </c>
      <c r="J44" s="168">
        <f ca="1">IF($C44-J$1&lt;År1,0,I43*(1-VLOOKUP($A44,[1]Hugst!$R$5:$W$9,MATCH(ROUNDUP((J$1)/10,0)*10,[1]Hugst!$R$4:$W$4,0))))</f>
        <v>141.27122086533404</v>
      </c>
      <c r="K44" s="168">
        <f ca="1">IF($C44-K$1&lt;År1,0,J43*(1-VLOOKUP($A44,[1]Hugst!$R$5:$W$9,MATCH(ROUNDUP((K$1)/10,0)*10,[1]Hugst!$R$4:$W$4,0))))</f>
        <v>141.42554648329155</v>
      </c>
      <c r="L44" s="168">
        <f ca="1">IF($C44-L$1&lt;År1,0,K43*(1-VLOOKUP($A44,[1]Hugst!$R$5:$W$9,MATCH(ROUNDUP((L$1)/10,0)*10,[1]Hugst!$R$4:$W$4,0))))</f>
        <v>141.58064760686528</v>
      </c>
      <c r="M44" s="168">
        <f ca="1">IF($C44-M$1&lt;År1,0,L43*(1-VLOOKUP($A44,[1]Hugst!$R$5:$W$9,MATCH(ROUNDUP((M$1)/10,0)*10,[1]Hugst!$R$4:$W$4,0))))</f>
        <v>141.73652813307041</v>
      </c>
      <c r="N44" s="168">
        <f ca="1">IF($C44-N$1&lt;År1,0,M43*(1-VLOOKUP($A44,[1]Hugst!$R$5:$W$9,MATCH(ROUNDUP((N$1)/10,0)*10,[1]Hugst!$R$4:$W$4,0))))</f>
        <v>141.89319197850403</v>
      </c>
      <c r="O44" s="168">
        <f ca="1">IF($C44-O$1&lt;År1,0,N43*(1-VLOOKUP($A44,[1]Hugst!$R$5:$W$9,MATCH(ROUNDUP((O$1)/10,0)*10,[1]Hugst!$R$4:$W$4,0))))</f>
        <v>142.05064307944181</v>
      </c>
      <c r="P44" s="168">
        <f ca="1">IF($C44-P$1&lt;År1,0,O43*(1-VLOOKUP($A44,[1]Hugst!$R$5:$W$9,MATCH(ROUNDUP((P$1)/10,0)*10,[1]Hugst!$R$4:$W$4,0))))</f>
        <v>142.20888539194115</v>
      </c>
      <c r="Q44" s="168">
        <f ca="1">IF($C44-Q$1&lt;År1,0,P43*(1-VLOOKUP($A44,[1]Hugst!$R$5:$W$9,MATCH(ROUNDUP((Q$1)/10,0)*10,[1]Hugst!$R$4:$W$4,0))))</f>
        <v>142.36792289194113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(IF(B45="Vestdanmark",Skovbrug!$C$22-(Skovbrug!$C$22)*(1-Skovbrug!$C$9)^(C45-Skovbrug!$B$12),Skovbrug!$F$22-(Skovbrug!$F$22)*(1-Skovbrug!$C$9)^(C45-Skovbrug!$B$12)))*VLOOKUP(A45,Skovbrug!$A$13:$D$17,IF('Skovbrug-alder'!C45&lt;=År2,3,4),FALSE)
-IF(C45&gt;2020,SUM(INDEX($C$1:$D$311,MATCH(1,(2020=$C$1:$C$311)*(B45=$B$1:$B$311)*(A45=$A$1:$A$311),0),2):D44),0)</f>
        <v>29.950667430929002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90.7589000214968</v>
      </c>
      <c r="G45" s="168">
        <f ca="1">IF($C45-G$1&lt;År1,0,F44*(1-VLOOKUP($A45,[1]Hugst!$R$5:$W$9,MATCH(ROUNDUP((G$1)/10,0)*10,[1]Hugst!$R$4:$W$4,0))))</f>
        <v>90.909405887983326</v>
      </c>
      <c r="H45" s="168">
        <f ca="1">IF($C45-H$1&lt;År1,0,G44*(1-VLOOKUP($A45,[1]Hugst!$R$5:$W$9,MATCH(ROUNDUP((H$1)/10,0)*10,[1]Hugst!$R$4:$W$4,0))))</f>
        <v>140.8128583667318</v>
      </c>
      <c r="I45" s="168">
        <f ca="1">IF($C45-I$1&lt;År1,0,H44*(1-VLOOKUP($A45,[1]Hugst!$R$5:$W$9,MATCH(ROUNDUP((I$1)/10,0)*10,[1]Hugst!$R$4:$W$4,0))))</f>
        <v>140.96488065554865</v>
      </c>
      <c r="J45" s="168">
        <f ca="1">IF($C45-J$1&lt;År1,0,I44*(1-VLOOKUP($A45,[1]Hugst!$R$5:$W$9,MATCH(ROUNDUP((J$1)/10,0)*10,[1]Hugst!$R$4:$W$4,0))))</f>
        <v>141.11766687546753</v>
      </c>
      <c r="K45" s="168">
        <f ca="1">IF($C45-K$1&lt;År1,0,J44*(1-VLOOKUP($A45,[1]Hugst!$R$5:$W$9,MATCH(ROUNDUP((K$1)/10,0)*10,[1]Hugst!$R$4:$W$4,0))))</f>
        <v>141.27122086533404</v>
      </c>
      <c r="L45" s="168">
        <f ca="1">IF($C45-L$1&lt;År1,0,K44*(1-VLOOKUP($A45,[1]Hugst!$R$5:$W$9,MATCH(ROUNDUP((L$1)/10,0)*10,[1]Hugst!$R$4:$W$4,0))))</f>
        <v>141.42554648329155</v>
      </c>
      <c r="M45" s="168">
        <f ca="1">IF($C45-M$1&lt;År1,0,L44*(1-VLOOKUP($A45,[1]Hugst!$R$5:$W$9,MATCH(ROUNDUP((M$1)/10,0)*10,[1]Hugst!$R$4:$W$4,0))))</f>
        <v>141.58064760686528</v>
      </c>
      <c r="N45" s="168">
        <f ca="1">IF($C45-N$1&lt;År1,0,M44*(1-VLOOKUP($A45,[1]Hugst!$R$5:$W$9,MATCH(ROUNDUP((N$1)/10,0)*10,[1]Hugst!$R$4:$W$4,0))))</f>
        <v>141.73652813307041</v>
      </c>
      <c r="O45" s="168">
        <f ca="1">IF($C45-O$1&lt;År1,0,N44*(1-VLOOKUP($A45,[1]Hugst!$R$5:$W$9,MATCH(ROUNDUP((O$1)/10,0)*10,[1]Hugst!$R$4:$W$4,0))))</f>
        <v>141.89319197850403</v>
      </c>
      <c r="P45" s="168">
        <f ca="1">IF($C45-P$1&lt;År1,0,O44*(1-VLOOKUP($A45,[1]Hugst!$R$5:$W$9,MATCH(ROUNDUP((P$1)/10,0)*10,[1]Hugst!$R$4:$W$4,0))))</f>
        <v>142.05064307944181</v>
      </c>
      <c r="Q45" s="168">
        <f ca="1">IF($C45-Q$1&lt;År1,0,P44*(1-VLOOKUP($A45,[1]Hugst!$R$5:$W$9,MATCH(ROUNDUP((Q$1)/10,0)*10,[1]Hugst!$R$4:$W$4,0))))</f>
        <v>142.20888539194115</v>
      </c>
      <c r="R45" s="168">
        <f ca="1">IF($C45-R$1&lt;År1,0,Q44*(1-VLOOKUP($A45,[1]Hugst!$R$5:$W$9,MATCH(ROUNDUP((R$1)/10,0)*10,[1]Hugst!$R$4:$W$4,0))))</f>
        <v>142.36792289194113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(IF(B46="Vestdanmark",Skovbrug!$C$22-(Skovbrug!$C$22)*(1-Skovbrug!$C$9)^(C46-Skovbrug!$B$12),Skovbrug!$F$22-(Skovbrug!$F$22)*(1-Skovbrug!$C$9)^(C46-Skovbrug!$B$12)))*VLOOKUP(A46,Skovbrug!$A$13:$D$17,IF('Skovbrug-alder'!C46&lt;=År2,3,4),FALSE)
-IF(C46&gt;2020,SUM(INDEX($C$1:$D$311,MATCH(1,(2020=$C$1:$C$311)*(B46=$B$1:$B$311)*(A46=$A$1:$A$311),0),2):D45),0)</f>
        <v>29.800914093774225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90.609146684342022</v>
      </c>
      <c r="G46" s="168">
        <f ca="1">IF($C46-G$1&lt;År1,0,F45*(1-VLOOKUP($A46,[1]Hugst!$R$5:$W$9,MATCH(ROUNDUP((G$1)/10,0)*10,[1]Hugst!$R$4:$W$4,0))))</f>
        <v>90.7589000214968</v>
      </c>
      <c r="H46" s="168">
        <f ca="1">IF($C46-H$1&lt;År1,0,G45*(1-VLOOKUP($A46,[1]Hugst!$R$5:$W$9,MATCH(ROUNDUP((H$1)/10,0)*10,[1]Hugst!$R$4:$W$4,0))))</f>
        <v>90.909405887983326</v>
      </c>
      <c r="I46" s="168">
        <f ca="1">IF($C46-I$1&lt;År1,0,H45*(1-VLOOKUP($A46,[1]Hugst!$R$5:$W$9,MATCH(ROUNDUP((I$1)/10,0)*10,[1]Hugst!$R$4:$W$4,0))))</f>
        <v>140.8128583667318</v>
      </c>
      <c r="J46" s="168">
        <f ca="1">IF($C46-J$1&lt;År1,0,I45*(1-VLOOKUP($A46,[1]Hugst!$R$5:$W$9,MATCH(ROUNDUP((J$1)/10,0)*10,[1]Hugst!$R$4:$W$4,0))))</f>
        <v>140.96488065554865</v>
      </c>
      <c r="K46" s="168">
        <f ca="1">IF($C46-K$1&lt;År1,0,J45*(1-VLOOKUP($A46,[1]Hugst!$R$5:$W$9,MATCH(ROUNDUP((K$1)/10,0)*10,[1]Hugst!$R$4:$W$4,0))))</f>
        <v>141.11766687546753</v>
      </c>
      <c r="L46" s="168">
        <f ca="1">IF($C46-L$1&lt;År1,0,K45*(1-VLOOKUP($A46,[1]Hugst!$R$5:$W$9,MATCH(ROUNDUP((L$1)/10,0)*10,[1]Hugst!$R$4:$W$4,0))))</f>
        <v>141.27122086533404</v>
      </c>
      <c r="M46" s="168">
        <f ca="1">IF($C46-M$1&lt;År1,0,L45*(1-VLOOKUP($A46,[1]Hugst!$R$5:$W$9,MATCH(ROUNDUP((M$1)/10,0)*10,[1]Hugst!$R$4:$W$4,0))))</f>
        <v>141.42554648329155</v>
      </c>
      <c r="N46" s="168">
        <f ca="1">IF($C46-N$1&lt;År1,0,M45*(1-VLOOKUP($A46,[1]Hugst!$R$5:$W$9,MATCH(ROUNDUP((N$1)/10,0)*10,[1]Hugst!$R$4:$W$4,0))))</f>
        <v>141.58064760686528</v>
      </c>
      <c r="O46" s="168">
        <f ca="1">IF($C46-O$1&lt;År1,0,N45*(1-VLOOKUP($A46,[1]Hugst!$R$5:$W$9,MATCH(ROUNDUP((O$1)/10,0)*10,[1]Hugst!$R$4:$W$4,0))))</f>
        <v>141.73652813307041</v>
      </c>
      <c r="P46" s="168">
        <f ca="1">IF($C46-P$1&lt;År1,0,O45*(1-VLOOKUP($A46,[1]Hugst!$R$5:$W$9,MATCH(ROUNDUP((P$1)/10,0)*10,[1]Hugst!$R$4:$W$4,0))))</f>
        <v>141.89319197850403</v>
      </c>
      <c r="Q46" s="168">
        <f ca="1">IF($C46-Q$1&lt;År1,0,P45*(1-VLOOKUP($A46,[1]Hugst!$R$5:$W$9,MATCH(ROUNDUP((Q$1)/10,0)*10,[1]Hugst!$R$4:$W$4,0))))</f>
        <v>142.05064307944181</v>
      </c>
      <c r="R46" s="168">
        <f ca="1">IF($C46-R$1&lt;År1,0,Q45*(1-VLOOKUP($A46,[1]Hugst!$R$5:$W$9,MATCH(ROUNDUP((R$1)/10,0)*10,[1]Hugst!$R$4:$W$4,0))))</f>
        <v>142.20888539194115</v>
      </c>
      <c r="S46" s="168">
        <f ca="1">IF($C46-S$1&lt;År1,0,R45*(1-VLOOKUP($A46,[1]Hugst!$R$5:$W$9,MATCH(ROUNDUP((S$1)/10,0)*10,[1]Hugst!$R$4:$W$4,0))))</f>
        <v>142.36792289194113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(IF(B47="Vestdanmark",Skovbrug!$C$22-(Skovbrug!$C$22)*(1-Skovbrug!$C$9)^(C47-Skovbrug!$B$12),Skovbrug!$F$22-(Skovbrug!$F$22)*(1-Skovbrug!$C$9)^(C47-Skovbrug!$B$12)))*VLOOKUP(A47,Skovbrug!$A$13:$D$17,IF('Skovbrug-alder'!C47&lt;=År2,3,4),FALSE)
-IF(C47&gt;2020,SUM(INDEX($C$1:$D$311,MATCH(1,(2020=$C$1:$C$311)*(B47=$B$1:$B$311)*(A47=$A$1:$A$311),0),2):D46),0)</f>
        <v>29.651909523305221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90.460142113873019</v>
      </c>
      <c r="G47" s="168">
        <f ca="1">IF($C47-G$1&lt;År1,0,F46*(1-VLOOKUP($A47,[1]Hugst!$R$5:$W$9,MATCH(ROUNDUP((G$1)/10,0)*10,[1]Hugst!$R$4:$W$4,0))))</f>
        <v>90.609146684342022</v>
      </c>
      <c r="H47" s="168">
        <f ca="1">IF($C47-H$1&lt;År1,0,G46*(1-VLOOKUP($A47,[1]Hugst!$R$5:$W$9,MATCH(ROUNDUP((H$1)/10,0)*10,[1]Hugst!$R$4:$W$4,0))))</f>
        <v>90.7589000214968</v>
      </c>
      <c r="I47" s="168">
        <f ca="1">IF($C47-I$1&lt;År1,0,H46*(1-VLOOKUP($A47,[1]Hugst!$R$5:$W$9,MATCH(ROUNDUP((I$1)/10,0)*10,[1]Hugst!$R$4:$W$4,0))))</f>
        <v>90.909405887983326</v>
      </c>
      <c r="J47" s="168">
        <f ca="1">IF($C47-J$1&lt;År1,0,I46*(1-VLOOKUP($A47,[1]Hugst!$R$5:$W$9,MATCH(ROUNDUP((J$1)/10,0)*10,[1]Hugst!$R$4:$W$4,0))))</f>
        <v>140.8128583667318</v>
      </c>
      <c r="K47" s="168">
        <f ca="1">IF($C47-K$1&lt;År1,0,J46*(1-VLOOKUP($A47,[1]Hugst!$R$5:$W$9,MATCH(ROUNDUP((K$1)/10,0)*10,[1]Hugst!$R$4:$W$4,0))))</f>
        <v>140.96488065554865</v>
      </c>
      <c r="L47" s="168">
        <f ca="1">IF($C47-L$1&lt;År1,0,K46*(1-VLOOKUP($A47,[1]Hugst!$R$5:$W$9,MATCH(ROUNDUP((L$1)/10,0)*10,[1]Hugst!$R$4:$W$4,0))))</f>
        <v>141.11766687546753</v>
      </c>
      <c r="M47" s="168">
        <f ca="1">IF($C47-M$1&lt;År1,0,L46*(1-VLOOKUP($A47,[1]Hugst!$R$5:$W$9,MATCH(ROUNDUP((M$1)/10,0)*10,[1]Hugst!$R$4:$W$4,0))))</f>
        <v>141.27122086533404</v>
      </c>
      <c r="N47" s="168">
        <f ca="1">IF($C47-N$1&lt;År1,0,M46*(1-VLOOKUP($A47,[1]Hugst!$R$5:$W$9,MATCH(ROUNDUP((N$1)/10,0)*10,[1]Hugst!$R$4:$W$4,0))))</f>
        <v>141.42554648329155</v>
      </c>
      <c r="O47" s="168">
        <f ca="1">IF($C47-O$1&lt;År1,0,N46*(1-VLOOKUP($A47,[1]Hugst!$R$5:$W$9,MATCH(ROUNDUP((O$1)/10,0)*10,[1]Hugst!$R$4:$W$4,0))))</f>
        <v>141.58064760686528</v>
      </c>
      <c r="P47" s="168">
        <f ca="1">IF($C47-P$1&lt;År1,0,O46*(1-VLOOKUP($A47,[1]Hugst!$R$5:$W$9,MATCH(ROUNDUP((P$1)/10,0)*10,[1]Hugst!$R$4:$W$4,0))))</f>
        <v>141.73652813307041</v>
      </c>
      <c r="Q47" s="168">
        <f ca="1">IF($C47-Q$1&lt;År1,0,P46*(1-VLOOKUP($A47,[1]Hugst!$R$5:$W$9,MATCH(ROUNDUP((Q$1)/10,0)*10,[1]Hugst!$R$4:$W$4,0))))</f>
        <v>141.89319197850403</v>
      </c>
      <c r="R47" s="168">
        <f ca="1">IF($C47-R$1&lt;År1,0,Q46*(1-VLOOKUP($A47,[1]Hugst!$R$5:$W$9,MATCH(ROUNDUP((R$1)/10,0)*10,[1]Hugst!$R$4:$W$4,0))))</f>
        <v>142.05064307944181</v>
      </c>
      <c r="S47" s="168">
        <f ca="1">IF($C47-S$1&lt;År1,0,R46*(1-VLOOKUP($A47,[1]Hugst!$R$5:$W$9,MATCH(ROUNDUP((S$1)/10,0)*10,[1]Hugst!$R$4:$W$4,0))))</f>
        <v>142.20888539194115</v>
      </c>
      <c r="T47" s="168">
        <f ca="1">IF($C47-T$1&lt;År1,0,S46*(1-VLOOKUP($A47,[1]Hugst!$R$5:$W$9,MATCH(ROUNDUP((T$1)/10,0)*10,[1]Hugst!$R$4:$W$4,0))))</f>
        <v>142.36792289194113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(IF(B48="Vestdanmark",Skovbrug!$C$22-(Skovbrug!$C$22)*(1-Skovbrug!$C$9)^(C48-Skovbrug!$B$12),Skovbrug!$F$22-(Skovbrug!$F$22)*(1-Skovbrug!$C$9)^(C48-Skovbrug!$B$12)))*VLOOKUP(A48,Skovbrug!$A$13:$D$17,IF('Skovbrug-alder'!C48&lt;=År2,3,4),FALSE)
-IF(C48&gt;2020,SUM(INDEX($C$1:$D$311,MATCH(1,(2020=$C$1:$C$311)*(B48=$B$1:$B$311)*(A48=$A$1:$A$311),0),2):D47),0)</f>
        <v>29.503649975689768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90.311882566257566</v>
      </c>
      <c r="G48" s="168">
        <f ca="1">IF($C48-G$1&lt;År1,0,F47*(1-VLOOKUP($A48,[1]Hugst!$R$5:$W$9,MATCH(ROUNDUP((G$1)/10,0)*10,[1]Hugst!$R$4:$W$4,0))))</f>
        <v>90.460142113873019</v>
      </c>
      <c r="H48" s="168">
        <f ca="1">IF($C48-H$1&lt;År1,0,G47*(1-VLOOKUP($A48,[1]Hugst!$R$5:$W$9,MATCH(ROUNDUP((H$1)/10,0)*10,[1]Hugst!$R$4:$W$4,0))))</f>
        <v>90.609146684342022</v>
      </c>
      <c r="I48" s="168">
        <f ca="1">IF($C48-I$1&lt;År1,0,H47*(1-VLOOKUP($A48,[1]Hugst!$R$5:$W$9,MATCH(ROUNDUP((I$1)/10,0)*10,[1]Hugst!$R$4:$W$4,0))))</f>
        <v>90.7589000214968</v>
      </c>
      <c r="J48" s="168">
        <f ca="1">IF($C48-J$1&lt;År1,0,I47*(1-VLOOKUP($A48,[1]Hugst!$R$5:$W$9,MATCH(ROUNDUP((J$1)/10,0)*10,[1]Hugst!$R$4:$W$4,0))))</f>
        <v>90.909405887983326</v>
      </c>
      <c r="K48" s="168">
        <f ca="1">IF($C48-K$1&lt;År1,0,J47*(1-VLOOKUP($A48,[1]Hugst!$R$5:$W$9,MATCH(ROUNDUP((K$1)/10,0)*10,[1]Hugst!$R$4:$W$4,0))))</f>
        <v>140.8128583667318</v>
      </c>
      <c r="L48" s="168">
        <f ca="1">IF($C48-L$1&lt;År1,0,K47*(1-VLOOKUP($A48,[1]Hugst!$R$5:$W$9,MATCH(ROUNDUP((L$1)/10,0)*10,[1]Hugst!$R$4:$W$4,0))))</f>
        <v>140.96488065554865</v>
      </c>
      <c r="M48" s="168">
        <f ca="1">IF($C48-M$1&lt;År1,0,L47*(1-VLOOKUP($A48,[1]Hugst!$R$5:$W$9,MATCH(ROUNDUP((M$1)/10,0)*10,[1]Hugst!$R$4:$W$4,0))))</f>
        <v>141.11766687546753</v>
      </c>
      <c r="N48" s="168">
        <f ca="1">IF($C48-N$1&lt;År1,0,M47*(1-VLOOKUP($A48,[1]Hugst!$R$5:$W$9,MATCH(ROUNDUP((N$1)/10,0)*10,[1]Hugst!$R$4:$W$4,0))))</f>
        <v>141.27122086533404</v>
      </c>
      <c r="O48" s="168">
        <f ca="1">IF($C48-O$1&lt;År1,0,N47*(1-VLOOKUP($A48,[1]Hugst!$R$5:$W$9,MATCH(ROUNDUP((O$1)/10,0)*10,[1]Hugst!$R$4:$W$4,0))))</f>
        <v>141.42554648329155</v>
      </c>
      <c r="P48" s="168">
        <f ca="1">IF($C48-P$1&lt;År1,0,O47*(1-VLOOKUP($A48,[1]Hugst!$R$5:$W$9,MATCH(ROUNDUP((P$1)/10,0)*10,[1]Hugst!$R$4:$W$4,0))))</f>
        <v>141.58064760686528</v>
      </c>
      <c r="Q48" s="168">
        <f ca="1">IF($C48-Q$1&lt;År1,0,P47*(1-VLOOKUP($A48,[1]Hugst!$R$5:$W$9,MATCH(ROUNDUP((Q$1)/10,0)*10,[1]Hugst!$R$4:$W$4,0))))</f>
        <v>141.73652813307041</v>
      </c>
      <c r="R48" s="168">
        <f ca="1">IF($C48-R$1&lt;År1,0,Q47*(1-VLOOKUP($A48,[1]Hugst!$R$5:$W$9,MATCH(ROUNDUP((R$1)/10,0)*10,[1]Hugst!$R$4:$W$4,0))))</f>
        <v>141.89319197850403</v>
      </c>
      <c r="S48" s="168">
        <f ca="1">IF($C48-S$1&lt;År1,0,R47*(1-VLOOKUP($A48,[1]Hugst!$R$5:$W$9,MATCH(ROUNDUP((S$1)/10,0)*10,[1]Hugst!$R$4:$W$4,0))))</f>
        <v>142.05064307944181</v>
      </c>
      <c r="T48" s="168">
        <f ca="1">IF($C48-T$1&lt;År1,0,S47*(1-VLOOKUP($A48,[1]Hugst!$R$5:$W$9,MATCH(ROUNDUP((T$1)/10,0)*10,[1]Hugst!$R$4:$W$4,0))))</f>
        <v>142.20888539194115</v>
      </c>
      <c r="U48" s="168">
        <f ca="1">IF($C48-U$1&lt;År1,0,T47*(1-VLOOKUP($A48,[1]Hugst!$R$5:$W$9,MATCH(ROUNDUP((U$1)/10,0)*10,[1]Hugst!$R$4:$W$4,0))))</f>
        <v>142.36792289194113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(IF(B49="Vestdanmark",Skovbrug!$C$22-(Skovbrug!$C$22)*(1-Skovbrug!$C$9)^(C49-Skovbrug!$B$12),Skovbrug!$F$22-(Skovbrug!$F$22)*(1-Skovbrug!$C$9)^(C49-Skovbrug!$B$12)))*VLOOKUP(A49,Skovbrug!$A$13:$D$17,IF('Skovbrug-alder'!C49&lt;=År2,3,4),FALSE)
-IF(C49&gt;2020,SUM(INDEX($C$1:$D$311,MATCH(1,(2020=$C$1:$C$311)*(B49=$B$1:$B$311)*(A49=$A$1:$A$311),0),2):D48),0)</f>
        <v>29.356131725809973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90.164364316377771</v>
      </c>
      <c r="G49" s="168">
        <f ca="1">IF($C49-G$1&lt;År1,0,F48*(1-VLOOKUP($A49,[1]Hugst!$R$5:$W$9,MATCH(ROUNDUP((G$1)/10,0)*10,[1]Hugst!$R$4:$W$4,0))))</f>
        <v>90.311882566257566</v>
      </c>
      <c r="H49" s="168">
        <f ca="1">IF($C49-H$1&lt;År1,0,G48*(1-VLOOKUP($A49,[1]Hugst!$R$5:$W$9,MATCH(ROUNDUP((H$1)/10,0)*10,[1]Hugst!$R$4:$W$4,0))))</f>
        <v>90.460142113873019</v>
      </c>
      <c r="I49" s="168">
        <f ca="1">IF($C49-I$1&lt;År1,0,H48*(1-VLOOKUP($A49,[1]Hugst!$R$5:$W$9,MATCH(ROUNDUP((I$1)/10,0)*10,[1]Hugst!$R$4:$W$4,0))))</f>
        <v>90.609146684342022</v>
      </c>
      <c r="J49" s="168">
        <f ca="1">IF($C49-J$1&lt;År1,0,I48*(1-VLOOKUP($A49,[1]Hugst!$R$5:$W$9,MATCH(ROUNDUP((J$1)/10,0)*10,[1]Hugst!$R$4:$W$4,0))))</f>
        <v>90.7589000214968</v>
      </c>
      <c r="K49" s="168">
        <f ca="1">IF($C49-K$1&lt;År1,0,J48*(1-VLOOKUP($A49,[1]Hugst!$R$5:$W$9,MATCH(ROUNDUP((K$1)/10,0)*10,[1]Hugst!$R$4:$W$4,0))))</f>
        <v>90.909405887983326</v>
      </c>
      <c r="L49" s="168">
        <f ca="1">IF($C49-L$1&lt;År1,0,K48*(1-VLOOKUP($A49,[1]Hugst!$R$5:$W$9,MATCH(ROUNDUP((L$1)/10,0)*10,[1]Hugst!$R$4:$W$4,0))))</f>
        <v>140.8128583667318</v>
      </c>
      <c r="M49" s="168">
        <f ca="1">IF($C49-M$1&lt;År1,0,L48*(1-VLOOKUP($A49,[1]Hugst!$R$5:$W$9,MATCH(ROUNDUP((M$1)/10,0)*10,[1]Hugst!$R$4:$W$4,0))))</f>
        <v>140.96488065554865</v>
      </c>
      <c r="N49" s="168">
        <f ca="1">IF($C49-N$1&lt;År1,0,M48*(1-VLOOKUP($A49,[1]Hugst!$R$5:$W$9,MATCH(ROUNDUP((N$1)/10,0)*10,[1]Hugst!$R$4:$W$4,0))))</f>
        <v>141.11766687546753</v>
      </c>
      <c r="O49" s="168">
        <f ca="1">IF($C49-O$1&lt;År1,0,N48*(1-VLOOKUP($A49,[1]Hugst!$R$5:$W$9,MATCH(ROUNDUP((O$1)/10,0)*10,[1]Hugst!$R$4:$W$4,0))))</f>
        <v>141.27122086533404</v>
      </c>
      <c r="P49" s="168">
        <f ca="1">IF($C49-P$1&lt;År1,0,O48*(1-VLOOKUP($A49,[1]Hugst!$R$5:$W$9,MATCH(ROUNDUP((P$1)/10,0)*10,[1]Hugst!$R$4:$W$4,0))))</f>
        <v>141.42554648329155</v>
      </c>
      <c r="Q49" s="168">
        <f ca="1">IF($C49-Q$1&lt;År1,0,P48*(1-VLOOKUP($A49,[1]Hugst!$R$5:$W$9,MATCH(ROUNDUP((Q$1)/10,0)*10,[1]Hugst!$R$4:$W$4,0))))</f>
        <v>141.58064760686528</v>
      </c>
      <c r="R49" s="168">
        <f ca="1">IF($C49-R$1&lt;År1,0,Q48*(1-VLOOKUP($A49,[1]Hugst!$R$5:$W$9,MATCH(ROUNDUP((R$1)/10,0)*10,[1]Hugst!$R$4:$W$4,0))))</f>
        <v>141.73652813307041</v>
      </c>
      <c r="S49" s="168">
        <f ca="1">IF($C49-S$1&lt;År1,0,R48*(1-VLOOKUP($A49,[1]Hugst!$R$5:$W$9,MATCH(ROUNDUP((S$1)/10,0)*10,[1]Hugst!$R$4:$W$4,0))))</f>
        <v>141.89319197850403</v>
      </c>
      <c r="T49" s="168">
        <f ca="1">IF($C49-T$1&lt;År1,0,S48*(1-VLOOKUP($A49,[1]Hugst!$R$5:$W$9,MATCH(ROUNDUP((T$1)/10,0)*10,[1]Hugst!$R$4:$W$4,0))))</f>
        <v>142.05064307944181</v>
      </c>
      <c r="U49" s="168">
        <f ca="1">IF($C49-U$1&lt;År1,0,T48*(1-VLOOKUP($A49,[1]Hugst!$R$5:$W$9,MATCH(ROUNDUP((U$1)/10,0)*10,[1]Hugst!$R$4:$W$4,0))))</f>
        <v>142.20888539194115</v>
      </c>
      <c r="V49" s="168">
        <f ca="1">IF($C49-V$1&lt;År1,0,U48*(1-VLOOKUP($A49,[1]Hugst!$R$5:$W$9,MATCH(ROUNDUP((V$1)/10,0)*10,[1]Hugst!$R$4:$W$4,0))))</f>
        <v>142.36792289194113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(IF(B50="Vestdanmark",Skovbrug!$C$22-(Skovbrug!$C$22)*(1-Skovbrug!$C$9)^(C50-Skovbrug!$B$12),Skovbrug!$F$22-(Skovbrug!$F$22)*(1-Skovbrug!$C$9)^(C50-Skovbrug!$B$12)))*VLOOKUP(A50,Skovbrug!$A$13:$D$17,IF('Skovbrug-alder'!C50&lt;=År2,3,4),FALSE)
-IF(C50&gt;2020,SUM(INDEX($C$1:$D$311,MATCH(1,(2020=$C$1:$C$311)*(B50=$B$1:$B$311)*(A50=$A$1:$A$311),0),2):D49),0)</f>
        <v>29.209351067181728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90.017583657749526</v>
      </c>
      <c r="G50" s="168">
        <f ca="1">IF($C50-G$1&lt;År1,0,F49*(1-VLOOKUP($A50,[1]Hugst!$R$5:$W$9,MATCH(ROUNDUP((G$1)/10,0)*10,[1]Hugst!$R$4:$W$4,0))))</f>
        <v>90.164364316377771</v>
      </c>
      <c r="H50" s="168">
        <f ca="1">IF($C50-H$1&lt;År1,0,G49*(1-VLOOKUP($A50,[1]Hugst!$R$5:$W$9,MATCH(ROUNDUP((H$1)/10,0)*10,[1]Hugst!$R$4:$W$4,0))))</f>
        <v>90.311882566257566</v>
      </c>
      <c r="I50" s="168">
        <f ca="1">IF($C50-I$1&lt;År1,0,H49*(1-VLOOKUP($A50,[1]Hugst!$R$5:$W$9,MATCH(ROUNDUP((I$1)/10,0)*10,[1]Hugst!$R$4:$W$4,0))))</f>
        <v>90.460142113873019</v>
      </c>
      <c r="J50" s="168">
        <f ca="1">IF($C50-J$1&lt;År1,0,I49*(1-VLOOKUP($A50,[1]Hugst!$R$5:$W$9,MATCH(ROUNDUP((J$1)/10,0)*10,[1]Hugst!$R$4:$W$4,0))))</f>
        <v>90.609146684342022</v>
      </c>
      <c r="K50" s="168">
        <f ca="1">IF($C50-K$1&lt;År1,0,J49*(1-VLOOKUP($A50,[1]Hugst!$R$5:$W$9,MATCH(ROUNDUP((K$1)/10,0)*10,[1]Hugst!$R$4:$W$4,0))))</f>
        <v>90.7589000214968</v>
      </c>
      <c r="L50" s="168">
        <f ca="1">IF($C50-L$1&lt;År1,0,K49*(1-VLOOKUP($A50,[1]Hugst!$R$5:$W$9,MATCH(ROUNDUP((L$1)/10,0)*10,[1]Hugst!$R$4:$W$4,0))))</f>
        <v>90.909405887983326</v>
      </c>
      <c r="M50" s="168">
        <f ca="1">IF($C50-M$1&lt;År1,0,L49*(1-VLOOKUP($A50,[1]Hugst!$R$5:$W$9,MATCH(ROUNDUP((M$1)/10,0)*10,[1]Hugst!$R$4:$W$4,0))))</f>
        <v>140.8128583667318</v>
      </c>
      <c r="N50" s="168">
        <f ca="1">IF($C50-N$1&lt;År1,0,M49*(1-VLOOKUP($A50,[1]Hugst!$R$5:$W$9,MATCH(ROUNDUP((N$1)/10,0)*10,[1]Hugst!$R$4:$W$4,0))))</f>
        <v>140.96488065554865</v>
      </c>
      <c r="O50" s="168">
        <f ca="1">IF($C50-O$1&lt;År1,0,N49*(1-VLOOKUP($A50,[1]Hugst!$R$5:$W$9,MATCH(ROUNDUP((O$1)/10,0)*10,[1]Hugst!$R$4:$W$4,0))))</f>
        <v>141.11766687546753</v>
      </c>
      <c r="P50" s="168">
        <f ca="1">IF($C50-P$1&lt;År1,0,O49*(1-VLOOKUP($A50,[1]Hugst!$R$5:$W$9,MATCH(ROUNDUP((P$1)/10,0)*10,[1]Hugst!$R$4:$W$4,0))))</f>
        <v>141.27122086533404</v>
      </c>
      <c r="Q50" s="168">
        <f ca="1">IF($C50-Q$1&lt;År1,0,P49*(1-VLOOKUP($A50,[1]Hugst!$R$5:$W$9,MATCH(ROUNDUP((Q$1)/10,0)*10,[1]Hugst!$R$4:$W$4,0))))</f>
        <v>141.42554648329155</v>
      </c>
      <c r="R50" s="168">
        <f ca="1">IF($C50-R$1&lt;År1,0,Q49*(1-VLOOKUP($A50,[1]Hugst!$R$5:$W$9,MATCH(ROUNDUP((R$1)/10,0)*10,[1]Hugst!$R$4:$W$4,0))))</f>
        <v>141.58064760686528</v>
      </c>
      <c r="S50" s="168">
        <f ca="1">IF($C50-S$1&lt;År1,0,R49*(1-VLOOKUP($A50,[1]Hugst!$R$5:$W$9,MATCH(ROUNDUP((S$1)/10,0)*10,[1]Hugst!$R$4:$W$4,0))))</f>
        <v>141.73652813307041</v>
      </c>
      <c r="T50" s="168">
        <f ca="1">IF($C50-T$1&lt;År1,0,S49*(1-VLOOKUP($A50,[1]Hugst!$R$5:$W$9,MATCH(ROUNDUP((T$1)/10,0)*10,[1]Hugst!$R$4:$W$4,0))))</f>
        <v>141.89319197850403</v>
      </c>
      <c r="U50" s="168">
        <f ca="1">IF($C50-U$1&lt;År1,0,T49*(1-VLOOKUP($A50,[1]Hugst!$R$5:$W$9,MATCH(ROUNDUP((U$1)/10,0)*10,[1]Hugst!$R$4:$W$4,0))))</f>
        <v>142.05064307944181</v>
      </c>
      <c r="V50" s="168">
        <f ca="1">IF($C50-V$1&lt;År1,0,U49*(1-VLOOKUP($A50,[1]Hugst!$R$5:$W$9,MATCH(ROUNDUP((V$1)/10,0)*10,[1]Hugst!$R$4:$W$4,0))))</f>
        <v>142.20888539194115</v>
      </c>
      <c r="W50" s="168">
        <f ca="1">IF($C50-W$1&lt;År1,0,V49*(1-VLOOKUP($A50,[1]Hugst!$R$5:$W$9,MATCH(ROUNDUP((W$1)/10,0)*10,[1]Hugst!$R$4:$W$4,0))))</f>
        <v>142.36792289194113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(IF(B51="Vestdanmark",Skovbrug!$C$22-(Skovbrug!$C$22)*(1-Skovbrug!$C$9)^(C51-Skovbrug!$B$12),Skovbrug!$F$22-(Skovbrug!$F$22)*(1-Skovbrug!$C$9)^(C51-Skovbrug!$B$12)))*VLOOKUP(A51,Skovbrug!$A$13:$D$17,IF('Skovbrug-alder'!C51&lt;=År2,3,4),FALSE)
-IF(C51&gt;2020,SUM(INDEX($C$1:$D$311,MATCH(1,(2020=$C$1:$C$311)*(B51=$B$1:$B$311)*(A51=$A$1:$A$311),0),2):D50),0)</f>
        <v>29.063304311846082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89.871536902413879</v>
      </c>
      <c r="G51" s="168">
        <f ca="1">IF($C51-G$1&lt;År1,0,F50*(1-VLOOKUP($A51,[1]Hugst!$R$5:$W$9,MATCH(ROUNDUP((G$1)/10,0)*10,[1]Hugst!$R$4:$W$4,0))))</f>
        <v>90.017583657749526</v>
      </c>
      <c r="H51" s="168">
        <f ca="1">IF($C51-H$1&lt;År1,0,G50*(1-VLOOKUP($A51,[1]Hugst!$R$5:$W$9,MATCH(ROUNDUP((H$1)/10,0)*10,[1]Hugst!$R$4:$W$4,0))))</f>
        <v>90.164364316377771</v>
      </c>
      <c r="I51" s="168">
        <f ca="1">IF($C51-I$1&lt;År1,0,H50*(1-VLOOKUP($A51,[1]Hugst!$R$5:$W$9,MATCH(ROUNDUP((I$1)/10,0)*10,[1]Hugst!$R$4:$W$4,0))))</f>
        <v>90.311882566257566</v>
      </c>
      <c r="J51" s="168">
        <f ca="1">IF($C51-J$1&lt;År1,0,I50*(1-VLOOKUP($A51,[1]Hugst!$R$5:$W$9,MATCH(ROUNDUP((J$1)/10,0)*10,[1]Hugst!$R$4:$W$4,0))))</f>
        <v>90.460142113873019</v>
      </c>
      <c r="K51" s="168">
        <f ca="1">IF($C51-K$1&lt;År1,0,J50*(1-VLOOKUP($A51,[1]Hugst!$R$5:$W$9,MATCH(ROUNDUP((K$1)/10,0)*10,[1]Hugst!$R$4:$W$4,0))))</f>
        <v>90.609146684342022</v>
      </c>
      <c r="L51" s="168">
        <f ca="1">IF($C51-L$1&lt;År1,0,K50*(1-VLOOKUP($A51,[1]Hugst!$R$5:$W$9,MATCH(ROUNDUP((L$1)/10,0)*10,[1]Hugst!$R$4:$W$4,0))))</f>
        <v>90.7589000214968</v>
      </c>
      <c r="M51" s="168">
        <f ca="1">IF($C51-M$1&lt;År1,0,L50*(1-VLOOKUP($A51,[1]Hugst!$R$5:$W$9,MATCH(ROUNDUP((M$1)/10,0)*10,[1]Hugst!$R$4:$W$4,0))))</f>
        <v>90.909405887983326</v>
      </c>
      <c r="N51" s="168">
        <f ca="1">IF($C51-N$1&lt;År1,0,M50*(1-VLOOKUP($A51,[1]Hugst!$R$5:$W$9,MATCH(ROUNDUP((N$1)/10,0)*10,[1]Hugst!$R$4:$W$4,0))))</f>
        <v>140.8128583667318</v>
      </c>
      <c r="O51" s="168">
        <f ca="1">IF($C51-O$1&lt;År1,0,N50*(1-VLOOKUP($A51,[1]Hugst!$R$5:$W$9,MATCH(ROUNDUP((O$1)/10,0)*10,[1]Hugst!$R$4:$W$4,0))))</f>
        <v>140.96488065554865</v>
      </c>
      <c r="P51" s="168">
        <f ca="1">IF($C51-P$1&lt;År1,0,O50*(1-VLOOKUP($A51,[1]Hugst!$R$5:$W$9,MATCH(ROUNDUP((P$1)/10,0)*10,[1]Hugst!$R$4:$W$4,0))))</f>
        <v>141.11766687546753</v>
      </c>
      <c r="Q51" s="168">
        <f ca="1">IF($C51-Q$1&lt;År1,0,P50*(1-VLOOKUP($A51,[1]Hugst!$R$5:$W$9,MATCH(ROUNDUP((Q$1)/10,0)*10,[1]Hugst!$R$4:$W$4,0))))</f>
        <v>141.27122086533404</v>
      </c>
      <c r="R51" s="168">
        <f ca="1">IF($C51-R$1&lt;År1,0,Q50*(1-VLOOKUP($A51,[1]Hugst!$R$5:$W$9,MATCH(ROUNDUP((R$1)/10,0)*10,[1]Hugst!$R$4:$W$4,0))))</f>
        <v>141.42554648329155</v>
      </c>
      <c r="S51" s="168">
        <f ca="1">IF($C51-S$1&lt;År1,0,R50*(1-VLOOKUP($A51,[1]Hugst!$R$5:$W$9,MATCH(ROUNDUP((S$1)/10,0)*10,[1]Hugst!$R$4:$W$4,0))))</f>
        <v>141.58064760686528</v>
      </c>
      <c r="T51" s="168">
        <f ca="1">IF($C51-T$1&lt;År1,0,S50*(1-VLOOKUP($A51,[1]Hugst!$R$5:$W$9,MATCH(ROUNDUP((T$1)/10,0)*10,[1]Hugst!$R$4:$W$4,0))))</f>
        <v>141.73652813307041</v>
      </c>
      <c r="U51" s="168">
        <f ca="1">IF($C51-U$1&lt;År1,0,T50*(1-VLOOKUP($A51,[1]Hugst!$R$5:$W$9,MATCH(ROUNDUP((U$1)/10,0)*10,[1]Hugst!$R$4:$W$4,0))))</f>
        <v>141.89319197850403</v>
      </c>
      <c r="V51" s="168">
        <f ca="1">IF($C51-V$1&lt;År1,0,U50*(1-VLOOKUP($A51,[1]Hugst!$R$5:$W$9,MATCH(ROUNDUP((V$1)/10,0)*10,[1]Hugst!$R$4:$W$4,0))))</f>
        <v>142.05064307944181</v>
      </c>
      <c r="W51" s="168">
        <f ca="1">IF($C51-W$1&lt;År1,0,V50*(1-VLOOKUP($A51,[1]Hugst!$R$5:$W$9,MATCH(ROUNDUP((W$1)/10,0)*10,[1]Hugst!$R$4:$W$4,0))))</f>
        <v>142.20888539194115</v>
      </c>
      <c r="X51" s="168">
        <f ca="1">IF($C51-X$1&lt;År1,0,W50*(1-VLOOKUP($A51,[1]Hugst!$R$5:$W$9,MATCH(ROUNDUP((X$1)/10,0)*10,[1]Hugst!$R$4:$W$4,0))))</f>
        <v>142.36792289194113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(IF(B52="Vestdanmark",Skovbrug!$C$22-(Skovbrug!$C$22)*(1-Skovbrug!$C$9)^(C52-Skovbrug!$B$12),Skovbrug!$F$22-(Skovbrug!$F$22)*(1-Skovbrug!$C$9)^(C52-Skovbrug!$B$12)))*VLOOKUP(A52,Skovbrug!$A$13:$D$17,IF('Skovbrug-alder'!C52&lt;=År2,3,4),FALSE)
-IF(C52&gt;2020,SUM(INDEX($C$1:$D$311,MATCH(1,(2020=$C$1:$C$311)*(B52=$B$1:$B$311)*(A52=$A$1:$A$311),0),2):D51),0)</f>
        <v>28.917987790286134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89.726220380853931</v>
      </c>
      <c r="G52" s="168">
        <f ca="1">IF($C52-G$1&lt;År1,0,F51*(1-VLOOKUP($A52,[1]Hugst!$R$5:$W$9,MATCH(ROUNDUP((G$1)/10,0)*10,[1]Hugst!$R$4:$W$4,0))))</f>
        <v>89.871536902413879</v>
      </c>
      <c r="H52" s="168">
        <f ca="1">IF($C52-H$1&lt;År1,0,G51*(1-VLOOKUP($A52,[1]Hugst!$R$5:$W$9,MATCH(ROUNDUP((H$1)/10,0)*10,[1]Hugst!$R$4:$W$4,0))))</f>
        <v>90.017583657749526</v>
      </c>
      <c r="I52" s="168">
        <f ca="1">IF($C52-I$1&lt;År1,0,H51*(1-VLOOKUP($A52,[1]Hugst!$R$5:$W$9,MATCH(ROUNDUP((I$1)/10,0)*10,[1]Hugst!$R$4:$W$4,0))))</f>
        <v>90.164364316377771</v>
      </c>
      <c r="J52" s="168">
        <f ca="1">IF($C52-J$1&lt;År1,0,I51*(1-VLOOKUP($A52,[1]Hugst!$R$5:$W$9,MATCH(ROUNDUP((J$1)/10,0)*10,[1]Hugst!$R$4:$W$4,0))))</f>
        <v>90.311882566257566</v>
      </c>
      <c r="K52" s="168">
        <f ca="1">IF($C52-K$1&lt;År1,0,J51*(1-VLOOKUP($A52,[1]Hugst!$R$5:$W$9,MATCH(ROUNDUP((K$1)/10,0)*10,[1]Hugst!$R$4:$W$4,0))))</f>
        <v>90.460142113873019</v>
      </c>
      <c r="L52" s="168">
        <f ca="1">IF($C52-L$1&lt;År1,0,K51*(1-VLOOKUP($A52,[1]Hugst!$R$5:$W$9,MATCH(ROUNDUP((L$1)/10,0)*10,[1]Hugst!$R$4:$W$4,0))))</f>
        <v>90.609146684342022</v>
      </c>
      <c r="M52" s="168">
        <f ca="1">IF($C52-M$1&lt;År1,0,L51*(1-VLOOKUP($A52,[1]Hugst!$R$5:$W$9,MATCH(ROUNDUP((M$1)/10,0)*10,[1]Hugst!$R$4:$W$4,0))))</f>
        <v>90.7589000214968</v>
      </c>
      <c r="N52" s="168">
        <f ca="1">IF($C52-N$1&lt;År1,0,M51*(1-VLOOKUP($A52,[1]Hugst!$R$5:$W$9,MATCH(ROUNDUP((N$1)/10,0)*10,[1]Hugst!$R$4:$W$4,0))))</f>
        <v>90.909405887983326</v>
      </c>
      <c r="O52" s="168">
        <f ca="1">IF($C52-O$1&lt;År1,0,N51*(1-VLOOKUP($A52,[1]Hugst!$R$5:$W$9,MATCH(ROUNDUP((O$1)/10,0)*10,[1]Hugst!$R$4:$W$4,0))))</f>
        <v>140.8128583667318</v>
      </c>
      <c r="P52" s="168">
        <f ca="1">IF($C52-P$1&lt;År1,0,O51*(1-VLOOKUP($A52,[1]Hugst!$R$5:$W$9,MATCH(ROUNDUP((P$1)/10,0)*10,[1]Hugst!$R$4:$W$4,0))))</f>
        <v>140.96488065554865</v>
      </c>
      <c r="Q52" s="168">
        <f ca="1">IF($C52-Q$1&lt;År1,0,P51*(1-VLOOKUP($A52,[1]Hugst!$R$5:$W$9,MATCH(ROUNDUP((Q$1)/10,0)*10,[1]Hugst!$R$4:$W$4,0))))</f>
        <v>141.11766687546753</v>
      </c>
      <c r="R52" s="168">
        <f ca="1">IF($C52-R$1&lt;År1,0,Q51*(1-VLOOKUP($A52,[1]Hugst!$R$5:$W$9,MATCH(ROUNDUP((R$1)/10,0)*10,[1]Hugst!$R$4:$W$4,0))))</f>
        <v>141.27122086533404</v>
      </c>
      <c r="S52" s="168">
        <f ca="1">IF($C52-S$1&lt;År1,0,R51*(1-VLOOKUP($A52,[1]Hugst!$R$5:$W$9,MATCH(ROUNDUP((S$1)/10,0)*10,[1]Hugst!$R$4:$W$4,0))))</f>
        <v>141.42554648329155</v>
      </c>
      <c r="T52" s="168">
        <f ca="1">IF($C52-T$1&lt;År1,0,S51*(1-VLOOKUP($A52,[1]Hugst!$R$5:$W$9,MATCH(ROUNDUP((T$1)/10,0)*10,[1]Hugst!$R$4:$W$4,0))))</f>
        <v>141.58064760686528</v>
      </c>
      <c r="U52" s="168">
        <f ca="1">IF($C52-U$1&lt;År1,0,T51*(1-VLOOKUP($A52,[1]Hugst!$R$5:$W$9,MATCH(ROUNDUP((U$1)/10,0)*10,[1]Hugst!$R$4:$W$4,0))))</f>
        <v>141.73652813307041</v>
      </c>
      <c r="V52" s="168">
        <f ca="1">IF($C52-V$1&lt;År1,0,U51*(1-VLOOKUP($A52,[1]Hugst!$R$5:$W$9,MATCH(ROUNDUP((V$1)/10,0)*10,[1]Hugst!$R$4:$W$4,0))))</f>
        <v>141.89319197850403</v>
      </c>
      <c r="W52" s="168">
        <f ca="1">IF($C52-W$1&lt;År1,0,V51*(1-VLOOKUP($A52,[1]Hugst!$R$5:$W$9,MATCH(ROUNDUP((W$1)/10,0)*10,[1]Hugst!$R$4:$W$4,0))))</f>
        <v>142.05064307944181</v>
      </c>
      <c r="X52" s="168">
        <f ca="1">IF($C52-X$1&lt;År1,0,W51*(1-VLOOKUP($A52,[1]Hugst!$R$5:$W$9,MATCH(ROUNDUP((X$1)/10,0)*10,[1]Hugst!$R$4:$W$4,0))))</f>
        <v>142.20888539194115</v>
      </c>
      <c r="Y52" s="168">
        <f ca="1">IF($C52-Y$1&lt;År1,0,X51*(1-VLOOKUP($A52,[1]Hugst!$R$5:$W$9,MATCH(ROUNDUP((Y$1)/10,0)*10,[1]Hugst!$R$4:$W$4,0))))</f>
        <v>142.36792289194113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(IF(B53="Vestdanmark",Skovbrug!$C$22-(Skovbrug!$C$22)*(1-Skovbrug!$C$9)^(C53-Skovbrug!$B$12),Skovbrug!$F$22-(Skovbrug!$F$22)*(1-Skovbrug!$C$9)^(C53-Skovbrug!$B$12)))*VLOOKUP(A53,Skovbrug!$A$13:$D$17,IF('Skovbrug-alder'!C53&lt;=År2,3,4),FALSE)
-IF(C53&gt;2020,SUM(INDEX($C$1:$D$311,MATCH(1,(2020=$C$1:$C$311)*(B53=$B$1:$B$311)*(A53=$A$1:$A$311),0),2):D52),0)</f>
        <v>28.773397851334494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89.581630441902291</v>
      </c>
      <c r="G53" s="168">
        <f ca="1">IF($C53-G$1&lt;År1,0,F52*(1-VLOOKUP($A53,[1]Hugst!$R$5:$W$9,MATCH(ROUNDUP((G$1)/10,0)*10,[1]Hugst!$R$4:$W$4,0))))</f>
        <v>89.726220380853931</v>
      </c>
      <c r="H53" s="168">
        <f ca="1">IF($C53-H$1&lt;År1,0,G52*(1-VLOOKUP($A53,[1]Hugst!$R$5:$W$9,MATCH(ROUNDUP((H$1)/10,0)*10,[1]Hugst!$R$4:$W$4,0))))</f>
        <v>89.871536902413879</v>
      </c>
      <c r="I53" s="168">
        <f ca="1">IF($C53-I$1&lt;År1,0,H52*(1-VLOOKUP($A53,[1]Hugst!$R$5:$W$9,MATCH(ROUNDUP((I$1)/10,0)*10,[1]Hugst!$R$4:$W$4,0))))</f>
        <v>90.017583657749526</v>
      </c>
      <c r="J53" s="168">
        <f ca="1">IF($C53-J$1&lt;År1,0,I52*(1-VLOOKUP($A53,[1]Hugst!$R$5:$W$9,MATCH(ROUNDUP((J$1)/10,0)*10,[1]Hugst!$R$4:$W$4,0))))</f>
        <v>90.164364316377771</v>
      </c>
      <c r="K53" s="168">
        <f ca="1">IF($C53-K$1&lt;År1,0,J52*(1-VLOOKUP($A53,[1]Hugst!$R$5:$W$9,MATCH(ROUNDUP((K$1)/10,0)*10,[1]Hugst!$R$4:$W$4,0))))</f>
        <v>90.311882566257566</v>
      </c>
      <c r="L53" s="168">
        <f ca="1">IF($C53-L$1&lt;År1,0,K52*(1-VLOOKUP($A53,[1]Hugst!$R$5:$W$9,MATCH(ROUNDUP((L$1)/10,0)*10,[1]Hugst!$R$4:$W$4,0))))</f>
        <v>90.460142113873019</v>
      </c>
      <c r="M53" s="168">
        <f ca="1">IF($C53-M$1&lt;År1,0,L52*(1-VLOOKUP($A53,[1]Hugst!$R$5:$W$9,MATCH(ROUNDUP((M$1)/10,0)*10,[1]Hugst!$R$4:$W$4,0))))</f>
        <v>90.609146684342022</v>
      </c>
      <c r="N53" s="168">
        <f ca="1">IF($C53-N$1&lt;År1,0,M52*(1-VLOOKUP($A53,[1]Hugst!$R$5:$W$9,MATCH(ROUNDUP((N$1)/10,0)*10,[1]Hugst!$R$4:$W$4,0))))</f>
        <v>90.7589000214968</v>
      </c>
      <c r="O53" s="168">
        <f ca="1">IF($C53-O$1&lt;År1,0,N52*(1-VLOOKUP($A53,[1]Hugst!$R$5:$W$9,MATCH(ROUNDUP((O$1)/10,0)*10,[1]Hugst!$R$4:$W$4,0))))</f>
        <v>90.909405887983326</v>
      </c>
      <c r="P53" s="168">
        <f ca="1">IF($C53-P$1&lt;År1,0,O52*(1-VLOOKUP($A53,[1]Hugst!$R$5:$W$9,MATCH(ROUNDUP((P$1)/10,0)*10,[1]Hugst!$R$4:$W$4,0))))</f>
        <v>140.8128583667318</v>
      </c>
      <c r="Q53" s="168">
        <f ca="1">IF($C53-Q$1&lt;År1,0,P52*(1-VLOOKUP($A53,[1]Hugst!$R$5:$W$9,MATCH(ROUNDUP((Q$1)/10,0)*10,[1]Hugst!$R$4:$W$4,0))))</f>
        <v>140.96488065554865</v>
      </c>
      <c r="R53" s="168">
        <f ca="1">IF($C53-R$1&lt;År1,0,Q52*(1-VLOOKUP($A53,[1]Hugst!$R$5:$W$9,MATCH(ROUNDUP((R$1)/10,0)*10,[1]Hugst!$R$4:$W$4,0))))</f>
        <v>141.11766687546753</v>
      </c>
      <c r="S53" s="168">
        <f ca="1">IF($C53-S$1&lt;År1,0,R52*(1-VLOOKUP($A53,[1]Hugst!$R$5:$W$9,MATCH(ROUNDUP((S$1)/10,0)*10,[1]Hugst!$R$4:$W$4,0))))</f>
        <v>141.27122086533404</v>
      </c>
      <c r="T53" s="168">
        <f ca="1">IF($C53-T$1&lt;År1,0,S52*(1-VLOOKUP($A53,[1]Hugst!$R$5:$W$9,MATCH(ROUNDUP((T$1)/10,0)*10,[1]Hugst!$R$4:$W$4,0))))</f>
        <v>141.42554648329155</v>
      </c>
      <c r="U53" s="168">
        <f ca="1">IF($C53-U$1&lt;År1,0,T52*(1-VLOOKUP($A53,[1]Hugst!$R$5:$W$9,MATCH(ROUNDUP((U$1)/10,0)*10,[1]Hugst!$R$4:$W$4,0))))</f>
        <v>141.58064760686528</v>
      </c>
      <c r="V53" s="168">
        <f ca="1">IF($C53-V$1&lt;År1,0,U52*(1-VLOOKUP($A53,[1]Hugst!$R$5:$W$9,MATCH(ROUNDUP((V$1)/10,0)*10,[1]Hugst!$R$4:$W$4,0))))</f>
        <v>141.73652813307041</v>
      </c>
      <c r="W53" s="168">
        <f ca="1">IF($C53-W$1&lt;År1,0,V52*(1-VLOOKUP($A53,[1]Hugst!$R$5:$W$9,MATCH(ROUNDUP((W$1)/10,0)*10,[1]Hugst!$R$4:$W$4,0))))</f>
        <v>141.89319197850403</v>
      </c>
      <c r="X53" s="168">
        <f ca="1">IF($C53-X$1&lt;År1,0,W52*(1-VLOOKUP($A53,[1]Hugst!$R$5:$W$9,MATCH(ROUNDUP((X$1)/10,0)*10,[1]Hugst!$R$4:$W$4,0))))</f>
        <v>142.05064307944181</v>
      </c>
      <c r="Y53" s="168">
        <f ca="1">IF($C53-Y$1&lt;År1,0,X52*(1-VLOOKUP($A53,[1]Hugst!$R$5:$W$9,MATCH(ROUNDUP((Y$1)/10,0)*10,[1]Hugst!$R$4:$W$4,0))))</f>
        <v>142.20888539194115</v>
      </c>
      <c r="Z53" s="168">
        <f ca="1">IF($C53-Z$1&lt;År1,0,Y52*(1-VLOOKUP($A53,[1]Hugst!$R$5:$W$9,MATCH(ROUNDUP((Z$1)/10,0)*10,[1]Hugst!$R$4:$W$4,0))))</f>
        <v>142.36792289194113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(IF(B54="Vestdanmark",Skovbrug!$C$22-(Skovbrug!$C$22)*(1-Skovbrug!$C$9)^(C54-Skovbrug!$B$12),Skovbrug!$F$22-(Skovbrug!$F$22)*(1-Skovbrug!$C$9)^(C54-Skovbrug!$B$12)))*VLOOKUP(A54,Skovbrug!$A$13:$D$17,IF('Skovbrug-alder'!C54&lt;=År2,3,4),FALSE)
-IF(C54&gt;2020,SUM(INDEX($C$1:$D$311,MATCH(1,(2020=$C$1:$C$311)*(B54=$B$1:$B$311)*(A54=$A$1:$A$311),0),2):D53),0)</f>
        <v>28.629530862077786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89.437763452645584</v>
      </c>
      <c r="G54" s="168">
        <f ca="1">IF($C54-G$1&lt;År1,0,F53*(1-VLOOKUP($A54,[1]Hugst!$R$5:$W$9,MATCH(ROUNDUP((G$1)/10,0)*10,[1]Hugst!$R$4:$W$4,0))))</f>
        <v>89.581630441902291</v>
      </c>
      <c r="H54" s="168">
        <f ca="1">IF($C54-H$1&lt;År1,0,G53*(1-VLOOKUP($A54,[1]Hugst!$R$5:$W$9,MATCH(ROUNDUP((H$1)/10,0)*10,[1]Hugst!$R$4:$W$4,0))))</f>
        <v>89.726220380853931</v>
      </c>
      <c r="I54" s="168">
        <f ca="1">IF($C54-I$1&lt;År1,0,H53*(1-VLOOKUP($A54,[1]Hugst!$R$5:$W$9,MATCH(ROUNDUP((I$1)/10,0)*10,[1]Hugst!$R$4:$W$4,0))))</f>
        <v>89.871536902413879</v>
      </c>
      <c r="J54" s="168">
        <f ca="1">IF($C54-J$1&lt;År1,0,I53*(1-VLOOKUP($A54,[1]Hugst!$R$5:$W$9,MATCH(ROUNDUP((J$1)/10,0)*10,[1]Hugst!$R$4:$W$4,0))))</f>
        <v>90.017583657749526</v>
      </c>
      <c r="K54" s="168">
        <f ca="1">IF($C54-K$1&lt;År1,0,J53*(1-VLOOKUP($A54,[1]Hugst!$R$5:$W$9,MATCH(ROUNDUP((K$1)/10,0)*10,[1]Hugst!$R$4:$W$4,0))))</f>
        <v>90.164364316377771</v>
      </c>
      <c r="L54" s="168">
        <f ca="1">IF($C54-L$1&lt;År1,0,K53*(1-VLOOKUP($A54,[1]Hugst!$R$5:$W$9,MATCH(ROUNDUP((L$1)/10,0)*10,[1]Hugst!$R$4:$W$4,0))))</f>
        <v>90.311882566257566</v>
      </c>
      <c r="M54" s="168">
        <f ca="1">IF($C54-M$1&lt;År1,0,L53*(1-VLOOKUP($A54,[1]Hugst!$R$5:$W$9,MATCH(ROUNDUP((M$1)/10,0)*10,[1]Hugst!$R$4:$W$4,0))))</f>
        <v>90.460142113873019</v>
      </c>
      <c r="N54" s="168">
        <f ca="1">IF($C54-N$1&lt;År1,0,M53*(1-VLOOKUP($A54,[1]Hugst!$R$5:$W$9,MATCH(ROUNDUP((N$1)/10,0)*10,[1]Hugst!$R$4:$W$4,0))))</f>
        <v>90.609146684342022</v>
      </c>
      <c r="O54" s="168">
        <f ca="1">IF($C54-O$1&lt;År1,0,N53*(1-VLOOKUP($A54,[1]Hugst!$R$5:$W$9,MATCH(ROUNDUP((O$1)/10,0)*10,[1]Hugst!$R$4:$W$4,0))))</f>
        <v>90.7589000214968</v>
      </c>
      <c r="P54" s="168">
        <f ca="1">IF($C54-P$1&lt;År1,0,O53*(1-VLOOKUP($A54,[1]Hugst!$R$5:$W$9,MATCH(ROUNDUP((P$1)/10,0)*10,[1]Hugst!$R$4:$W$4,0))))</f>
        <v>90.909405887983326</v>
      </c>
      <c r="Q54" s="168">
        <f ca="1">IF($C54-Q$1&lt;År1,0,P53*(1-VLOOKUP($A54,[1]Hugst!$R$5:$W$9,MATCH(ROUNDUP((Q$1)/10,0)*10,[1]Hugst!$R$4:$W$4,0))))</f>
        <v>140.8128583667318</v>
      </c>
      <c r="R54" s="168">
        <f ca="1">IF($C54-R$1&lt;År1,0,Q53*(1-VLOOKUP($A54,[1]Hugst!$R$5:$W$9,MATCH(ROUNDUP((R$1)/10,0)*10,[1]Hugst!$R$4:$W$4,0))))</f>
        <v>140.96488065554865</v>
      </c>
      <c r="S54" s="168">
        <f ca="1">IF($C54-S$1&lt;År1,0,R53*(1-VLOOKUP($A54,[1]Hugst!$R$5:$W$9,MATCH(ROUNDUP((S$1)/10,0)*10,[1]Hugst!$R$4:$W$4,0))))</f>
        <v>141.11766687546753</v>
      </c>
      <c r="T54" s="168">
        <f ca="1">IF($C54-T$1&lt;År1,0,S53*(1-VLOOKUP($A54,[1]Hugst!$R$5:$W$9,MATCH(ROUNDUP((T$1)/10,0)*10,[1]Hugst!$R$4:$W$4,0))))</f>
        <v>141.27122086533404</v>
      </c>
      <c r="U54" s="168">
        <f ca="1">IF($C54-U$1&lt;År1,0,T53*(1-VLOOKUP($A54,[1]Hugst!$R$5:$W$9,MATCH(ROUNDUP((U$1)/10,0)*10,[1]Hugst!$R$4:$W$4,0))))</f>
        <v>141.42554648329155</v>
      </c>
      <c r="V54" s="168">
        <f ca="1">IF($C54-V$1&lt;År1,0,U53*(1-VLOOKUP($A54,[1]Hugst!$R$5:$W$9,MATCH(ROUNDUP((V$1)/10,0)*10,[1]Hugst!$R$4:$W$4,0))))</f>
        <v>141.58064760686528</v>
      </c>
      <c r="W54" s="168">
        <f ca="1">IF($C54-W$1&lt;År1,0,V53*(1-VLOOKUP($A54,[1]Hugst!$R$5:$W$9,MATCH(ROUNDUP((W$1)/10,0)*10,[1]Hugst!$R$4:$W$4,0))))</f>
        <v>141.73652813307041</v>
      </c>
      <c r="X54" s="168">
        <f ca="1">IF($C54-X$1&lt;År1,0,W53*(1-VLOOKUP($A54,[1]Hugst!$R$5:$W$9,MATCH(ROUNDUP((X$1)/10,0)*10,[1]Hugst!$R$4:$W$4,0))))</f>
        <v>141.89319197850403</v>
      </c>
      <c r="Y54" s="168">
        <f ca="1">IF($C54-Y$1&lt;År1,0,X53*(1-VLOOKUP($A54,[1]Hugst!$R$5:$W$9,MATCH(ROUNDUP((Y$1)/10,0)*10,[1]Hugst!$R$4:$W$4,0))))</f>
        <v>142.05064307944181</v>
      </c>
      <c r="Z54" s="168">
        <f ca="1">IF($C54-Z$1&lt;År1,0,Y53*(1-VLOOKUP($A54,[1]Hugst!$R$5:$W$9,MATCH(ROUNDUP((Z$1)/10,0)*10,[1]Hugst!$R$4:$W$4,0))))</f>
        <v>142.20888539194115</v>
      </c>
      <c r="AA54" s="168">
        <f ca="1">IF($C54-AA$1&lt;År1,0,Z53*(1-VLOOKUP($A54,[1]Hugst!$R$5:$W$9,MATCH(ROUNDUP((AA$1)/10,0)*10,[1]Hugst!$R$4:$W$4,0))))</f>
        <v>142.36792289194113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(IF(B55="Vestdanmark",Skovbrug!$C$22-(Skovbrug!$C$22)*(1-Skovbrug!$C$9)^(C55-Skovbrug!$B$12),Skovbrug!$F$22-(Skovbrug!$F$22)*(1-Skovbrug!$C$9)^(C55-Skovbrug!$B$12)))*VLOOKUP(A55,Skovbrug!$A$13:$D$17,IF('Skovbrug-alder'!C55&lt;=År2,3,4),FALSE)
-IF(C55&gt;2020,SUM(INDEX($C$1:$D$311,MATCH(1,(2020=$C$1:$C$311)*(B55=$B$1:$B$311)*(A55=$A$1:$A$311),0),2):D54),0)</f>
        <v>28.486383207768881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89.294615798336679</v>
      </c>
      <c r="G55" s="168">
        <f ca="1">IF($C55-G$1&lt;År1,0,F54*(1-VLOOKUP($A55,[1]Hugst!$R$5:$W$9,MATCH(ROUNDUP((G$1)/10,0)*10,[1]Hugst!$R$4:$W$4,0))))</f>
        <v>89.437763452645584</v>
      </c>
      <c r="H55" s="168">
        <f ca="1">IF($C55-H$1&lt;År1,0,G54*(1-VLOOKUP($A55,[1]Hugst!$R$5:$W$9,MATCH(ROUNDUP((H$1)/10,0)*10,[1]Hugst!$R$4:$W$4,0))))</f>
        <v>89.581630441902291</v>
      </c>
      <c r="I55" s="168">
        <f ca="1">IF($C55-I$1&lt;År1,0,H54*(1-VLOOKUP($A55,[1]Hugst!$R$5:$W$9,MATCH(ROUNDUP((I$1)/10,0)*10,[1]Hugst!$R$4:$W$4,0))))</f>
        <v>89.726220380853931</v>
      </c>
      <c r="J55" s="168">
        <f ca="1">IF($C55-J$1&lt;År1,0,I54*(1-VLOOKUP($A55,[1]Hugst!$R$5:$W$9,MATCH(ROUNDUP((J$1)/10,0)*10,[1]Hugst!$R$4:$W$4,0))))</f>
        <v>89.871536902413879</v>
      </c>
      <c r="K55" s="168">
        <f ca="1">IF($C55-K$1&lt;År1,0,J54*(1-VLOOKUP($A55,[1]Hugst!$R$5:$W$9,MATCH(ROUNDUP((K$1)/10,0)*10,[1]Hugst!$R$4:$W$4,0))))</f>
        <v>90.017583657749526</v>
      </c>
      <c r="L55" s="168">
        <f ca="1">IF($C55-L$1&lt;År1,0,K54*(1-VLOOKUP($A55,[1]Hugst!$R$5:$W$9,MATCH(ROUNDUP((L$1)/10,0)*10,[1]Hugst!$R$4:$W$4,0))))</f>
        <v>90.164364316377771</v>
      </c>
      <c r="M55" s="168">
        <f ca="1">IF($C55-M$1&lt;År1,0,L54*(1-VLOOKUP($A55,[1]Hugst!$R$5:$W$9,MATCH(ROUNDUP((M$1)/10,0)*10,[1]Hugst!$R$4:$W$4,0))))</f>
        <v>90.311882566257566</v>
      </c>
      <c r="N55" s="168">
        <f ca="1">IF($C55-N$1&lt;År1,0,M54*(1-VLOOKUP($A55,[1]Hugst!$R$5:$W$9,MATCH(ROUNDUP((N$1)/10,0)*10,[1]Hugst!$R$4:$W$4,0))))</f>
        <v>90.460142113873019</v>
      </c>
      <c r="O55" s="168">
        <f ca="1">IF($C55-O$1&lt;År1,0,N54*(1-VLOOKUP($A55,[1]Hugst!$R$5:$W$9,MATCH(ROUNDUP((O$1)/10,0)*10,[1]Hugst!$R$4:$W$4,0))))</f>
        <v>90.609146684342022</v>
      </c>
      <c r="P55" s="168">
        <f ca="1">IF($C55-P$1&lt;År1,0,O54*(1-VLOOKUP($A55,[1]Hugst!$R$5:$W$9,MATCH(ROUNDUP((P$1)/10,0)*10,[1]Hugst!$R$4:$W$4,0))))</f>
        <v>90.7589000214968</v>
      </c>
      <c r="Q55" s="168">
        <f ca="1">IF($C55-Q$1&lt;År1,0,P54*(1-VLOOKUP($A55,[1]Hugst!$R$5:$W$9,MATCH(ROUNDUP((Q$1)/10,0)*10,[1]Hugst!$R$4:$W$4,0))))</f>
        <v>90.909405887983326</v>
      </c>
      <c r="R55" s="168">
        <f ca="1">IF($C55-R$1&lt;År1,0,Q54*(1-VLOOKUP($A55,[1]Hugst!$R$5:$W$9,MATCH(ROUNDUP((R$1)/10,0)*10,[1]Hugst!$R$4:$W$4,0))))</f>
        <v>140.8128583667318</v>
      </c>
      <c r="S55" s="168">
        <f ca="1">IF($C55-S$1&lt;År1,0,R54*(1-VLOOKUP($A55,[1]Hugst!$R$5:$W$9,MATCH(ROUNDUP((S$1)/10,0)*10,[1]Hugst!$R$4:$W$4,0))))</f>
        <v>140.96488065554865</v>
      </c>
      <c r="T55" s="168">
        <f ca="1">IF($C55-T$1&lt;År1,0,S54*(1-VLOOKUP($A55,[1]Hugst!$R$5:$W$9,MATCH(ROUNDUP((T$1)/10,0)*10,[1]Hugst!$R$4:$W$4,0))))</f>
        <v>141.11766687546753</v>
      </c>
      <c r="U55" s="168">
        <f ca="1">IF($C55-U$1&lt;År1,0,T54*(1-VLOOKUP($A55,[1]Hugst!$R$5:$W$9,MATCH(ROUNDUP((U$1)/10,0)*10,[1]Hugst!$R$4:$W$4,0))))</f>
        <v>141.27122086533404</v>
      </c>
      <c r="V55" s="168">
        <f ca="1">IF($C55-V$1&lt;År1,0,U54*(1-VLOOKUP($A55,[1]Hugst!$R$5:$W$9,MATCH(ROUNDUP((V$1)/10,0)*10,[1]Hugst!$R$4:$W$4,0))))</f>
        <v>141.42554648329155</v>
      </c>
      <c r="W55" s="168">
        <f ca="1">IF($C55-W$1&lt;År1,0,V54*(1-VLOOKUP($A55,[1]Hugst!$R$5:$W$9,MATCH(ROUNDUP((W$1)/10,0)*10,[1]Hugst!$R$4:$W$4,0))))</f>
        <v>141.58064760686528</v>
      </c>
      <c r="X55" s="168">
        <f ca="1">IF($C55-X$1&lt;År1,0,W54*(1-VLOOKUP($A55,[1]Hugst!$R$5:$W$9,MATCH(ROUNDUP((X$1)/10,0)*10,[1]Hugst!$R$4:$W$4,0))))</f>
        <v>141.73652813307041</v>
      </c>
      <c r="Y55" s="168">
        <f ca="1">IF($C55-Y$1&lt;År1,0,X54*(1-VLOOKUP($A55,[1]Hugst!$R$5:$W$9,MATCH(ROUNDUP((Y$1)/10,0)*10,[1]Hugst!$R$4:$W$4,0))))</f>
        <v>141.89319197850403</v>
      </c>
      <c r="Z55" s="168">
        <f ca="1">IF($C55-Z$1&lt;År1,0,Y54*(1-VLOOKUP($A55,[1]Hugst!$R$5:$W$9,MATCH(ROUNDUP((Z$1)/10,0)*10,[1]Hugst!$R$4:$W$4,0))))</f>
        <v>142.05064307944181</v>
      </c>
      <c r="AA55" s="168">
        <f ca="1">IF($C55-AA$1&lt;År1,0,Z54*(1-VLOOKUP($A55,[1]Hugst!$R$5:$W$9,MATCH(ROUNDUP((AA$1)/10,0)*10,[1]Hugst!$R$4:$W$4,0))))</f>
        <v>142.20888539194115</v>
      </c>
      <c r="AB55" s="168">
        <f ca="1">IF($C55-AB$1&lt;År1,0,AA54*(1-VLOOKUP($A55,[1]Hugst!$R$5:$W$9,MATCH(ROUNDUP((AB$1)/10,0)*10,[1]Hugst!$R$4:$W$4,0))))</f>
        <v>142.36792289194113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(IF(B56="Vestdanmark",Skovbrug!$C$22-(Skovbrug!$C$22)*(1-Skovbrug!$C$9)^(C56-Skovbrug!$B$12),Skovbrug!$F$22-(Skovbrug!$F$22)*(1-Skovbrug!$C$9)^(C56-Skovbrug!$B$12)))*VLOOKUP(A56,Skovbrug!$A$13:$D$17,IF('Skovbrug-alder'!C56&lt;=År2,3,4),FALSE)
-IF(C56&gt;2020,SUM(INDEX($C$1:$D$311,MATCH(1,(2020=$C$1:$C$311)*(B56=$B$1:$B$311)*(A56=$A$1:$A$311),0),2):D55),0)</f>
        <v>28.343951291728445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89.152183882296242</v>
      </c>
      <c r="G56" s="168">
        <f ca="1">IF($C56-G$1&lt;År1,0,F55*(1-VLOOKUP($A56,[1]Hugst!$R$5:$W$9,MATCH(ROUNDUP((G$1)/10,0)*10,[1]Hugst!$R$4:$W$4,0))))</f>
        <v>89.294615798336679</v>
      </c>
      <c r="H56" s="168">
        <f ca="1">IF($C56-H$1&lt;År1,0,G55*(1-VLOOKUP($A56,[1]Hugst!$R$5:$W$9,MATCH(ROUNDUP((H$1)/10,0)*10,[1]Hugst!$R$4:$W$4,0))))</f>
        <v>89.437763452645584</v>
      </c>
      <c r="I56" s="168">
        <f ca="1">IF($C56-I$1&lt;År1,0,H55*(1-VLOOKUP($A56,[1]Hugst!$R$5:$W$9,MATCH(ROUNDUP((I$1)/10,0)*10,[1]Hugst!$R$4:$W$4,0))))</f>
        <v>89.581630441902291</v>
      </c>
      <c r="J56" s="168">
        <f ca="1">IF($C56-J$1&lt;År1,0,I55*(1-VLOOKUP($A56,[1]Hugst!$R$5:$W$9,MATCH(ROUNDUP((J$1)/10,0)*10,[1]Hugst!$R$4:$W$4,0))))</f>
        <v>89.726220380853931</v>
      </c>
      <c r="K56" s="168">
        <f ca="1">IF($C56-K$1&lt;År1,0,J55*(1-VLOOKUP($A56,[1]Hugst!$R$5:$W$9,MATCH(ROUNDUP((K$1)/10,0)*10,[1]Hugst!$R$4:$W$4,0))))</f>
        <v>89.871536902413879</v>
      </c>
      <c r="L56" s="168">
        <f ca="1">IF($C56-L$1&lt;År1,0,K55*(1-VLOOKUP($A56,[1]Hugst!$R$5:$W$9,MATCH(ROUNDUP((L$1)/10,0)*10,[1]Hugst!$R$4:$W$4,0))))</f>
        <v>90.017583657749526</v>
      </c>
      <c r="M56" s="168">
        <f ca="1">IF($C56-M$1&lt;År1,0,L55*(1-VLOOKUP($A56,[1]Hugst!$R$5:$W$9,MATCH(ROUNDUP((M$1)/10,0)*10,[1]Hugst!$R$4:$W$4,0))))</f>
        <v>90.164364316377771</v>
      </c>
      <c r="N56" s="168">
        <f ca="1">IF($C56-N$1&lt;År1,0,M55*(1-VLOOKUP($A56,[1]Hugst!$R$5:$W$9,MATCH(ROUNDUP((N$1)/10,0)*10,[1]Hugst!$R$4:$W$4,0))))</f>
        <v>90.311882566257566</v>
      </c>
      <c r="O56" s="168">
        <f ca="1">IF($C56-O$1&lt;År1,0,N55*(1-VLOOKUP($A56,[1]Hugst!$R$5:$W$9,MATCH(ROUNDUP((O$1)/10,0)*10,[1]Hugst!$R$4:$W$4,0))))</f>
        <v>90.460142113873019</v>
      </c>
      <c r="P56" s="168">
        <f ca="1">IF($C56-P$1&lt;År1,0,O55*(1-VLOOKUP($A56,[1]Hugst!$R$5:$W$9,MATCH(ROUNDUP((P$1)/10,0)*10,[1]Hugst!$R$4:$W$4,0))))</f>
        <v>90.609146684342022</v>
      </c>
      <c r="Q56" s="168">
        <f ca="1">IF($C56-Q$1&lt;År1,0,P55*(1-VLOOKUP($A56,[1]Hugst!$R$5:$W$9,MATCH(ROUNDUP((Q$1)/10,0)*10,[1]Hugst!$R$4:$W$4,0))))</f>
        <v>90.7589000214968</v>
      </c>
      <c r="R56" s="168">
        <f ca="1">IF($C56-R$1&lt;År1,0,Q55*(1-VLOOKUP($A56,[1]Hugst!$R$5:$W$9,MATCH(ROUNDUP((R$1)/10,0)*10,[1]Hugst!$R$4:$W$4,0))))</f>
        <v>90.909405887983326</v>
      </c>
      <c r="S56" s="168">
        <f ca="1">IF($C56-S$1&lt;År1,0,R55*(1-VLOOKUP($A56,[1]Hugst!$R$5:$W$9,MATCH(ROUNDUP((S$1)/10,0)*10,[1]Hugst!$R$4:$W$4,0))))</f>
        <v>140.8128583667318</v>
      </c>
      <c r="T56" s="168">
        <f ca="1">IF($C56-T$1&lt;År1,0,S55*(1-VLOOKUP($A56,[1]Hugst!$R$5:$W$9,MATCH(ROUNDUP((T$1)/10,0)*10,[1]Hugst!$R$4:$W$4,0))))</f>
        <v>140.96488065554865</v>
      </c>
      <c r="U56" s="168">
        <f ca="1">IF($C56-U$1&lt;År1,0,T55*(1-VLOOKUP($A56,[1]Hugst!$R$5:$W$9,MATCH(ROUNDUP((U$1)/10,0)*10,[1]Hugst!$R$4:$W$4,0))))</f>
        <v>141.11766687546753</v>
      </c>
      <c r="V56" s="168">
        <f ca="1">IF($C56-V$1&lt;År1,0,U55*(1-VLOOKUP($A56,[1]Hugst!$R$5:$W$9,MATCH(ROUNDUP((V$1)/10,0)*10,[1]Hugst!$R$4:$W$4,0))))</f>
        <v>141.27122086533404</v>
      </c>
      <c r="W56" s="168">
        <f ca="1">IF($C56-W$1&lt;År1,0,V55*(1-VLOOKUP($A56,[1]Hugst!$R$5:$W$9,MATCH(ROUNDUP((W$1)/10,0)*10,[1]Hugst!$R$4:$W$4,0))))</f>
        <v>141.42554648329155</v>
      </c>
      <c r="X56" s="168">
        <f ca="1">IF($C56-X$1&lt;År1,0,W55*(1-VLOOKUP($A56,[1]Hugst!$R$5:$W$9,MATCH(ROUNDUP((X$1)/10,0)*10,[1]Hugst!$R$4:$W$4,0))))</f>
        <v>141.58064760686528</v>
      </c>
      <c r="Y56" s="168">
        <f ca="1">IF($C56-Y$1&lt;År1,0,X55*(1-VLOOKUP($A56,[1]Hugst!$R$5:$W$9,MATCH(ROUNDUP((Y$1)/10,0)*10,[1]Hugst!$R$4:$W$4,0))))</f>
        <v>141.73652813307041</v>
      </c>
      <c r="Z56" s="168">
        <f ca="1">IF($C56-Z$1&lt;År1,0,Y55*(1-VLOOKUP($A56,[1]Hugst!$R$5:$W$9,MATCH(ROUNDUP((Z$1)/10,0)*10,[1]Hugst!$R$4:$W$4,0))))</f>
        <v>141.89319197850403</v>
      </c>
      <c r="AA56" s="168">
        <f ca="1">IF($C56-AA$1&lt;År1,0,Z55*(1-VLOOKUP($A56,[1]Hugst!$R$5:$W$9,MATCH(ROUNDUP((AA$1)/10,0)*10,[1]Hugst!$R$4:$W$4,0))))</f>
        <v>142.05064307944181</v>
      </c>
      <c r="AB56" s="168">
        <f ca="1">IF($C56-AB$1&lt;År1,0,AA55*(1-VLOOKUP($A56,[1]Hugst!$R$5:$W$9,MATCH(ROUNDUP((AB$1)/10,0)*10,[1]Hugst!$R$4:$W$4,0))))</f>
        <v>142.20888539194115</v>
      </c>
      <c r="AC56" s="168">
        <f ca="1">IF($C56-AC$1&lt;År1,0,AB55*(1-VLOOKUP($A56,[1]Hugst!$R$5:$W$9,MATCH(ROUNDUP((AC$1)/10,0)*10,[1]Hugst!$R$4:$W$4,0))))</f>
        <v>142.36792289194113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(IF(B57="Vestdanmark",Skovbrug!$C$22-(Skovbrug!$C$22)*(1-Skovbrug!$C$9)^(C57-Skovbrug!$B$12),Skovbrug!$F$22-(Skovbrug!$F$22)*(1-Skovbrug!$C$9)^(C57-Skovbrug!$B$12)))*VLOOKUP(A57,Skovbrug!$A$13:$D$17,IF('Skovbrug-alder'!C57&lt;=År2,3,4),FALSE)
-IF(C57&gt;2020,SUM(INDEX($C$1:$D$311,MATCH(1,(2020=$C$1:$C$311)*(B57=$B$1:$B$311)*(A57=$A$1:$A$311),0),2):D56),0)</f>
        <v>28.202231535270357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89.010464125838155</v>
      </c>
      <c r="G57" s="168">
        <f ca="1">IF($C57-G$1&lt;År1,0,F56*(1-VLOOKUP($A57,[1]Hugst!$R$5:$W$9,MATCH(ROUNDUP((G$1)/10,0)*10,[1]Hugst!$R$4:$W$4,0))))</f>
        <v>89.152183882296242</v>
      </c>
      <c r="H57" s="168">
        <f ca="1">IF($C57-H$1&lt;År1,0,G56*(1-VLOOKUP($A57,[1]Hugst!$R$5:$W$9,MATCH(ROUNDUP((H$1)/10,0)*10,[1]Hugst!$R$4:$W$4,0))))</f>
        <v>89.294615798336679</v>
      </c>
      <c r="I57" s="168">
        <f ca="1">IF($C57-I$1&lt;År1,0,H56*(1-VLOOKUP($A57,[1]Hugst!$R$5:$W$9,MATCH(ROUNDUP((I$1)/10,0)*10,[1]Hugst!$R$4:$W$4,0))))</f>
        <v>89.437763452645584</v>
      </c>
      <c r="J57" s="168">
        <f ca="1">IF($C57-J$1&lt;År1,0,I56*(1-VLOOKUP($A57,[1]Hugst!$R$5:$W$9,MATCH(ROUNDUP((J$1)/10,0)*10,[1]Hugst!$R$4:$W$4,0))))</f>
        <v>89.581630441902291</v>
      </c>
      <c r="K57" s="168">
        <f ca="1">IF($C57-K$1&lt;År1,0,J56*(1-VLOOKUP($A57,[1]Hugst!$R$5:$W$9,MATCH(ROUNDUP((K$1)/10,0)*10,[1]Hugst!$R$4:$W$4,0))))</f>
        <v>89.726220380853931</v>
      </c>
      <c r="L57" s="168">
        <f ca="1">IF($C57-L$1&lt;År1,0,K56*(1-VLOOKUP($A57,[1]Hugst!$R$5:$W$9,MATCH(ROUNDUP((L$1)/10,0)*10,[1]Hugst!$R$4:$W$4,0))))</f>
        <v>89.871536902413879</v>
      </c>
      <c r="M57" s="168">
        <f ca="1">IF($C57-M$1&lt;År1,0,L56*(1-VLOOKUP($A57,[1]Hugst!$R$5:$W$9,MATCH(ROUNDUP((M$1)/10,0)*10,[1]Hugst!$R$4:$W$4,0))))</f>
        <v>90.017583657749526</v>
      </c>
      <c r="N57" s="168">
        <f ca="1">IF($C57-N$1&lt;År1,0,M56*(1-VLOOKUP($A57,[1]Hugst!$R$5:$W$9,MATCH(ROUNDUP((N$1)/10,0)*10,[1]Hugst!$R$4:$W$4,0))))</f>
        <v>90.164364316377771</v>
      </c>
      <c r="O57" s="168">
        <f ca="1">IF($C57-O$1&lt;År1,0,N56*(1-VLOOKUP($A57,[1]Hugst!$R$5:$W$9,MATCH(ROUNDUP((O$1)/10,0)*10,[1]Hugst!$R$4:$W$4,0))))</f>
        <v>90.311882566257566</v>
      </c>
      <c r="P57" s="168">
        <f ca="1">IF($C57-P$1&lt;År1,0,O56*(1-VLOOKUP($A57,[1]Hugst!$R$5:$W$9,MATCH(ROUNDUP((P$1)/10,0)*10,[1]Hugst!$R$4:$W$4,0))))</f>
        <v>90.460142113873019</v>
      </c>
      <c r="Q57" s="168">
        <f ca="1">IF($C57-Q$1&lt;År1,0,P56*(1-VLOOKUP($A57,[1]Hugst!$R$5:$W$9,MATCH(ROUNDUP((Q$1)/10,0)*10,[1]Hugst!$R$4:$W$4,0))))</f>
        <v>90.609146684342022</v>
      </c>
      <c r="R57" s="168">
        <f ca="1">IF($C57-R$1&lt;År1,0,Q56*(1-VLOOKUP($A57,[1]Hugst!$R$5:$W$9,MATCH(ROUNDUP((R$1)/10,0)*10,[1]Hugst!$R$4:$W$4,0))))</f>
        <v>90.7589000214968</v>
      </c>
      <c r="S57" s="168">
        <f ca="1">IF($C57-S$1&lt;År1,0,R56*(1-VLOOKUP($A57,[1]Hugst!$R$5:$W$9,MATCH(ROUNDUP((S$1)/10,0)*10,[1]Hugst!$R$4:$W$4,0))))</f>
        <v>90.909405887983326</v>
      </c>
      <c r="T57" s="168">
        <f ca="1">IF($C57-T$1&lt;År1,0,S56*(1-VLOOKUP($A57,[1]Hugst!$R$5:$W$9,MATCH(ROUNDUP((T$1)/10,0)*10,[1]Hugst!$R$4:$W$4,0))))</f>
        <v>140.8128583667318</v>
      </c>
      <c r="U57" s="168">
        <f ca="1">IF($C57-U$1&lt;År1,0,T56*(1-VLOOKUP($A57,[1]Hugst!$R$5:$W$9,MATCH(ROUNDUP((U$1)/10,0)*10,[1]Hugst!$R$4:$W$4,0))))</f>
        <v>140.96488065554865</v>
      </c>
      <c r="V57" s="168">
        <f ca="1">IF($C57-V$1&lt;År1,0,U56*(1-VLOOKUP($A57,[1]Hugst!$R$5:$W$9,MATCH(ROUNDUP((V$1)/10,0)*10,[1]Hugst!$R$4:$W$4,0))))</f>
        <v>141.11766687546753</v>
      </c>
      <c r="W57" s="168">
        <f ca="1">IF($C57-W$1&lt;År1,0,V56*(1-VLOOKUP($A57,[1]Hugst!$R$5:$W$9,MATCH(ROUNDUP((W$1)/10,0)*10,[1]Hugst!$R$4:$W$4,0))))</f>
        <v>141.27122086533404</v>
      </c>
      <c r="X57" s="168">
        <f ca="1">IF($C57-X$1&lt;År1,0,W56*(1-VLOOKUP($A57,[1]Hugst!$R$5:$W$9,MATCH(ROUNDUP((X$1)/10,0)*10,[1]Hugst!$R$4:$W$4,0))))</f>
        <v>141.42554648329155</v>
      </c>
      <c r="Y57" s="168">
        <f ca="1">IF($C57-Y$1&lt;År1,0,X56*(1-VLOOKUP($A57,[1]Hugst!$R$5:$W$9,MATCH(ROUNDUP((Y$1)/10,0)*10,[1]Hugst!$R$4:$W$4,0))))</f>
        <v>141.58064760686528</v>
      </c>
      <c r="Z57" s="168">
        <f ca="1">IF($C57-Z$1&lt;År1,0,Y56*(1-VLOOKUP($A57,[1]Hugst!$R$5:$W$9,MATCH(ROUNDUP((Z$1)/10,0)*10,[1]Hugst!$R$4:$W$4,0))))</f>
        <v>141.73652813307041</v>
      </c>
      <c r="AA57" s="168">
        <f ca="1">IF($C57-AA$1&lt;År1,0,Z56*(1-VLOOKUP($A57,[1]Hugst!$R$5:$W$9,MATCH(ROUNDUP((AA$1)/10,0)*10,[1]Hugst!$R$4:$W$4,0))))</f>
        <v>141.89319197850403</v>
      </c>
      <c r="AB57" s="168">
        <f ca="1">IF($C57-AB$1&lt;År1,0,AA56*(1-VLOOKUP($A57,[1]Hugst!$R$5:$W$9,MATCH(ROUNDUP((AB$1)/10,0)*10,[1]Hugst!$R$4:$W$4,0))))</f>
        <v>142.05064307944181</v>
      </c>
      <c r="AC57" s="168">
        <f ca="1">IF($C57-AC$1&lt;År1,0,AB56*(1-VLOOKUP($A57,[1]Hugst!$R$5:$W$9,MATCH(ROUNDUP((AC$1)/10,0)*10,[1]Hugst!$R$4:$W$4,0))))</f>
        <v>142.20888539194115</v>
      </c>
      <c r="AD57" s="168">
        <f ca="1">IF($C57-AD$1&lt;År1,0,AC56*(1-VLOOKUP($A57,[1]Hugst!$R$5:$W$9,MATCH(ROUNDUP((AD$1)/10,0)*10,[1]Hugst!$R$4:$W$4,0))))</f>
        <v>142.36792289194113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(IF(B58="Vestdanmark",Skovbrug!$C$22-(Skovbrug!$C$22)*(1-Skovbrug!$C$9)^(C58-Skovbrug!$B$12),Skovbrug!$F$22-(Skovbrug!$F$22)*(1-Skovbrug!$C$9)^(C58-Skovbrug!$B$12)))*VLOOKUP(A58,Skovbrug!$A$13:$D$17,IF('Skovbrug-alder'!C58&lt;=År2,3,4),FALSE)
-IF(C58&gt;2020,SUM(INDEX($C$1:$D$311,MATCH(1,(2020=$C$1:$C$311)*(B58=$B$1:$B$311)*(A58=$A$1:$A$311),0),2):D57),0)</f>
        <v>28.061220377593372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88.86945296816117</v>
      </c>
      <c r="G58" s="168">
        <f ca="1">IF($C58-G$1&lt;År1,0,F57*(1-VLOOKUP($A58,[1]Hugst!$R$5:$W$9,MATCH(ROUNDUP((G$1)/10,0)*10,[1]Hugst!$R$4:$W$4,0))))</f>
        <v>89.010464125838155</v>
      </c>
      <c r="H58" s="168">
        <f ca="1">IF($C58-H$1&lt;År1,0,G57*(1-VLOOKUP($A58,[1]Hugst!$R$5:$W$9,MATCH(ROUNDUP((H$1)/10,0)*10,[1]Hugst!$R$4:$W$4,0))))</f>
        <v>89.152183882296242</v>
      </c>
      <c r="I58" s="168">
        <f ca="1">IF($C58-I$1&lt;År1,0,H57*(1-VLOOKUP($A58,[1]Hugst!$R$5:$W$9,MATCH(ROUNDUP((I$1)/10,0)*10,[1]Hugst!$R$4:$W$4,0))))</f>
        <v>89.294615798336679</v>
      </c>
      <c r="J58" s="168">
        <f ca="1">IF($C58-J$1&lt;År1,0,I57*(1-VLOOKUP($A58,[1]Hugst!$R$5:$W$9,MATCH(ROUNDUP((J$1)/10,0)*10,[1]Hugst!$R$4:$W$4,0))))</f>
        <v>89.437763452645584</v>
      </c>
      <c r="K58" s="168">
        <f ca="1">IF($C58-K$1&lt;År1,0,J57*(1-VLOOKUP($A58,[1]Hugst!$R$5:$W$9,MATCH(ROUNDUP((K$1)/10,0)*10,[1]Hugst!$R$4:$W$4,0))))</f>
        <v>89.581630441902291</v>
      </c>
      <c r="L58" s="168">
        <f ca="1">IF($C58-L$1&lt;År1,0,K57*(1-VLOOKUP($A58,[1]Hugst!$R$5:$W$9,MATCH(ROUNDUP((L$1)/10,0)*10,[1]Hugst!$R$4:$W$4,0))))</f>
        <v>89.726220380853931</v>
      </c>
      <c r="M58" s="168">
        <f ca="1">IF($C58-M$1&lt;År1,0,L57*(1-VLOOKUP($A58,[1]Hugst!$R$5:$W$9,MATCH(ROUNDUP((M$1)/10,0)*10,[1]Hugst!$R$4:$W$4,0))))</f>
        <v>89.871536902413879</v>
      </c>
      <c r="N58" s="168">
        <f ca="1">IF($C58-N$1&lt;År1,0,M57*(1-VLOOKUP($A58,[1]Hugst!$R$5:$W$9,MATCH(ROUNDUP((N$1)/10,0)*10,[1]Hugst!$R$4:$W$4,0))))</f>
        <v>90.017583657749526</v>
      </c>
      <c r="O58" s="168">
        <f ca="1">IF($C58-O$1&lt;År1,0,N57*(1-VLOOKUP($A58,[1]Hugst!$R$5:$W$9,MATCH(ROUNDUP((O$1)/10,0)*10,[1]Hugst!$R$4:$W$4,0))))</f>
        <v>90.164364316377771</v>
      </c>
      <c r="P58" s="168">
        <f ca="1">IF($C58-P$1&lt;År1,0,O57*(1-VLOOKUP($A58,[1]Hugst!$R$5:$W$9,MATCH(ROUNDUP((P$1)/10,0)*10,[1]Hugst!$R$4:$W$4,0))))</f>
        <v>90.311882566257566</v>
      </c>
      <c r="Q58" s="168">
        <f ca="1">IF($C58-Q$1&lt;År1,0,P57*(1-VLOOKUP($A58,[1]Hugst!$R$5:$W$9,MATCH(ROUNDUP((Q$1)/10,0)*10,[1]Hugst!$R$4:$W$4,0))))</f>
        <v>90.460142113873019</v>
      </c>
      <c r="R58" s="168">
        <f ca="1">IF($C58-R$1&lt;År1,0,Q57*(1-VLOOKUP($A58,[1]Hugst!$R$5:$W$9,MATCH(ROUNDUP((R$1)/10,0)*10,[1]Hugst!$R$4:$W$4,0))))</f>
        <v>90.609146684342022</v>
      </c>
      <c r="S58" s="168">
        <f ca="1">IF($C58-S$1&lt;År1,0,R57*(1-VLOOKUP($A58,[1]Hugst!$R$5:$W$9,MATCH(ROUNDUP((S$1)/10,0)*10,[1]Hugst!$R$4:$W$4,0))))</f>
        <v>90.7589000214968</v>
      </c>
      <c r="T58" s="168">
        <f ca="1">IF($C58-T$1&lt;År1,0,S57*(1-VLOOKUP($A58,[1]Hugst!$R$5:$W$9,MATCH(ROUNDUP((T$1)/10,0)*10,[1]Hugst!$R$4:$W$4,0))))</f>
        <v>90.909405887983326</v>
      </c>
      <c r="U58" s="168">
        <f ca="1">IF($C58-U$1&lt;År1,0,T57*(1-VLOOKUP($A58,[1]Hugst!$R$5:$W$9,MATCH(ROUNDUP((U$1)/10,0)*10,[1]Hugst!$R$4:$W$4,0))))</f>
        <v>140.8128583667318</v>
      </c>
      <c r="V58" s="168">
        <f ca="1">IF($C58-V$1&lt;År1,0,U57*(1-VLOOKUP($A58,[1]Hugst!$R$5:$W$9,MATCH(ROUNDUP((V$1)/10,0)*10,[1]Hugst!$R$4:$W$4,0))))</f>
        <v>140.96488065554865</v>
      </c>
      <c r="W58" s="168">
        <f ca="1">IF($C58-W$1&lt;År1,0,V57*(1-VLOOKUP($A58,[1]Hugst!$R$5:$W$9,MATCH(ROUNDUP((W$1)/10,0)*10,[1]Hugst!$R$4:$W$4,0))))</f>
        <v>141.11766687546753</v>
      </c>
      <c r="X58" s="168">
        <f ca="1">IF($C58-X$1&lt;År1,0,W57*(1-VLOOKUP($A58,[1]Hugst!$R$5:$W$9,MATCH(ROUNDUP((X$1)/10,0)*10,[1]Hugst!$R$4:$W$4,0))))</f>
        <v>141.27122086533404</v>
      </c>
      <c r="Y58" s="168">
        <f ca="1">IF($C58-Y$1&lt;År1,0,X57*(1-VLOOKUP($A58,[1]Hugst!$R$5:$W$9,MATCH(ROUNDUP((Y$1)/10,0)*10,[1]Hugst!$R$4:$W$4,0))))</f>
        <v>141.42554648329155</v>
      </c>
      <c r="Z58" s="168">
        <f ca="1">IF($C58-Z$1&lt;År1,0,Y57*(1-VLOOKUP($A58,[1]Hugst!$R$5:$W$9,MATCH(ROUNDUP((Z$1)/10,0)*10,[1]Hugst!$R$4:$W$4,0))))</f>
        <v>141.58064760686528</v>
      </c>
      <c r="AA58" s="168">
        <f ca="1">IF($C58-AA$1&lt;År1,0,Z57*(1-VLOOKUP($A58,[1]Hugst!$R$5:$W$9,MATCH(ROUNDUP((AA$1)/10,0)*10,[1]Hugst!$R$4:$W$4,0))))</f>
        <v>141.73652813307041</v>
      </c>
      <c r="AB58" s="168">
        <f ca="1">IF($C58-AB$1&lt;År1,0,AA57*(1-VLOOKUP($A58,[1]Hugst!$R$5:$W$9,MATCH(ROUNDUP((AB$1)/10,0)*10,[1]Hugst!$R$4:$W$4,0))))</f>
        <v>141.89319197850403</v>
      </c>
      <c r="AC58" s="168">
        <f ca="1">IF($C58-AC$1&lt;År1,0,AB57*(1-VLOOKUP($A58,[1]Hugst!$R$5:$W$9,MATCH(ROUNDUP((AC$1)/10,0)*10,[1]Hugst!$R$4:$W$4,0))))</f>
        <v>142.05064307944181</v>
      </c>
      <c r="AD58" s="168">
        <f ca="1">IF($C58-AD$1&lt;År1,0,AC57*(1-VLOOKUP($A58,[1]Hugst!$R$5:$W$9,MATCH(ROUNDUP((AD$1)/10,0)*10,[1]Hugst!$R$4:$W$4,0))))</f>
        <v>142.20888539194115</v>
      </c>
      <c r="AE58" s="168">
        <f ca="1">IF($C58-AE$1&lt;År1,0,AD57*(1-VLOOKUP($A58,[1]Hugst!$R$5:$W$9,MATCH(ROUNDUP((AE$1)/10,0)*10,[1]Hugst!$R$4:$W$4,0))))</f>
        <v>142.36792289194113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(IF(B59="Vestdanmark",Skovbrug!$C$22-(Skovbrug!$C$22)*(1-Skovbrug!$C$9)^(C59-Skovbrug!$B$12),Skovbrug!$F$22-(Skovbrug!$F$22)*(1-Skovbrug!$C$9)^(C59-Skovbrug!$B$12)))*VLOOKUP(A59,Skovbrug!$A$13:$D$17,IF('Skovbrug-alder'!C59&lt;=År2,3,4),FALSE)
-IF(C59&gt;2020,SUM(INDEX($C$1:$D$311,MATCH(1,(2020=$C$1:$C$311)*(B59=$B$1:$B$311)*(A59=$A$1:$A$311),0),2):D58),0)</f>
        <v>27.920914275707105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88.729146866274903</v>
      </c>
      <c r="G59" s="168">
        <f ca="1">IF($C59-G$1&lt;År1,0,F58*(1-VLOOKUP($A59,[1]Hugst!$R$5:$W$9,MATCH(ROUNDUP((G$1)/10,0)*10,[1]Hugst!$R$4:$W$4,0))))</f>
        <v>88.86945296816117</v>
      </c>
      <c r="H59" s="168">
        <f ca="1">IF($C59-H$1&lt;År1,0,G58*(1-VLOOKUP($A59,[1]Hugst!$R$5:$W$9,MATCH(ROUNDUP((H$1)/10,0)*10,[1]Hugst!$R$4:$W$4,0))))</f>
        <v>89.010464125838155</v>
      </c>
      <c r="I59" s="168">
        <f ca="1">IF($C59-I$1&lt;År1,0,H58*(1-VLOOKUP($A59,[1]Hugst!$R$5:$W$9,MATCH(ROUNDUP((I$1)/10,0)*10,[1]Hugst!$R$4:$W$4,0))))</f>
        <v>89.152183882296242</v>
      </c>
      <c r="J59" s="168">
        <f ca="1">IF($C59-J$1&lt;År1,0,I58*(1-VLOOKUP($A59,[1]Hugst!$R$5:$W$9,MATCH(ROUNDUP((J$1)/10,0)*10,[1]Hugst!$R$4:$W$4,0))))</f>
        <v>89.294615798336679</v>
      </c>
      <c r="K59" s="168">
        <f ca="1">IF($C59-K$1&lt;År1,0,J58*(1-VLOOKUP($A59,[1]Hugst!$R$5:$W$9,MATCH(ROUNDUP((K$1)/10,0)*10,[1]Hugst!$R$4:$W$4,0))))</f>
        <v>89.437763452645584</v>
      </c>
      <c r="L59" s="168">
        <f ca="1">IF($C59-L$1&lt;År1,0,K58*(1-VLOOKUP($A59,[1]Hugst!$R$5:$W$9,MATCH(ROUNDUP((L$1)/10,0)*10,[1]Hugst!$R$4:$W$4,0))))</f>
        <v>89.581630441902291</v>
      </c>
      <c r="M59" s="168">
        <f ca="1">IF($C59-M$1&lt;År1,0,L58*(1-VLOOKUP($A59,[1]Hugst!$R$5:$W$9,MATCH(ROUNDUP((M$1)/10,0)*10,[1]Hugst!$R$4:$W$4,0))))</f>
        <v>89.726220380853931</v>
      </c>
      <c r="N59" s="168">
        <f ca="1">IF($C59-N$1&lt;År1,0,M58*(1-VLOOKUP($A59,[1]Hugst!$R$5:$W$9,MATCH(ROUNDUP((N$1)/10,0)*10,[1]Hugst!$R$4:$W$4,0))))</f>
        <v>89.871536902413879</v>
      </c>
      <c r="O59" s="168">
        <f ca="1">IF($C59-O$1&lt;År1,0,N58*(1-VLOOKUP($A59,[1]Hugst!$R$5:$W$9,MATCH(ROUNDUP((O$1)/10,0)*10,[1]Hugst!$R$4:$W$4,0))))</f>
        <v>90.017583657749526</v>
      </c>
      <c r="P59" s="168">
        <f ca="1">IF($C59-P$1&lt;År1,0,O58*(1-VLOOKUP($A59,[1]Hugst!$R$5:$W$9,MATCH(ROUNDUP((P$1)/10,0)*10,[1]Hugst!$R$4:$W$4,0))))</f>
        <v>90.164364316377771</v>
      </c>
      <c r="Q59" s="168">
        <f ca="1">IF($C59-Q$1&lt;År1,0,P58*(1-VLOOKUP($A59,[1]Hugst!$R$5:$W$9,MATCH(ROUNDUP((Q$1)/10,0)*10,[1]Hugst!$R$4:$W$4,0))))</f>
        <v>90.311882566257566</v>
      </c>
      <c r="R59" s="168">
        <f ca="1">IF($C59-R$1&lt;År1,0,Q58*(1-VLOOKUP($A59,[1]Hugst!$R$5:$W$9,MATCH(ROUNDUP((R$1)/10,0)*10,[1]Hugst!$R$4:$W$4,0))))</f>
        <v>90.460142113873019</v>
      </c>
      <c r="S59" s="168">
        <f ca="1">IF($C59-S$1&lt;År1,0,R58*(1-VLOOKUP($A59,[1]Hugst!$R$5:$W$9,MATCH(ROUNDUP((S$1)/10,0)*10,[1]Hugst!$R$4:$W$4,0))))</f>
        <v>90.609146684342022</v>
      </c>
      <c r="T59" s="168">
        <f ca="1">IF($C59-T$1&lt;År1,0,S58*(1-VLOOKUP($A59,[1]Hugst!$R$5:$W$9,MATCH(ROUNDUP((T$1)/10,0)*10,[1]Hugst!$R$4:$W$4,0))))</f>
        <v>90.7589000214968</v>
      </c>
      <c r="U59" s="168">
        <f ca="1">IF($C59-U$1&lt;År1,0,T58*(1-VLOOKUP($A59,[1]Hugst!$R$5:$W$9,MATCH(ROUNDUP((U$1)/10,0)*10,[1]Hugst!$R$4:$W$4,0))))</f>
        <v>90.909405887983326</v>
      </c>
      <c r="V59" s="168">
        <f ca="1">IF($C59-V$1&lt;År1,0,U58*(1-VLOOKUP($A59,[1]Hugst!$R$5:$W$9,MATCH(ROUNDUP((V$1)/10,0)*10,[1]Hugst!$R$4:$W$4,0))))</f>
        <v>140.8128583667318</v>
      </c>
      <c r="W59" s="168">
        <f ca="1">IF($C59-W$1&lt;År1,0,V58*(1-VLOOKUP($A59,[1]Hugst!$R$5:$W$9,MATCH(ROUNDUP((W$1)/10,0)*10,[1]Hugst!$R$4:$W$4,0))))</f>
        <v>140.96488065554865</v>
      </c>
      <c r="X59" s="168">
        <f ca="1">IF($C59-X$1&lt;År1,0,W58*(1-VLOOKUP($A59,[1]Hugst!$R$5:$W$9,MATCH(ROUNDUP((X$1)/10,0)*10,[1]Hugst!$R$4:$W$4,0))))</f>
        <v>141.11766687546753</v>
      </c>
      <c r="Y59" s="168">
        <f ca="1">IF($C59-Y$1&lt;År1,0,X58*(1-VLOOKUP($A59,[1]Hugst!$R$5:$W$9,MATCH(ROUNDUP((Y$1)/10,0)*10,[1]Hugst!$R$4:$W$4,0))))</f>
        <v>141.27122086533404</v>
      </c>
      <c r="Z59" s="168">
        <f ca="1">IF($C59-Z$1&lt;År1,0,Y58*(1-VLOOKUP($A59,[1]Hugst!$R$5:$W$9,MATCH(ROUNDUP((Z$1)/10,0)*10,[1]Hugst!$R$4:$W$4,0))))</f>
        <v>141.42554648329155</v>
      </c>
      <c r="AA59" s="168">
        <f ca="1">IF($C59-AA$1&lt;År1,0,Z58*(1-VLOOKUP($A59,[1]Hugst!$R$5:$W$9,MATCH(ROUNDUP((AA$1)/10,0)*10,[1]Hugst!$R$4:$W$4,0))))</f>
        <v>141.58064760686528</v>
      </c>
      <c r="AB59" s="168">
        <f ca="1">IF($C59-AB$1&lt;År1,0,AA58*(1-VLOOKUP($A59,[1]Hugst!$R$5:$W$9,MATCH(ROUNDUP((AB$1)/10,0)*10,[1]Hugst!$R$4:$W$4,0))))</f>
        <v>141.73652813307041</v>
      </c>
      <c r="AC59" s="168">
        <f ca="1">IF($C59-AC$1&lt;År1,0,AB58*(1-VLOOKUP($A59,[1]Hugst!$R$5:$W$9,MATCH(ROUNDUP((AC$1)/10,0)*10,[1]Hugst!$R$4:$W$4,0))))</f>
        <v>141.89319197850403</v>
      </c>
      <c r="AD59" s="168">
        <f ca="1">IF($C59-AD$1&lt;År1,0,AC58*(1-VLOOKUP($A59,[1]Hugst!$R$5:$W$9,MATCH(ROUNDUP((AD$1)/10,0)*10,[1]Hugst!$R$4:$W$4,0))))</f>
        <v>142.05064307944181</v>
      </c>
      <c r="AE59" s="168">
        <f ca="1">IF($C59-AE$1&lt;År1,0,AD58*(1-VLOOKUP($A59,[1]Hugst!$R$5:$W$9,MATCH(ROUNDUP((AE$1)/10,0)*10,[1]Hugst!$R$4:$W$4,0))))</f>
        <v>142.20888539194115</v>
      </c>
      <c r="AF59" s="168">
        <f ca="1">IF($C59-AF$1&lt;År1,0,AE58*(1-VLOOKUP($A59,[1]Hugst!$R$5:$W$9,MATCH(ROUNDUP((AF$1)/10,0)*10,[1]Hugst!$R$4:$W$4,0))))</f>
        <v>142.36792289194113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(IF(B60="Vestdanmark",Skovbrug!$C$22-(Skovbrug!$C$22)*(1-Skovbrug!$C$9)^(C60-Skovbrug!$B$12),Skovbrug!$F$22-(Skovbrug!$F$22)*(1-Skovbrug!$C$9)^(C60-Skovbrug!$B$12)))*VLOOKUP(A60,Skovbrug!$A$13:$D$17,IF('Skovbrug-alder'!C60&lt;=År2,3,4),FALSE)
-IF(C60&gt;2020,SUM(INDEX($C$1:$D$311,MATCH(1,(2020=$C$1:$C$311)*(B60=$B$1:$B$311)*(A60=$A$1:$A$311),0),2):D59),0)</f>
        <v>27.781309704326077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88.589542294893874</v>
      </c>
      <c r="G60" s="168">
        <f ca="1">IF($C60-G$1&lt;År1,0,F59*(1-VLOOKUP($A60,[1]Hugst!$R$5:$W$9,MATCH(ROUNDUP((G$1)/10,0)*10,[1]Hugst!$R$4:$W$4,0))))</f>
        <v>88.729146866274903</v>
      </c>
      <c r="H60" s="168">
        <f ca="1">IF($C60-H$1&lt;År1,0,G59*(1-VLOOKUP($A60,[1]Hugst!$R$5:$W$9,MATCH(ROUNDUP((H$1)/10,0)*10,[1]Hugst!$R$4:$W$4,0))))</f>
        <v>88.86945296816117</v>
      </c>
      <c r="I60" s="168">
        <f ca="1">IF($C60-I$1&lt;År1,0,H59*(1-VLOOKUP($A60,[1]Hugst!$R$5:$W$9,MATCH(ROUNDUP((I$1)/10,0)*10,[1]Hugst!$R$4:$W$4,0))))</f>
        <v>89.010464125838155</v>
      </c>
      <c r="J60" s="168">
        <f ca="1">IF($C60-J$1&lt;År1,0,I59*(1-VLOOKUP($A60,[1]Hugst!$R$5:$W$9,MATCH(ROUNDUP((J$1)/10,0)*10,[1]Hugst!$R$4:$W$4,0))))</f>
        <v>89.152183882296242</v>
      </c>
      <c r="K60" s="168">
        <f ca="1">IF($C60-K$1&lt;År1,0,J59*(1-VLOOKUP($A60,[1]Hugst!$R$5:$W$9,MATCH(ROUNDUP((K$1)/10,0)*10,[1]Hugst!$R$4:$W$4,0))))</f>
        <v>89.294615798336679</v>
      </c>
      <c r="L60" s="168">
        <f ca="1">IF($C60-L$1&lt;År1,0,K59*(1-VLOOKUP($A60,[1]Hugst!$R$5:$W$9,MATCH(ROUNDUP((L$1)/10,0)*10,[1]Hugst!$R$4:$W$4,0))))</f>
        <v>89.437763452645584</v>
      </c>
      <c r="M60" s="168">
        <f ca="1">IF($C60-M$1&lt;År1,0,L59*(1-VLOOKUP($A60,[1]Hugst!$R$5:$W$9,MATCH(ROUNDUP((M$1)/10,0)*10,[1]Hugst!$R$4:$W$4,0))))</f>
        <v>89.581630441902291</v>
      </c>
      <c r="N60" s="168">
        <f ca="1">IF($C60-N$1&lt;År1,0,M59*(1-VLOOKUP($A60,[1]Hugst!$R$5:$W$9,MATCH(ROUNDUP((N$1)/10,0)*10,[1]Hugst!$R$4:$W$4,0))))</f>
        <v>89.726220380853931</v>
      </c>
      <c r="O60" s="168">
        <f ca="1">IF($C60-O$1&lt;År1,0,N59*(1-VLOOKUP($A60,[1]Hugst!$R$5:$W$9,MATCH(ROUNDUP((O$1)/10,0)*10,[1]Hugst!$R$4:$W$4,0))))</f>
        <v>89.871536902413879</v>
      </c>
      <c r="P60" s="168">
        <f ca="1">IF($C60-P$1&lt;År1,0,O59*(1-VLOOKUP($A60,[1]Hugst!$R$5:$W$9,MATCH(ROUNDUP((P$1)/10,0)*10,[1]Hugst!$R$4:$W$4,0))))</f>
        <v>90.017583657749526</v>
      </c>
      <c r="Q60" s="168">
        <f ca="1">IF($C60-Q$1&lt;År1,0,P59*(1-VLOOKUP($A60,[1]Hugst!$R$5:$W$9,MATCH(ROUNDUP((Q$1)/10,0)*10,[1]Hugst!$R$4:$W$4,0))))</f>
        <v>90.164364316377771</v>
      </c>
      <c r="R60" s="168">
        <f ca="1">IF($C60-R$1&lt;År1,0,Q59*(1-VLOOKUP($A60,[1]Hugst!$R$5:$W$9,MATCH(ROUNDUP((R$1)/10,0)*10,[1]Hugst!$R$4:$W$4,0))))</f>
        <v>90.311882566257566</v>
      </c>
      <c r="S60" s="168">
        <f ca="1">IF($C60-S$1&lt;År1,0,R59*(1-VLOOKUP($A60,[1]Hugst!$R$5:$W$9,MATCH(ROUNDUP((S$1)/10,0)*10,[1]Hugst!$R$4:$W$4,0))))</f>
        <v>90.460142113873019</v>
      </c>
      <c r="T60" s="168">
        <f ca="1">IF($C60-T$1&lt;År1,0,S59*(1-VLOOKUP($A60,[1]Hugst!$R$5:$W$9,MATCH(ROUNDUP((T$1)/10,0)*10,[1]Hugst!$R$4:$W$4,0))))</f>
        <v>90.609146684342022</v>
      </c>
      <c r="U60" s="168">
        <f ca="1">IF($C60-U$1&lt;År1,0,T59*(1-VLOOKUP($A60,[1]Hugst!$R$5:$W$9,MATCH(ROUNDUP((U$1)/10,0)*10,[1]Hugst!$R$4:$W$4,0))))</f>
        <v>90.7589000214968</v>
      </c>
      <c r="V60" s="168">
        <f ca="1">IF($C60-V$1&lt;År1,0,U59*(1-VLOOKUP($A60,[1]Hugst!$R$5:$W$9,MATCH(ROUNDUP((V$1)/10,0)*10,[1]Hugst!$R$4:$W$4,0))))</f>
        <v>90.909405887983326</v>
      </c>
      <c r="W60" s="168">
        <f ca="1">IF($C60-W$1&lt;År1,0,V59*(1-VLOOKUP($A60,[1]Hugst!$R$5:$W$9,MATCH(ROUNDUP((W$1)/10,0)*10,[1]Hugst!$R$4:$W$4,0))))</f>
        <v>140.8128583667318</v>
      </c>
      <c r="X60" s="168">
        <f ca="1">IF($C60-X$1&lt;År1,0,W59*(1-VLOOKUP($A60,[1]Hugst!$R$5:$W$9,MATCH(ROUNDUP((X$1)/10,0)*10,[1]Hugst!$R$4:$W$4,0))))</f>
        <v>140.96488065554865</v>
      </c>
      <c r="Y60" s="168">
        <f ca="1">IF($C60-Y$1&lt;År1,0,X59*(1-VLOOKUP($A60,[1]Hugst!$R$5:$W$9,MATCH(ROUNDUP((Y$1)/10,0)*10,[1]Hugst!$R$4:$W$4,0))))</f>
        <v>141.11766687546753</v>
      </c>
      <c r="Z60" s="168">
        <f ca="1">IF($C60-Z$1&lt;År1,0,Y59*(1-VLOOKUP($A60,[1]Hugst!$R$5:$W$9,MATCH(ROUNDUP((Z$1)/10,0)*10,[1]Hugst!$R$4:$W$4,0))))</f>
        <v>141.27122086533404</v>
      </c>
      <c r="AA60" s="168">
        <f ca="1">IF($C60-AA$1&lt;År1,0,Z59*(1-VLOOKUP($A60,[1]Hugst!$R$5:$W$9,MATCH(ROUNDUP((AA$1)/10,0)*10,[1]Hugst!$R$4:$W$4,0))))</f>
        <v>141.42554648329155</v>
      </c>
      <c r="AB60" s="168">
        <f ca="1">IF($C60-AB$1&lt;År1,0,AA59*(1-VLOOKUP($A60,[1]Hugst!$R$5:$W$9,MATCH(ROUNDUP((AB$1)/10,0)*10,[1]Hugst!$R$4:$W$4,0))))</f>
        <v>141.58064760686528</v>
      </c>
      <c r="AC60" s="168">
        <f ca="1">IF($C60-AC$1&lt;År1,0,AB59*(1-VLOOKUP($A60,[1]Hugst!$R$5:$W$9,MATCH(ROUNDUP((AC$1)/10,0)*10,[1]Hugst!$R$4:$W$4,0))))</f>
        <v>141.73652813307041</v>
      </c>
      <c r="AD60" s="168">
        <f ca="1">IF($C60-AD$1&lt;År1,0,AC59*(1-VLOOKUP($A60,[1]Hugst!$R$5:$W$9,MATCH(ROUNDUP((AD$1)/10,0)*10,[1]Hugst!$R$4:$W$4,0))))</f>
        <v>141.89319197850403</v>
      </c>
      <c r="AE60" s="168">
        <f ca="1">IF($C60-AE$1&lt;År1,0,AD59*(1-VLOOKUP($A60,[1]Hugst!$R$5:$W$9,MATCH(ROUNDUP((AE$1)/10,0)*10,[1]Hugst!$R$4:$W$4,0))))</f>
        <v>142.05064307944181</v>
      </c>
      <c r="AF60" s="168">
        <f ca="1">IF($C60-AF$1&lt;År1,0,AE59*(1-VLOOKUP($A60,[1]Hugst!$R$5:$W$9,MATCH(ROUNDUP((AF$1)/10,0)*10,[1]Hugst!$R$4:$W$4,0))))</f>
        <v>142.20888539194115</v>
      </c>
      <c r="AG60" s="168">
        <f ca="1">IF($C60-AG$1&lt;År1,0,AF59*(1-VLOOKUP($A60,[1]Hugst!$R$5:$W$9,MATCH(ROUNDUP((AG$1)/10,0)*10,[1]Hugst!$R$4:$W$4,0))))</f>
        <v>142.36792289194113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(IF(B61="Vestdanmark",Skovbrug!$C$22-(Skovbrug!$C$22)*(1-Skovbrug!$C$9)^(C61-Skovbrug!$B$12),Skovbrug!$F$22-(Skovbrug!$F$22)*(1-Skovbrug!$C$9)^(C61-Skovbrug!$B$12)))*VLOOKUP(A61,Skovbrug!$A$13:$D$17,IF('Skovbrug-alder'!C61&lt;=År2,3,4),FALSE)
-IF(C61&gt;2020,SUM(INDEX($C$1:$D$311,MATCH(1,(2020=$C$1:$C$311)*(B61=$B$1:$B$311)*(A61=$A$1:$A$311),0),2):D60),0)</f>
        <v>27.642403155805368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88.450635746373166</v>
      </c>
      <c r="G61" s="168">
        <f ca="1">IF($C61-G$1&lt;År1,0,F60*(1-VLOOKUP($A61,[1]Hugst!$R$5:$W$9,MATCH(ROUNDUP((G$1)/10,0)*10,[1]Hugst!$R$4:$W$4,0))))</f>
        <v>88.589542294893874</v>
      </c>
      <c r="H61" s="168">
        <f ca="1">IF($C61-H$1&lt;År1,0,G60*(1-VLOOKUP($A61,[1]Hugst!$R$5:$W$9,MATCH(ROUNDUP((H$1)/10,0)*10,[1]Hugst!$R$4:$W$4,0))))</f>
        <v>88.729146866274903</v>
      </c>
      <c r="I61" s="168">
        <f ca="1">IF($C61-I$1&lt;År1,0,H60*(1-VLOOKUP($A61,[1]Hugst!$R$5:$W$9,MATCH(ROUNDUP((I$1)/10,0)*10,[1]Hugst!$R$4:$W$4,0))))</f>
        <v>88.86945296816117</v>
      </c>
      <c r="J61" s="168">
        <f ca="1">IF($C61-J$1&lt;År1,0,I60*(1-VLOOKUP($A61,[1]Hugst!$R$5:$W$9,MATCH(ROUNDUP((J$1)/10,0)*10,[1]Hugst!$R$4:$W$4,0))))</f>
        <v>89.010464125838155</v>
      </c>
      <c r="K61" s="168">
        <f ca="1">IF($C61-K$1&lt;År1,0,J60*(1-VLOOKUP($A61,[1]Hugst!$R$5:$W$9,MATCH(ROUNDUP((K$1)/10,0)*10,[1]Hugst!$R$4:$W$4,0))))</f>
        <v>89.152183882296242</v>
      </c>
      <c r="L61" s="168">
        <f ca="1">IF($C61-L$1&lt;År1,0,K60*(1-VLOOKUP($A61,[1]Hugst!$R$5:$W$9,MATCH(ROUNDUP((L$1)/10,0)*10,[1]Hugst!$R$4:$W$4,0))))</f>
        <v>89.294615798336679</v>
      </c>
      <c r="M61" s="168">
        <f ca="1">IF($C61-M$1&lt;År1,0,L60*(1-VLOOKUP($A61,[1]Hugst!$R$5:$W$9,MATCH(ROUNDUP((M$1)/10,0)*10,[1]Hugst!$R$4:$W$4,0))))</f>
        <v>89.437763452645584</v>
      </c>
      <c r="N61" s="168">
        <f ca="1">IF($C61-N$1&lt;År1,0,M60*(1-VLOOKUP($A61,[1]Hugst!$R$5:$W$9,MATCH(ROUNDUP((N$1)/10,0)*10,[1]Hugst!$R$4:$W$4,0))))</f>
        <v>89.581630441902291</v>
      </c>
      <c r="O61" s="168">
        <f ca="1">IF($C61-O$1&lt;År1,0,N60*(1-VLOOKUP($A61,[1]Hugst!$R$5:$W$9,MATCH(ROUNDUP((O$1)/10,0)*10,[1]Hugst!$R$4:$W$4,0))))</f>
        <v>89.726220380853931</v>
      </c>
      <c r="P61" s="168">
        <f ca="1">IF($C61-P$1&lt;År1,0,O60*(1-VLOOKUP($A61,[1]Hugst!$R$5:$W$9,MATCH(ROUNDUP((P$1)/10,0)*10,[1]Hugst!$R$4:$W$4,0))))</f>
        <v>89.871536902413879</v>
      </c>
      <c r="Q61" s="168">
        <f ca="1">IF($C61-Q$1&lt;År1,0,P60*(1-VLOOKUP($A61,[1]Hugst!$R$5:$W$9,MATCH(ROUNDUP((Q$1)/10,0)*10,[1]Hugst!$R$4:$W$4,0))))</f>
        <v>90.017583657749526</v>
      </c>
      <c r="R61" s="168">
        <f ca="1">IF($C61-R$1&lt;År1,0,Q60*(1-VLOOKUP($A61,[1]Hugst!$R$5:$W$9,MATCH(ROUNDUP((R$1)/10,0)*10,[1]Hugst!$R$4:$W$4,0))))</f>
        <v>90.164364316377771</v>
      </c>
      <c r="S61" s="168">
        <f ca="1">IF($C61-S$1&lt;År1,0,R60*(1-VLOOKUP($A61,[1]Hugst!$R$5:$W$9,MATCH(ROUNDUP((S$1)/10,0)*10,[1]Hugst!$R$4:$W$4,0))))</f>
        <v>90.311882566257566</v>
      </c>
      <c r="T61" s="168">
        <f ca="1">IF($C61-T$1&lt;År1,0,S60*(1-VLOOKUP($A61,[1]Hugst!$R$5:$W$9,MATCH(ROUNDUP((T$1)/10,0)*10,[1]Hugst!$R$4:$W$4,0))))</f>
        <v>90.460142113873019</v>
      </c>
      <c r="U61" s="168">
        <f ca="1">IF($C61-U$1&lt;År1,0,T60*(1-VLOOKUP($A61,[1]Hugst!$R$5:$W$9,MATCH(ROUNDUP((U$1)/10,0)*10,[1]Hugst!$R$4:$W$4,0))))</f>
        <v>90.609146684342022</v>
      </c>
      <c r="V61" s="168">
        <f ca="1">IF($C61-V$1&lt;År1,0,U60*(1-VLOOKUP($A61,[1]Hugst!$R$5:$W$9,MATCH(ROUNDUP((V$1)/10,0)*10,[1]Hugst!$R$4:$W$4,0))))</f>
        <v>90.7589000214968</v>
      </c>
      <c r="W61" s="168">
        <f ca="1">IF($C61-W$1&lt;År1,0,V60*(1-VLOOKUP($A61,[1]Hugst!$R$5:$W$9,MATCH(ROUNDUP((W$1)/10,0)*10,[1]Hugst!$R$4:$W$4,0))))</f>
        <v>90.909405887983326</v>
      </c>
      <c r="X61" s="168">
        <f ca="1">IF($C61-X$1&lt;År1,0,W60*(1-VLOOKUP($A61,[1]Hugst!$R$5:$W$9,MATCH(ROUNDUP((X$1)/10,0)*10,[1]Hugst!$R$4:$W$4,0))))</f>
        <v>140.8128583667318</v>
      </c>
      <c r="Y61" s="168">
        <f ca="1">IF($C61-Y$1&lt;År1,0,X60*(1-VLOOKUP($A61,[1]Hugst!$R$5:$W$9,MATCH(ROUNDUP((Y$1)/10,0)*10,[1]Hugst!$R$4:$W$4,0))))</f>
        <v>140.96488065554865</v>
      </c>
      <c r="Z61" s="168">
        <f ca="1">IF($C61-Z$1&lt;År1,0,Y60*(1-VLOOKUP($A61,[1]Hugst!$R$5:$W$9,MATCH(ROUNDUP((Z$1)/10,0)*10,[1]Hugst!$R$4:$W$4,0))))</f>
        <v>141.11766687546753</v>
      </c>
      <c r="AA61" s="168">
        <f ca="1">IF($C61-AA$1&lt;År1,0,Z60*(1-VLOOKUP($A61,[1]Hugst!$R$5:$W$9,MATCH(ROUNDUP((AA$1)/10,0)*10,[1]Hugst!$R$4:$W$4,0))))</f>
        <v>141.27122086533404</v>
      </c>
      <c r="AB61" s="168">
        <f ca="1">IF($C61-AB$1&lt;År1,0,AA60*(1-VLOOKUP($A61,[1]Hugst!$R$5:$W$9,MATCH(ROUNDUP((AB$1)/10,0)*10,[1]Hugst!$R$4:$W$4,0))))</f>
        <v>141.42554648329155</v>
      </c>
      <c r="AC61" s="168">
        <f ca="1">IF($C61-AC$1&lt;År1,0,AB60*(1-VLOOKUP($A61,[1]Hugst!$R$5:$W$9,MATCH(ROUNDUP((AC$1)/10,0)*10,[1]Hugst!$R$4:$W$4,0))))</f>
        <v>141.58064760686528</v>
      </c>
      <c r="AD61" s="168">
        <f ca="1">IF($C61-AD$1&lt;År1,0,AC60*(1-VLOOKUP($A61,[1]Hugst!$R$5:$W$9,MATCH(ROUNDUP((AD$1)/10,0)*10,[1]Hugst!$R$4:$W$4,0))))</f>
        <v>141.73652813307041</v>
      </c>
      <c r="AE61" s="168">
        <f ca="1">IF($C61-AE$1&lt;År1,0,AD60*(1-VLOOKUP($A61,[1]Hugst!$R$5:$W$9,MATCH(ROUNDUP((AE$1)/10,0)*10,[1]Hugst!$R$4:$W$4,0))))</f>
        <v>141.89319197850403</v>
      </c>
      <c r="AF61" s="168">
        <f ca="1">IF($C61-AF$1&lt;År1,0,AE60*(1-VLOOKUP($A61,[1]Hugst!$R$5:$W$9,MATCH(ROUNDUP((AF$1)/10,0)*10,[1]Hugst!$R$4:$W$4,0))))</f>
        <v>142.05064307944181</v>
      </c>
      <c r="AG61" s="168">
        <f ca="1">IF($C61-AG$1&lt;År1,0,AF60*(1-VLOOKUP($A61,[1]Hugst!$R$5:$W$9,MATCH(ROUNDUP((AG$1)/10,0)*10,[1]Hugst!$R$4:$W$4,0))))</f>
        <v>142.20888539194115</v>
      </c>
      <c r="AH61" s="168">
        <f ca="1">IF($C61-AH$1&lt;År1,0,AG60*(1-VLOOKUP($A61,[1]Hugst!$R$5:$W$9,MATCH(ROUNDUP((AH$1)/10,0)*10,[1]Hugst!$R$4:$W$4,0))))</f>
        <v>142.36792289194113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(IF(B62="Vestdanmark",Skovbrug!$C$22-(Skovbrug!$C$22)*(1-Skovbrug!$C$9)^(C62-Skovbrug!$B$12),Skovbrug!$F$22-(Skovbrug!$F$22)*(1-Skovbrug!$C$9)^(C62-Skovbrug!$B$12)))*VLOOKUP(A62,Skovbrug!$A$13:$D$17,IF('Skovbrug-alder'!C62&lt;=År2,3,4),FALSE)
-IF(C62&gt;2020,SUM(INDEX($C$1:$D$311,MATCH(1,(2020=$C$1:$C$311)*(B62=$B$1:$B$311)*(A62=$A$1:$A$311),0),2):D61),0)</f>
        <v>27.504191140027274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88.312423730595071</v>
      </c>
      <c r="G62" s="168">
        <f ca="1">IF($C62-G$1&lt;År1,0,F61*(1-VLOOKUP($A62,[1]Hugst!$R$5:$W$9,MATCH(ROUNDUP((G$1)/10,0)*10,[1]Hugst!$R$4:$W$4,0))))</f>
        <v>88.450635746373166</v>
      </c>
      <c r="H62" s="168">
        <f ca="1">IF($C62-H$1&lt;År1,0,G61*(1-VLOOKUP($A62,[1]Hugst!$R$5:$W$9,MATCH(ROUNDUP((H$1)/10,0)*10,[1]Hugst!$R$4:$W$4,0))))</f>
        <v>88.589542294893874</v>
      </c>
      <c r="I62" s="168">
        <f ca="1">IF($C62-I$1&lt;År1,0,H61*(1-VLOOKUP($A62,[1]Hugst!$R$5:$W$9,MATCH(ROUNDUP((I$1)/10,0)*10,[1]Hugst!$R$4:$W$4,0))))</f>
        <v>88.729146866274903</v>
      </c>
      <c r="J62" s="168">
        <f ca="1">IF($C62-J$1&lt;År1,0,I61*(1-VLOOKUP($A62,[1]Hugst!$R$5:$W$9,MATCH(ROUNDUP((J$1)/10,0)*10,[1]Hugst!$R$4:$W$4,0))))</f>
        <v>88.86945296816117</v>
      </c>
      <c r="K62" s="168">
        <f ca="1">IF($C62-K$1&lt;År1,0,J61*(1-VLOOKUP($A62,[1]Hugst!$R$5:$W$9,MATCH(ROUNDUP((K$1)/10,0)*10,[1]Hugst!$R$4:$W$4,0))))</f>
        <v>89.010464125838155</v>
      </c>
      <c r="L62" s="168">
        <f ca="1">IF($C62-L$1&lt;År1,0,K61*(1-VLOOKUP($A62,[1]Hugst!$R$5:$W$9,MATCH(ROUNDUP((L$1)/10,0)*10,[1]Hugst!$R$4:$W$4,0))))</f>
        <v>89.152183882296242</v>
      </c>
      <c r="M62" s="168">
        <f ca="1">IF($C62-M$1&lt;År1,0,L61*(1-VLOOKUP($A62,[1]Hugst!$R$5:$W$9,MATCH(ROUNDUP((M$1)/10,0)*10,[1]Hugst!$R$4:$W$4,0))))</f>
        <v>89.294615798336679</v>
      </c>
      <c r="N62" s="168">
        <f ca="1">IF($C62-N$1&lt;År1,0,M61*(1-VLOOKUP($A62,[1]Hugst!$R$5:$W$9,MATCH(ROUNDUP((N$1)/10,0)*10,[1]Hugst!$R$4:$W$4,0))))</f>
        <v>89.437763452645584</v>
      </c>
      <c r="O62" s="168">
        <f ca="1">IF($C62-O$1&lt;År1,0,N61*(1-VLOOKUP($A62,[1]Hugst!$R$5:$W$9,MATCH(ROUNDUP((O$1)/10,0)*10,[1]Hugst!$R$4:$W$4,0))))</f>
        <v>89.581630441902291</v>
      </c>
      <c r="P62" s="168">
        <f ca="1">IF($C62-P$1&lt;År1,0,O61*(1-VLOOKUP($A62,[1]Hugst!$R$5:$W$9,MATCH(ROUNDUP((P$1)/10,0)*10,[1]Hugst!$R$4:$W$4,0))))</f>
        <v>89.726220380853931</v>
      </c>
      <c r="Q62" s="168">
        <f ca="1">IF($C62-Q$1&lt;År1,0,P61*(1-VLOOKUP($A62,[1]Hugst!$R$5:$W$9,MATCH(ROUNDUP((Q$1)/10,0)*10,[1]Hugst!$R$4:$W$4,0))))</f>
        <v>89.871536902413879</v>
      </c>
      <c r="R62" s="168">
        <f ca="1">IF($C62-R$1&lt;År1,0,Q61*(1-VLOOKUP($A62,[1]Hugst!$R$5:$W$9,MATCH(ROUNDUP((R$1)/10,0)*10,[1]Hugst!$R$4:$W$4,0))))</f>
        <v>90.017583657749526</v>
      </c>
      <c r="S62" s="168">
        <f ca="1">IF($C62-S$1&lt;År1,0,R61*(1-VLOOKUP($A62,[1]Hugst!$R$5:$W$9,MATCH(ROUNDUP((S$1)/10,0)*10,[1]Hugst!$R$4:$W$4,0))))</f>
        <v>90.164364316377771</v>
      </c>
      <c r="T62" s="168">
        <f ca="1">IF($C62-T$1&lt;År1,0,S61*(1-VLOOKUP($A62,[1]Hugst!$R$5:$W$9,MATCH(ROUNDUP((T$1)/10,0)*10,[1]Hugst!$R$4:$W$4,0))))</f>
        <v>90.311882566257566</v>
      </c>
      <c r="U62" s="168">
        <f ca="1">IF($C62-U$1&lt;År1,0,T61*(1-VLOOKUP($A62,[1]Hugst!$R$5:$W$9,MATCH(ROUNDUP((U$1)/10,0)*10,[1]Hugst!$R$4:$W$4,0))))</f>
        <v>90.460142113873019</v>
      </c>
      <c r="V62" s="168">
        <f ca="1">IF($C62-V$1&lt;År1,0,U61*(1-VLOOKUP($A62,[1]Hugst!$R$5:$W$9,MATCH(ROUNDUP((V$1)/10,0)*10,[1]Hugst!$R$4:$W$4,0))))</f>
        <v>90.609146684342022</v>
      </c>
      <c r="W62" s="168">
        <f ca="1">IF($C62-W$1&lt;År1,0,V61*(1-VLOOKUP($A62,[1]Hugst!$R$5:$W$9,MATCH(ROUNDUP((W$1)/10,0)*10,[1]Hugst!$R$4:$W$4,0))))</f>
        <v>90.7589000214968</v>
      </c>
      <c r="X62" s="168">
        <f ca="1">IF($C62-X$1&lt;År1,0,W61*(1-VLOOKUP($A62,[1]Hugst!$R$5:$W$9,MATCH(ROUNDUP((X$1)/10,0)*10,[1]Hugst!$R$4:$W$4,0))))</f>
        <v>90.909405887983326</v>
      </c>
      <c r="Y62" s="168">
        <f ca="1">IF($C62-Y$1&lt;År1,0,X61*(1-VLOOKUP($A62,[1]Hugst!$R$5:$W$9,MATCH(ROUNDUP((Y$1)/10,0)*10,[1]Hugst!$R$4:$W$4,0))))</f>
        <v>140.8128583667318</v>
      </c>
      <c r="Z62" s="168">
        <f ca="1">IF($C62-Z$1&lt;År1,0,Y61*(1-VLOOKUP($A62,[1]Hugst!$R$5:$W$9,MATCH(ROUNDUP((Z$1)/10,0)*10,[1]Hugst!$R$4:$W$4,0))))</f>
        <v>140.96488065554865</v>
      </c>
      <c r="AA62" s="168">
        <f ca="1">IF($C62-AA$1&lt;År1,0,Z61*(1-VLOOKUP($A62,[1]Hugst!$R$5:$W$9,MATCH(ROUNDUP((AA$1)/10,0)*10,[1]Hugst!$R$4:$W$4,0))))</f>
        <v>141.11766687546753</v>
      </c>
      <c r="AB62" s="168">
        <f ca="1">IF($C62-AB$1&lt;År1,0,AA61*(1-VLOOKUP($A62,[1]Hugst!$R$5:$W$9,MATCH(ROUNDUP((AB$1)/10,0)*10,[1]Hugst!$R$4:$W$4,0))))</f>
        <v>141.27122086533404</v>
      </c>
      <c r="AC62" s="168">
        <f ca="1">IF($C62-AC$1&lt;År1,0,AB61*(1-VLOOKUP($A62,[1]Hugst!$R$5:$W$9,MATCH(ROUNDUP((AC$1)/10,0)*10,[1]Hugst!$R$4:$W$4,0))))</f>
        <v>141.42554648329155</v>
      </c>
      <c r="AD62" s="168">
        <f ca="1">IF($C62-AD$1&lt;År1,0,AC61*(1-VLOOKUP($A62,[1]Hugst!$R$5:$W$9,MATCH(ROUNDUP((AD$1)/10,0)*10,[1]Hugst!$R$4:$W$4,0))))</f>
        <v>141.58064760686528</v>
      </c>
      <c r="AE62" s="168">
        <f ca="1">IF($C62-AE$1&lt;År1,0,AD61*(1-VLOOKUP($A62,[1]Hugst!$R$5:$W$9,MATCH(ROUNDUP((AE$1)/10,0)*10,[1]Hugst!$R$4:$W$4,0))))</f>
        <v>141.73652813307041</v>
      </c>
      <c r="AF62" s="168">
        <f ca="1">IF($C62-AF$1&lt;År1,0,AE61*(1-VLOOKUP($A62,[1]Hugst!$R$5:$W$9,MATCH(ROUNDUP((AF$1)/10,0)*10,[1]Hugst!$R$4:$W$4,0))))</f>
        <v>141.89319197850403</v>
      </c>
      <c r="AG62" s="168">
        <f ca="1">IF($C62-AG$1&lt;År1,0,AF61*(1-VLOOKUP($A62,[1]Hugst!$R$5:$W$9,MATCH(ROUNDUP((AG$1)/10,0)*10,[1]Hugst!$R$4:$W$4,0))))</f>
        <v>142.05064307944181</v>
      </c>
      <c r="AH62" s="168">
        <f ca="1">IF($C62-AH$1&lt;År1,0,AG61*(1-VLOOKUP($A62,[1]Hugst!$R$5:$W$9,MATCH(ROUNDUP((AH$1)/10,0)*10,[1]Hugst!$R$4:$W$4,0))))</f>
        <v>142.20888539194115</v>
      </c>
      <c r="AI62" s="168">
        <f ca="1">IF($C62-AI$1&lt;År1,0,AH61*(1-VLOOKUP($A62,[1]Hugst!$R$5:$W$9,MATCH(ROUNDUP((AI$1)/10,0)*10,[1]Hugst!$R$4:$W$4,0))))</f>
        <v>142.36792289194113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(IF(B63="Vestdanmark",Skovbrug!$C$22-(Skovbrug!$C$22)*(1-Skovbrug!$C$9)^(C63-Skovbrug!$B$12),Skovbrug!$F$22-(Skovbrug!$F$22)*(1-Skovbrug!$C$9)^(C63-Skovbrug!$B$12)))*VLOOKUP(A63,Skovbrug!$A$13:$D$17,IF('Skovbrug-alder'!C63&lt;=År2,3,4),FALSE)
-IF(C63&gt;2020,SUM(INDEX($C$1:$D$311,MATCH(1,(2020=$C$1:$C$311)*(B63=$B$1:$B$311)*(A63=$A$1:$A$311),0),2):D62),0)</f>
        <v>27.366670184327063</v>
      </c>
      <c r="E63" s="168">
        <f t="shared" ca="1" si="0"/>
        <v>0.46951123506960357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88.644414009964464</v>
      </c>
      <c r="G63" s="168">
        <f ca="1">IF($C63-G$1&lt;År1,0,F62*(1-VLOOKUP($A63,[1]Hugst!$R$5:$W$9,MATCH(ROUNDUP((G$1)/10,0)*10,[1]Hugst!$R$4:$W$4,0))))</f>
        <v>88.312423730595071</v>
      </c>
      <c r="H63" s="168">
        <f ca="1">IF($C63-H$1&lt;År1,0,G62*(1-VLOOKUP($A63,[1]Hugst!$R$5:$W$9,MATCH(ROUNDUP((H$1)/10,0)*10,[1]Hugst!$R$4:$W$4,0))))</f>
        <v>88.450635746373166</v>
      </c>
      <c r="I63" s="168">
        <f ca="1">IF($C63-I$1&lt;År1,0,H62*(1-VLOOKUP($A63,[1]Hugst!$R$5:$W$9,MATCH(ROUNDUP((I$1)/10,0)*10,[1]Hugst!$R$4:$W$4,0))))</f>
        <v>88.589542294893874</v>
      </c>
      <c r="J63" s="168">
        <f ca="1">IF($C63-J$1&lt;År1,0,I62*(1-VLOOKUP($A63,[1]Hugst!$R$5:$W$9,MATCH(ROUNDUP((J$1)/10,0)*10,[1]Hugst!$R$4:$W$4,0))))</f>
        <v>88.729146866274903</v>
      </c>
      <c r="K63" s="168">
        <f ca="1">IF($C63-K$1&lt;År1,0,J62*(1-VLOOKUP($A63,[1]Hugst!$R$5:$W$9,MATCH(ROUNDUP((K$1)/10,0)*10,[1]Hugst!$R$4:$W$4,0))))</f>
        <v>88.86945296816117</v>
      </c>
      <c r="L63" s="168">
        <f ca="1">IF($C63-L$1&lt;År1,0,K62*(1-VLOOKUP($A63,[1]Hugst!$R$5:$W$9,MATCH(ROUNDUP((L$1)/10,0)*10,[1]Hugst!$R$4:$W$4,0))))</f>
        <v>89.010464125838155</v>
      </c>
      <c r="M63" s="168">
        <f ca="1">IF($C63-M$1&lt;År1,0,L62*(1-VLOOKUP($A63,[1]Hugst!$R$5:$W$9,MATCH(ROUNDUP((M$1)/10,0)*10,[1]Hugst!$R$4:$W$4,0))))</f>
        <v>89.152183882296242</v>
      </c>
      <c r="N63" s="168">
        <f ca="1">IF($C63-N$1&lt;År1,0,M62*(1-VLOOKUP($A63,[1]Hugst!$R$5:$W$9,MATCH(ROUNDUP((N$1)/10,0)*10,[1]Hugst!$R$4:$W$4,0))))</f>
        <v>89.294615798336679</v>
      </c>
      <c r="O63" s="168">
        <f ca="1">IF($C63-O$1&lt;År1,0,N62*(1-VLOOKUP($A63,[1]Hugst!$R$5:$W$9,MATCH(ROUNDUP((O$1)/10,0)*10,[1]Hugst!$R$4:$W$4,0))))</f>
        <v>89.437763452645584</v>
      </c>
      <c r="P63" s="168">
        <f ca="1">IF($C63-P$1&lt;År1,0,O62*(1-VLOOKUP($A63,[1]Hugst!$R$5:$W$9,MATCH(ROUNDUP((P$1)/10,0)*10,[1]Hugst!$R$4:$W$4,0))))</f>
        <v>89.581630441902291</v>
      </c>
      <c r="Q63" s="168">
        <f ca="1">IF($C63-Q$1&lt;År1,0,P62*(1-VLOOKUP($A63,[1]Hugst!$R$5:$W$9,MATCH(ROUNDUP((Q$1)/10,0)*10,[1]Hugst!$R$4:$W$4,0))))</f>
        <v>89.726220380853931</v>
      </c>
      <c r="R63" s="168">
        <f ca="1">IF($C63-R$1&lt;År1,0,Q62*(1-VLOOKUP($A63,[1]Hugst!$R$5:$W$9,MATCH(ROUNDUP((R$1)/10,0)*10,[1]Hugst!$R$4:$W$4,0))))</f>
        <v>89.871536902413879</v>
      </c>
      <c r="S63" s="168">
        <f ca="1">IF($C63-S$1&lt;År1,0,R62*(1-VLOOKUP($A63,[1]Hugst!$R$5:$W$9,MATCH(ROUNDUP((S$1)/10,0)*10,[1]Hugst!$R$4:$W$4,0))))</f>
        <v>90.017583657749526</v>
      </c>
      <c r="T63" s="168">
        <f ca="1">IF($C63-T$1&lt;År1,0,S62*(1-VLOOKUP($A63,[1]Hugst!$R$5:$W$9,MATCH(ROUNDUP((T$1)/10,0)*10,[1]Hugst!$R$4:$W$4,0))))</f>
        <v>90.164364316377771</v>
      </c>
      <c r="U63" s="168">
        <f ca="1">IF($C63-U$1&lt;År1,0,T62*(1-VLOOKUP($A63,[1]Hugst!$R$5:$W$9,MATCH(ROUNDUP((U$1)/10,0)*10,[1]Hugst!$R$4:$W$4,0))))</f>
        <v>90.311882566257566</v>
      </c>
      <c r="V63" s="168">
        <f ca="1">IF($C63-V$1&lt;År1,0,U62*(1-VLOOKUP($A63,[1]Hugst!$R$5:$W$9,MATCH(ROUNDUP((V$1)/10,0)*10,[1]Hugst!$R$4:$W$4,0))))</f>
        <v>90.460142113873019</v>
      </c>
      <c r="W63" s="168">
        <f ca="1">IF($C63-W$1&lt;År1,0,V62*(1-VLOOKUP($A63,[1]Hugst!$R$5:$W$9,MATCH(ROUNDUP((W$1)/10,0)*10,[1]Hugst!$R$4:$W$4,0))))</f>
        <v>90.609146684342022</v>
      </c>
      <c r="X63" s="168">
        <f ca="1">IF($C63-X$1&lt;År1,0,W62*(1-VLOOKUP($A63,[1]Hugst!$R$5:$W$9,MATCH(ROUNDUP((X$1)/10,0)*10,[1]Hugst!$R$4:$W$4,0))))</f>
        <v>90.7589000214968</v>
      </c>
      <c r="Y63" s="168">
        <f ca="1">IF($C63-Y$1&lt;År1,0,X62*(1-VLOOKUP($A63,[1]Hugst!$R$5:$W$9,MATCH(ROUNDUP((Y$1)/10,0)*10,[1]Hugst!$R$4:$W$4,0))))</f>
        <v>90.909405887983326</v>
      </c>
      <c r="Z63" s="168">
        <f ca="1">IF($C63-Z$1&lt;År1,0,Y62*(1-VLOOKUP($A63,[1]Hugst!$R$5:$W$9,MATCH(ROUNDUP((Z$1)/10,0)*10,[1]Hugst!$R$4:$W$4,0))))</f>
        <v>140.8128583667318</v>
      </c>
      <c r="AA63" s="168">
        <f ca="1">IF($C63-AA$1&lt;År1,0,Z62*(1-VLOOKUP($A63,[1]Hugst!$R$5:$W$9,MATCH(ROUNDUP((AA$1)/10,0)*10,[1]Hugst!$R$4:$W$4,0))))</f>
        <v>140.96488065554865</v>
      </c>
      <c r="AB63" s="168">
        <f ca="1">IF($C63-AB$1&lt;År1,0,AA62*(1-VLOOKUP($A63,[1]Hugst!$R$5:$W$9,MATCH(ROUNDUP((AB$1)/10,0)*10,[1]Hugst!$R$4:$W$4,0))))</f>
        <v>141.11766687546753</v>
      </c>
      <c r="AC63" s="168">
        <f ca="1">IF($C63-AC$1&lt;År1,0,AB62*(1-VLOOKUP($A63,[1]Hugst!$R$5:$W$9,MATCH(ROUNDUP((AC$1)/10,0)*10,[1]Hugst!$R$4:$W$4,0))))</f>
        <v>141.27122086533404</v>
      </c>
      <c r="AD63" s="168">
        <f ca="1">IF($C63-AD$1&lt;År1,0,AC62*(1-VLOOKUP($A63,[1]Hugst!$R$5:$W$9,MATCH(ROUNDUP((AD$1)/10,0)*10,[1]Hugst!$R$4:$W$4,0))))</f>
        <v>141.42554648329155</v>
      </c>
      <c r="AE63" s="168">
        <f ca="1">IF($C63-AE$1&lt;År1,0,AD62*(1-VLOOKUP($A63,[1]Hugst!$R$5:$W$9,MATCH(ROUNDUP((AE$1)/10,0)*10,[1]Hugst!$R$4:$W$4,0))))</f>
        <v>141.58064760686528</v>
      </c>
      <c r="AF63" s="168">
        <f ca="1">IF($C63-AF$1&lt;År1,0,AE62*(1-VLOOKUP($A63,[1]Hugst!$R$5:$W$9,MATCH(ROUNDUP((AF$1)/10,0)*10,[1]Hugst!$R$4:$W$4,0))))</f>
        <v>141.73652813307041</v>
      </c>
      <c r="AG63" s="168">
        <f ca="1">IF($C63-AG$1&lt;År1,0,AF62*(1-VLOOKUP($A63,[1]Hugst!$R$5:$W$9,MATCH(ROUNDUP((AG$1)/10,0)*10,[1]Hugst!$R$4:$W$4,0))))</f>
        <v>141.89319197850403</v>
      </c>
      <c r="AH63" s="168">
        <f ca="1">IF($C63-AH$1&lt;År1,0,AG62*(1-VLOOKUP($A63,[1]Hugst!$R$5:$W$9,MATCH(ROUNDUP((AH$1)/10,0)*10,[1]Hugst!$R$4:$W$4,0))))</f>
        <v>142.05064307944181</v>
      </c>
      <c r="AI63" s="168">
        <f ca="1">IF($C63-AI$1&lt;År1,0,AH62*(1-VLOOKUP($A63,[1]Hugst!$R$5:$W$9,MATCH(ROUNDUP((AI$1)/10,0)*10,[1]Hugst!$R$4:$W$4,0))))</f>
        <v>142.20888539194115</v>
      </c>
      <c r="AJ63" s="168">
        <f ca="1">IF($C63-AJ$1&lt;År1,0,AI62*(1-VLOOKUP($A63,[1]Hugst!$R$5:$W$9,MATCH(ROUNDUP((AJ$1)/10,0)*10,[1]Hugst!$R$4:$W$4,0))))</f>
        <v>141.89841165687196</v>
      </c>
      <c r="AL63" s="168">
        <f ca="1">SUM(F63:AJ63)</f>
        <v>3347.861936941697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(IF(B64="Vestdanmark",Skovbrug!$C$22-(Skovbrug!$C$22)*(1-Skovbrug!$C$9)^(C64-Skovbrug!$B$12),Skovbrug!$F$22-(Skovbrug!$F$22)*(1-Skovbrug!$C$9)^(C64-Skovbrug!$B$12)))*VLOOKUP(A64,Skovbrug!$A$13:$D$17,IF('Skovbrug-alder'!C64&lt;=År2,3,4),FALSE)
-IF(C64&gt;2020,SUM(INDEX($C$1:$D$311,MATCH(1,(2020=$C$1:$C$311)*(B64=$B$1:$B$311)*(A64=$A$1:$A$311),0),2):D63),0)</f>
        <v>978.00749999998959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10210.236421245245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(IF(B65="Vestdanmark",Skovbrug!$C$22-(Skovbrug!$C$22)*(1-Skovbrug!$C$9)^(C65-Skovbrug!$B$12),Skovbrug!$F$22-(Skovbrug!$F$22)*(1-Skovbrug!$C$9)^(C65-Skovbrug!$B$12)))*VLOOKUP(A65,Skovbrug!$A$13:$D$17,IF('Skovbrug-alder'!C65&lt;=År2,3,4),FALSE)
-IF(C65&gt;2020,SUM(INDEX($C$1:$D$311,MATCH(1,(2020=$C$1:$C$311)*(B65=$B$1:$B$311)*(A65=$A$1:$A$311),0),2):D64),0)</f>
        <v>973.11746249999567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10205.346383745251</v>
      </c>
      <c r="G65" s="168">
        <f ca="1">IF($C65-G$1&lt;År1,0,F64*(1-VLOOKUP($A65,[1]Hugst!$R$5:$W$9,MATCH(ROUNDUP((G$1)/10,0)*10,[1]Hugst!$R$4:$W$4,0))))</f>
        <v>10210.236421245245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(IF(B66="Vestdanmark",Skovbrug!$C$22-(Skovbrug!$C$22)*(1-Skovbrug!$C$9)^(C66-Skovbrug!$B$12),Skovbrug!$F$22-(Skovbrug!$F$22)*(1-Skovbrug!$C$9)^(C66-Skovbrug!$B$12)))*VLOOKUP(A66,Skovbrug!$A$13:$D$17,IF('Skovbrug-alder'!C66&lt;=År2,3,4),FALSE)
-IF(C66&gt;2020,SUM(INDEX($C$1:$D$311,MATCH(1,(2020=$C$1:$C$311)*(B66=$B$1:$B$311)*(A66=$A$1:$A$311),0),2):D65),0)</f>
        <v>968.25187518752068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10200.480796432777</v>
      </c>
      <c r="G66" s="168">
        <f ca="1">IF($C66-G$1&lt;År1,0,F65*(1-VLOOKUP($A66,[1]Hugst!$R$5:$W$9,MATCH(ROUNDUP((G$1)/10,0)*10,[1]Hugst!$R$4:$W$4,0))))</f>
        <v>10205.346383745251</v>
      </c>
      <c r="H66" s="168">
        <f ca="1">IF($C66-H$1&lt;År1,0,G65*(1-VLOOKUP($A66,[1]Hugst!$R$5:$W$9,MATCH(ROUNDUP((H$1)/10,0)*10,[1]Hugst!$R$4:$W$4,0))))</f>
        <v>10210.236421245245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(IF(B67="Vestdanmark",Skovbrug!$C$22-(Skovbrug!$C$22)*(1-Skovbrug!$C$9)^(C67-Skovbrug!$B$12),Skovbrug!$F$22-(Skovbrug!$F$22)*(1-Skovbrug!$C$9)^(C67-Skovbrug!$B$12)))*VLOOKUP(A67,Skovbrug!$A$13:$D$17,IF('Skovbrug-alder'!C67&lt;=År2,3,4),FALSE)
-IF(C67&gt;2020,SUM(INDEX($C$1:$D$311,MATCH(1,(2020=$C$1:$C$311)*(B67=$B$1:$B$311)*(A67=$A$1:$A$311),0),2):D66),0)</f>
        <v>963.41061581153781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10195.639537056793</v>
      </c>
      <c r="G67" s="168">
        <f ca="1">IF($C67-G$1&lt;År1,0,F66*(1-VLOOKUP($A67,[1]Hugst!$R$5:$W$9,MATCH(ROUNDUP((G$1)/10,0)*10,[1]Hugst!$R$4:$W$4,0))))</f>
        <v>10200.480796432777</v>
      </c>
      <c r="H67" s="168">
        <f ca="1">IF($C67-H$1&lt;År1,0,G66*(1-VLOOKUP($A67,[1]Hugst!$R$5:$W$9,MATCH(ROUNDUP((H$1)/10,0)*10,[1]Hugst!$R$4:$W$4,0))))</f>
        <v>10205.346383745251</v>
      </c>
      <c r="I67" s="168">
        <f ca="1">IF($C67-I$1&lt;År1,0,H66*(1-VLOOKUP($A67,[1]Hugst!$R$5:$W$9,MATCH(ROUNDUP((I$1)/10,0)*10,[1]Hugst!$R$4:$W$4,0))))</f>
        <v>10210.236421245245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(IF(B68="Vestdanmark",Skovbrug!$C$22-(Skovbrug!$C$22)*(1-Skovbrug!$C$9)^(C68-Skovbrug!$B$12),Skovbrug!$F$22-(Skovbrug!$F$22)*(1-Skovbrug!$C$9)^(C68-Skovbrug!$B$12)))*VLOOKUP(A68,Skovbrug!$A$13:$D$17,IF('Skovbrug-alder'!C68&lt;=År2,3,4),FALSE)
-IF(C68&gt;2020,SUM(INDEX($C$1:$D$311,MATCH(1,(2020=$C$1:$C$311)*(B68=$B$1:$B$311)*(A68=$A$1:$A$311),0),2):D67),0)</f>
        <v>958.59356273250569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10190.822483977761</v>
      </c>
      <c r="G68" s="168">
        <f ca="1">IF($C68-G$1&lt;År1,0,F67*(1-VLOOKUP($A68,[1]Hugst!$R$5:$W$9,MATCH(ROUNDUP((G$1)/10,0)*10,[1]Hugst!$R$4:$W$4,0))))</f>
        <v>10195.639537056793</v>
      </c>
      <c r="H68" s="168">
        <f ca="1">IF($C68-H$1&lt;År1,0,G67*(1-VLOOKUP($A68,[1]Hugst!$R$5:$W$9,MATCH(ROUNDUP((H$1)/10,0)*10,[1]Hugst!$R$4:$W$4,0))))</f>
        <v>10200.480796432777</v>
      </c>
      <c r="I68" s="168">
        <f ca="1">IF($C68-I$1&lt;År1,0,H67*(1-VLOOKUP($A68,[1]Hugst!$R$5:$W$9,MATCH(ROUNDUP((I$1)/10,0)*10,[1]Hugst!$R$4:$W$4,0))))</f>
        <v>10205.346383745251</v>
      </c>
      <c r="J68" s="168">
        <f ca="1">IF($C68-J$1&lt;År1,0,I67*(1-VLOOKUP($A68,[1]Hugst!$R$5:$W$9,MATCH(ROUNDUP((J$1)/10,0)*10,[1]Hugst!$R$4:$W$4,0))))</f>
        <v>10210.236421245245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(IF(B69="Vestdanmark",Skovbrug!$C$22-(Skovbrug!$C$22)*(1-Skovbrug!$C$9)^(C69-Skovbrug!$B$12),Skovbrug!$F$22-(Skovbrug!$F$22)*(1-Skovbrug!$C$9)^(C69-Skovbrug!$B$12)))*VLOOKUP(A69,Skovbrug!$A$13:$D$17,IF('Skovbrug-alder'!C69&lt;=År2,3,4),FALSE)
-IF(C69&gt;2020,SUM(INDEX($C$1:$D$311,MATCH(1,(2020=$C$1:$C$311)*(B69=$B$1:$B$311)*(A69=$A$1:$A$311),0),2):D68),0)</f>
        <v>953.80059491883458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10186.02951616409</v>
      </c>
      <c r="G69" s="168">
        <f ca="1">IF($C69-G$1&lt;År1,0,F68*(1-VLOOKUP($A69,[1]Hugst!$R$5:$W$9,MATCH(ROUNDUP((G$1)/10,0)*10,[1]Hugst!$R$4:$W$4,0))))</f>
        <v>10190.822483977761</v>
      </c>
      <c r="H69" s="168">
        <f ca="1">IF($C69-H$1&lt;År1,0,G68*(1-VLOOKUP($A69,[1]Hugst!$R$5:$W$9,MATCH(ROUNDUP((H$1)/10,0)*10,[1]Hugst!$R$4:$W$4,0))))</f>
        <v>10195.639537056793</v>
      </c>
      <c r="I69" s="168">
        <f ca="1">IF($C69-I$1&lt;År1,0,H68*(1-VLOOKUP($A69,[1]Hugst!$R$5:$W$9,MATCH(ROUNDUP((I$1)/10,0)*10,[1]Hugst!$R$4:$W$4,0))))</f>
        <v>10200.480796432777</v>
      </c>
      <c r="J69" s="168">
        <f ca="1">IF($C69-J$1&lt;År1,0,I68*(1-VLOOKUP($A69,[1]Hugst!$R$5:$W$9,MATCH(ROUNDUP((J$1)/10,0)*10,[1]Hugst!$R$4:$W$4,0))))</f>
        <v>10205.346383745251</v>
      </c>
      <c r="K69" s="168">
        <f ca="1">IF($C69-K$1&lt;År1,0,J68*(1-VLOOKUP($A69,[1]Hugst!$R$5:$W$9,MATCH(ROUNDUP((K$1)/10,0)*10,[1]Hugst!$R$4:$W$4,0))))</f>
        <v>10210.236421245245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(IF(B70="Vestdanmark",Skovbrug!$C$22-(Skovbrug!$C$22)*(1-Skovbrug!$C$9)^(C70-Skovbrug!$B$12),Skovbrug!$F$22-(Skovbrug!$F$22)*(1-Skovbrug!$C$9)^(C70-Skovbrug!$B$12)))*VLOOKUP(A70,Skovbrug!$A$13:$D$17,IF('Skovbrug-alder'!C70&lt;=År2,3,4),FALSE)
-IF(C70&gt;2020,SUM(INDEX($C$1:$D$311,MATCH(1,(2020=$C$1:$C$311)*(B70=$B$1:$B$311)*(A70=$A$1:$A$311),0),2):D69),0)</f>
        <v>949.0315919442628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10181.260513189518</v>
      </c>
      <c r="G70" s="168">
        <f ca="1">IF($C70-G$1&lt;År1,0,F69*(1-VLOOKUP($A70,[1]Hugst!$R$5:$W$9,MATCH(ROUNDUP((G$1)/10,0)*10,[1]Hugst!$R$4:$W$4,0))))</f>
        <v>10186.02951616409</v>
      </c>
      <c r="H70" s="168">
        <f ca="1">IF($C70-H$1&lt;År1,0,G69*(1-VLOOKUP($A70,[1]Hugst!$R$5:$W$9,MATCH(ROUNDUP((H$1)/10,0)*10,[1]Hugst!$R$4:$W$4,0))))</f>
        <v>10190.822483977761</v>
      </c>
      <c r="I70" s="168">
        <f ca="1">IF($C70-I$1&lt;År1,0,H69*(1-VLOOKUP($A70,[1]Hugst!$R$5:$W$9,MATCH(ROUNDUP((I$1)/10,0)*10,[1]Hugst!$R$4:$W$4,0))))</f>
        <v>10195.639537056793</v>
      </c>
      <c r="J70" s="168">
        <f ca="1">IF($C70-J$1&lt;År1,0,I69*(1-VLOOKUP($A70,[1]Hugst!$R$5:$W$9,MATCH(ROUNDUP((J$1)/10,0)*10,[1]Hugst!$R$4:$W$4,0))))</f>
        <v>10200.480796432777</v>
      </c>
      <c r="K70" s="168">
        <f ca="1">IF($C70-K$1&lt;År1,0,J69*(1-VLOOKUP($A70,[1]Hugst!$R$5:$W$9,MATCH(ROUNDUP((K$1)/10,0)*10,[1]Hugst!$R$4:$W$4,0))))</f>
        <v>10205.346383745251</v>
      </c>
      <c r="L70" s="168">
        <f ca="1">IF($C70-L$1&lt;År1,0,K69*(1-VLOOKUP($A70,[1]Hugst!$R$5:$W$9,MATCH(ROUNDUP((L$1)/10,0)*10,[1]Hugst!$R$4:$W$4,0))))</f>
        <v>10210.236421245245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(IF(B71="Vestdanmark",Skovbrug!$C$22-(Skovbrug!$C$22)*(1-Skovbrug!$C$9)^(C71-Skovbrug!$B$12),Skovbrug!$F$22-(Skovbrug!$F$22)*(1-Skovbrug!$C$9)^(C71-Skovbrug!$B$12)))*VLOOKUP(A71,Skovbrug!$A$13:$D$17,IF('Skovbrug-alder'!C71&lt;=År2,3,4),FALSE)
-IF(C71&gt;2020,SUM(INDEX($C$1:$D$311,MATCH(1,(2020=$C$1:$C$311)*(B71=$B$1:$B$311)*(A71=$A$1:$A$311),0),2):D70),0)</f>
        <v>944.28643398453369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10176.515355229789</v>
      </c>
      <c r="G71" s="168">
        <f ca="1">IF($C71-G$1&lt;År1,0,F70*(1-VLOOKUP($A71,[1]Hugst!$R$5:$W$9,MATCH(ROUNDUP((G$1)/10,0)*10,[1]Hugst!$R$4:$W$4,0))))</f>
        <v>10181.260513189518</v>
      </c>
      <c r="H71" s="168">
        <f ca="1">IF($C71-H$1&lt;År1,0,G70*(1-VLOOKUP($A71,[1]Hugst!$R$5:$W$9,MATCH(ROUNDUP((H$1)/10,0)*10,[1]Hugst!$R$4:$W$4,0))))</f>
        <v>10186.02951616409</v>
      </c>
      <c r="I71" s="168">
        <f ca="1">IF($C71-I$1&lt;År1,0,H70*(1-VLOOKUP($A71,[1]Hugst!$R$5:$W$9,MATCH(ROUNDUP((I$1)/10,0)*10,[1]Hugst!$R$4:$W$4,0))))</f>
        <v>10190.822483977761</v>
      </c>
      <c r="J71" s="168">
        <f ca="1">IF($C71-J$1&lt;År1,0,I70*(1-VLOOKUP($A71,[1]Hugst!$R$5:$W$9,MATCH(ROUNDUP((J$1)/10,0)*10,[1]Hugst!$R$4:$W$4,0))))</f>
        <v>10195.639537056793</v>
      </c>
      <c r="K71" s="168">
        <f ca="1">IF($C71-K$1&lt;År1,0,J70*(1-VLOOKUP($A71,[1]Hugst!$R$5:$W$9,MATCH(ROUNDUP((K$1)/10,0)*10,[1]Hugst!$R$4:$W$4,0))))</f>
        <v>10200.480796432777</v>
      </c>
      <c r="L71" s="168">
        <f ca="1">IF($C71-L$1&lt;År1,0,K70*(1-VLOOKUP($A71,[1]Hugst!$R$5:$W$9,MATCH(ROUNDUP((L$1)/10,0)*10,[1]Hugst!$R$4:$W$4,0))))</f>
        <v>10205.346383745251</v>
      </c>
      <c r="M71" s="168">
        <f ca="1">IF($C71-M$1&lt;År1,0,L70*(1-VLOOKUP($A71,[1]Hugst!$R$5:$W$9,MATCH(ROUNDUP((M$1)/10,0)*10,[1]Hugst!$R$4:$W$4,0))))</f>
        <v>10210.236421245245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(IF(B72="Vestdanmark",Skovbrug!$C$22-(Skovbrug!$C$22)*(1-Skovbrug!$C$9)^(C72-Skovbrug!$B$12),Skovbrug!$F$22-(Skovbrug!$F$22)*(1-Skovbrug!$C$9)^(C72-Skovbrug!$B$12)))*VLOOKUP(A72,Skovbrug!$A$13:$D$17,IF('Skovbrug-alder'!C72&lt;=År2,3,4),FALSE)
-IF(C72&gt;2020,SUM(INDEX($C$1:$D$311,MATCH(1,(2020=$C$1:$C$311)*(B72=$B$1:$B$311)*(A72=$A$1:$A$311),0),2):D71),0)</f>
        <v>939.56500181459432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10171.793923059849</v>
      </c>
      <c r="G72" s="168">
        <f ca="1">IF($C72-G$1&lt;År1,0,F71*(1-VLOOKUP($A72,[1]Hugst!$R$5:$W$9,MATCH(ROUNDUP((G$1)/10,0)*10,[1]Hugst!$R$4:$W$4,0))))</f>
        <v>10176.515355229789</v>
      </c>
      <c r="H72" s="168">
        <f ca="1">IF($C72-H$1&lt;År1,0,G71*(1-VLOOKUP($A72,[1]Hugst!$R$5:$W$9,MATCH(ROUNDUP((H$1)/10,0)*10,[1]Hugst!$R$4:$W$4,0))))</f>
        <v>10181.260513189518</v>
      </c>
      <c r="I72" s="168">
        <f ca="1">IF($C72-I$1&lt;År1,0,H71*(1-VLOOKUP($A72,[1]Hugst!$R$5:$W$9,MATCH(ROUNDUP((I$1)/10,0)*10,[1]Hugst!$R$4:$W$4,0))))</f>
        <v>10186.02951616409</v>
      </c>
      <c r="J72" s="168">
        <f ca="1">IF($C72-J$1&lt;År1,0,I71*(1-VLOOKUP($A72,[1]Hugst!$R$5:$W$9,MATCH(ROUNDUP((J$1)/10,0)*10,[1]Hugst!$R$4:$W$4,0))))</f>
        <v>10190.822483977761</v>
      </c>
      <c r="K72" s="168">
        <f ca="1">IF($C72-K$1&lt;År1,0,J71*(1-VLOOKUP($A72,[1]Hugst!$R$5:$W$9,MATCH(ROUNDUP((K$1)/10,0)*10,[1]Hugst!$R$4:$W$4,0))))</f>
        <v>10195.639537056793</v>
      </c>
      <c r="L72" s="168">
        <f ca="1">IF($C72-L$1&lt;År1,0,K71*(1-VLOOKUP($A72,[1]Hugst!$R$5:$W$9,MATCH(ROUNDUP((L$1)/10,0)*10,[1]Hugst!$R$4:$W$4,0))))</f>
        <v>10200.480796432777</v>
      </c>
      <c r="M72" s="168">
        <f ca="1">IF($C72-M$1&lt;År1,0,L71*(1-VLOOKUP($A72,[1]Hugst!$R$5:$W$9,MATCH(ROUNDUP((M$1)/10,0)*10,[1]Hugst!$R$4:$W$4,0))))</f>
        <v>10205.346383745251</v>
      </c>
      <c r="N72" s="168">
        <f ca="1">IF($C72-N$1&lt;År1,0,M71*(1-VLOOKUP($A72,[1]Hugst!$R$5:$W$9,MATCH(ROUNDUP((N$1)/10,0)*10,[1]Hugst!$R$4:$W$4,0))))</f>
        <v>10210.236421245245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(IF(B73="Vestdanmark",Skovbrug!$C$22-(Skovbrug!$C$22)*(1-Skovbrug!$C$9)^(C73-Skovbrug!$B$12),Skovbrug!$F$22-(Skovbrug!$F$22)*(1-Skovbrug!$C$9)^(C73-Skovbrug!$B$12)))*VLOOKUP(A73,Skovbrug!$A$13:$D$17,IF('Skovbrug-alder'!C73&lt;=År2,3,4),FALSE)
-IF(C73&gt;2020,SUM(INDEX($C$1:$D$311,MATCH(1,(2020=$C$1:$C$311)*(B73=$B$1:$B$311)*(A73=$A$1:$A$311),0),2):D72),0)</f>
        <v>934.86717680552465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10167.096098050781</v>
      </c>
      <c r="G73" s="168">
        <f ca="1">IF($C73-G$1&lt;År1,0,F72*(1-VLOOKUP($A73,[1]Hugst!$R$5:$W$9,MATCH(ROUNDUP((G$1)/10,0)*10,[1]Hugst!$R$4:$W$4,0))))</f>
        <v>10171.793923059849</v>
      </c>
      <c r="H73" s="168">
        <f ca="1">IF($C73-H$1&lt;År1,0,G72*(1-VLOOKUP($A73,[1]Hugst!$R$5:$W$9,MATCH(ROUNDUP((H$1)/10,0)*10,[1]Hugst!$R$4:$W$4,0))))</f>
        <v>10176.515355229789</v>
      </c>
      <c r="I73" s="168">
        <f ca="1">IF($C73-I$1&lt;År1,0,H72*(1-VLOOKUP($A73,[1]Hugst!$R$5:$W$9,MATCH(ROUNDUP((I$1)/10,0)*10,[1]Hugst!$R$4:$W$4,0))))</f>
        <v>10181.260513189518</v>
      </c>
      <c r="J73" s="168">
        <f ca="1">IF($C73-J$1&lt;År1,0,I72*(1-VLOOKUP($A73,[1]Hugst!$R$5:$W$9,MATCH(ROUNDUP((J$1)/10,0)*10,[1]Hugst!$R$4:$W$4,0))))</f>
        <v>10186.02951616409</v>
      </c>
      <c r="K73" s="168">
        <f ca="1">IF($C73-K$1&lt;År1,0,J72*(1-VLOOKUP($A73,[1]Hugst!$R$5:$W$9,MATCH(ROUNDUP((K$1)/10,0)*10,[1]Hugst!$R$4:$W$4,0))))</f>
        <v>10190.822483977761</v>
      </c>
      <c r="L73" s="168">
        <f ca="1">IF($C73-L$1&lt;År1,0,K72*(1-VLOOKUP($A73,[1]Hugst!$R$5:$W$9,MATCH(ROUNDUP((L$1)/10,0)*10,[1]Hugst!$R$4:$W$4,0))))</f>
        <v>10195.639537056793</v>
      </c>
      <c r="M73" s="168">
        <f ca="1">IF($C73-M$1&lt;År1,0,L72*(1-VLOOKUP($A73,[1]Hugst!$R$5:$W$9,MATCH(ROUNDUP((M$1)/10,0)*10,[1]Hugst!$R$4:$W$4,0))))</f>
        <v>10200.480796432777</v>
      </c>
      <c r="N73" s="168">
        <f ca="1">IF($C73-N$1&lt;År1,0,M72*(1-VLOOKUP($A73,[1]Hugst!$R$5:$W$9,MATCH(ROUNDUP((N$1)/10,0)*10,[1]Hugst!$R$4:$W$4,0))))</f>
        <v>10205.346383745251</v>
      </c>
      <c r="O73" s="168">
        <f ca="1">IF($C73-O$1&lt;År1,0,N72*(1-VLOOKUP($A73,[1]Hugst!$R$5:$W$9,MATCH(ROUNDUP((O$1)/10,0)*10,[1]Hugst!$R$4:$W$4,0))))</f>
        <v>10210.236421245245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(IF(B74="Vestdanmark",Skovbrug!$C$22-(Skovbrug!$C$22)*(1-Skovbrug!$C$9)^(C74-Skovbrug!$B$12),Skovbrug!$F$22-(Skovbrug!$F$22)*(1-Skovbrug!$C$9)^(C74-Skovbrug!$B$12)))*VLOOKUP(A74,Skovbrug!$A$13:$D$17,IF('Skovbrug-alder'!C74&lt;=År2,3,4),FALSE)
-IF(C74&gt;2020,SUM(INDEX($C$1:$D$311,MATCH(1,(2020=$C$1:$C$311)*(B74=$B$1:$B$311)*(A74=$A$1:$A$311),0),2):D73),0)</f>
        <v>930.19284092152884</v>
      </c>
      <c r="E74" s="168">
        <f t="shared" ca="1" si="1"/>
        <v>15.57493691376294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10177.996699080548</v>
      </c>
      <c r="G74" s="168">
        <f ca="1">IF($C74-G$1&lt;År1,0,F73*(1-VLOOKUP($A74,[1]Hugst!$R$5:$W$9,MATCH(ROUNDUP((G$1)/10,0)*10,[1]Hugst!$R$4:$W$4,0))))</f>
        <v>10167.096098050781</v>
      </c>
      <c r="H74" s="168">
        <f ca="1">IF($C74-H$1&lt;År1,0,G73*(1-VLOOKUP($A74,[1]Hugst!$R$5:$W$9,MATCH(ROUNDUP((H$1)/10,0)*10,[1]Hugst!$R$4:$W$4,0))))</f>
        <v>10171.793923059849</v>
      </c>
      <c r="I74" s="168">
        <f ca="1">IF($C74-I$1&lt;År1,0,H73*(1-VLOOKUP($A74,[1]Hugst!$R$5:$W$9,MATCH(ROUNDUP((I$1)/10,0)*10,[1]Hugst!$R$4:$W$4,0))))</f>
        <v>10176.515355229789</v>
      </c>
      <c r="J74" s="168">
        <f ca="1">IF($C74-J$1&lt;År1,0,I73*(1-VLOOKUP($A74,[1]Hugst!$R$5:$W$9,MATCH(ROUNDUP((J$1)/10,0)*10,[1]Hugst!$R$4:$W$4,0))))</f>
        <v>10181.260513189518</v>
      </c>
      <c r="K74" s="168">
        <f ca="1">IF($C74-K$1&lt;År1,0,J73*(1-VLOOKUP($A74,[1]Hugst!$R$5:$W$9,MATCH(ROUNDUP((K$1)/10,0)*10,[1]Hugst!$R$4:$W$4,0))))</f>
        <v>10186.02951616409</v>
      </c>
      <c r="L74" s="168">
        <f ca="1">IF($C74-L$1&lt;År1,0,K73*(1-VLOOKUP($A74,[1]Hugst!$R$5:$W$9,MATCH(ROUNDUP((L$1)/10,0)*10,[1]Hugst!$R$4:$W$4,0))))</f>
        <v>10190.822483977761</v>
      </c>
      <c r="M74" s="168">
        <f ca="1">IF($C74-M$1&lt;År1,0,L73*(1-VLOOKUP($A74,[1]Hugst!$R$5:$W$9,MATCH(ROUNDUP((M$1)/10,0)*10,[1]Hugst!$R$4:$W$4,0))))</f>
        <v>10195.639537056793</v>
      </c>
      <c r="N74" s="168">
        <f ca="1">IF($C74-N$1&lt;År1,0,M73*(1-VLOOKUP($A74,[1]Hugst!$R$5:$W$9,MATCH(ROUNDUP((N$1)/10,0)*10,[1]Hugst!$R$4:$W$4,0))))</f>
        <v>10200.480796432777</v>
      </c>
      <c r="O74" s="168">
        <f ca="1">IF($C74-O$1&lt;År1,0,N73*(1-VLOOKUP($A74,[1]Hugst!$R$5:$W$9,MATCH(ROUNDUP((O$1)/10,0)*10,[1]Hugst!$R$4:$W$4,0))))</f>
        <v>10205.346383745251</v>
      </c>
      <c r="P74" s="168">
        <f ca="1">IF($C74-P$1&lt;År1,0,O73*(1-VLOOKUP($A74,[1]Hugst!$R$5:$W$9,MATCH(ROUNDUP((P$1)/10,0)*10,[1]Hugst!$R$4:$W$4,0))))</f>
        <v>10194.66148433148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(IF(B75="Vestdanmark",Skovbrug!$C$22-(Skovbrug!$C$22)*(1-Skovbrug!$C$9)^(C75-Skovbrug!$B$12),Skovbrug!$F$22-(Skovbrug!$F$22)*(1-Skovbrug!$C$9)^(C75-Skovbrug!$B$12)))*VLOOKUP(A75,Skovbrug!$A$13:$D$17,IF('Skovbrug-alder'!C75&lt;=År2,3,4),FALSE)
-IF(C75&gt;2020,SUM(INDEX($C$1:$D$311,MATCH(1,(2020=$C$1:$C$311)*(B75=$B$1:$B$311)*(A75=$A$1:$A$311),0),2):D74),0)</f>
        <v>925.5418767168776</v>
      </c>
      <c r="E75" s="168">
        <f t="shared" ca="1" si="1"/>
        <v>31.118656069942517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6034.3864394717102</v>
      </c>
      <c r="G75" s="168">
        <f ca="1">IF($C75-G$1&lt;År1,0,F74*(1-VLOOKUP($A75,[1]Hugst!$R$5:$W$9,MATCH(ROUNDUP((G$1)/10,0)*10,[1]Hugst!$R$4:$W$4,0))))</f>
        <v>10177.996699080548</v>
      </c>
      <c r="H75" s="168">
        <f ca="1">IF($C75-H$1&lt;År1,0,G74*(1-VLOOKUP($A75,[1]Hugst!$R$5:$W$9,MATCH(ROUNDUP((H$1)/10,0)*10,[1]Hugst!$R$4:$W$4,0))))</f>
        <v>10167.096098050781</v>
      </c>
      <c r="I75" s="168">
        <f ca="1">IF($C75-I$1&lt;År1,0,H74*(1-VLOOKUP($A75,[1]Hugst!$R$5:$W$9,MATCH(ROUNDUP((I$1)/10,0)*10,[1]Hugst!$R$4:$W$4,0))))</f>
        <v>10171.793923059849</v>
      </c>
      <c r="J75" s="168">
        <f ca="1">IF($C75-J$1&lt;År1,0,I74*(1-VLOOKUP($A75,[1]Hugst!$R$5:$W$9,MATCH(ROUNDUP((J$1)/10,0)*10,[1]Hugst!$R$4:$W$4,0))))</f>
        <v>10176.515355229789</v>
      </c>
      <c r="K75" s="168">
        <f ca="1">IF($C75-K$1&lt;År1,0,J74*(1-VLOOKUP($A75,[1]Hugst!$R$5:$W$9,MATCH(ROUNDUP((K$1)/10,0)*10,[1]Hugst!$R$4:$W$4,0))))</f>
        <v>10181.260513189518</v>
      </c>
      <c r="L75" s="168">
        <f ca="1">IF($C75-L$1&lt;År1,0,K74*(1-VLOOKUP($A75,[1]Hugst!$R$5:$W$9,MATCH(ROUNDUP((L$1)/10,0)*10,[1]Hugst!$R$4:$W$4,0))))</f>
        <v>10186.02951616409</v>
      </c>
      <c r="M75" s="168">
        <f ca="1">IF($C75-M$1&lt;År1,0,L74*(1-VLOOKUP($A75,[1]Hugst!$R$5:$W$9,MATCH(ROUNDUP((M$1)/10,0)*10,[1]Hugst!$R$4:$W$4,0))))</f>
        <v>10190.822483977761</v>
      </c>
      <c r="N75" s="168">
        <f ca="1">IF($C75-N$1&lt;År1,0,M74*(1-VLOOKUP($A75,[1]Hugst!$R$5:$W$9,MATCH(ROUNDUP((N$1)/10,0)*10,[1]Hugst!$R$4:$W$4,0))))</f>
        <v>10195.639537056793</v>
      </c>
      <c r="O75" s="168">
        <f ca="1">IF($C75-O$1&lt;År1,0,N74*(1-VLOOKUP($A75,[1]Hugst!$R$5:$W$9,MATCH(ROUNDUP((O$1)/10,0)*10,[1]Hugst!$R$4:$W$4,0))))</f>
        <v>10200.480796432777</v>
      </c>
      <c r="P75" s="168">
        <f ca="1">IF($C75-P$1&lt;År1,0,O74*(1-VLOOKUP($A75,[1]Hugst!$R$5:$W$9,MATCH(ROUNDUP((P$1)/10,0)*10,[1]Hugst!$R$4:$W$4,0))))</f>
        <v>10189.778906210724</v>
      </c>
      <c r="Q75" s="168">
        <f ca="1">IF($C75-Q$1&lt;År1,0,P74*(1-VLOOKUP($A75,[1]Hugst!$R$5:$W$9,MATCH(ROUNDUP((Q$1)/10,0)*10,[1]Hugst!$R$4:$W$4,0))))</f>
        <v>10179.110305796059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(IF(B76="Vestdanmark",Skovbrug!$C$22-(Skovbrug!$C$22)*(1-Skovbrug!$C$9)^(C76-Skovbrug!$B$12),Skovbrug!$F$22-(Skovbrug!$F$22)*(1-Skovbrug!$C$9)^(C76-Skovbrug!$B$12)))*VLOOKUP(A76,Skovbrug!$A$13:$D$17,IF('Skovbrug-alder'!C76&lt;=År2,3,4),FALSE)
-IF(C76&gt;2020,SUM(INDEX($C$1:$D$311,MATCH(1,(2020=$C$1:$C$311)*(B76=$B$1:$B$311)*(A76=$A$1:$A$311),0),2):D75),0)</f>
        <v>920.91416733329788</v>
      </c>
      <c r="E76" s="168">
        <f t="shared" ca="1" si="1"/>
        <v>46.631242385745281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6045.2713164039333</v>
      </c>
      <c r="G76" s="168">
        <f ca="1">IF($C76-G$1&lt;År1,0,F75*(1-VLOOKUP($A76,[1]Hugst!$R$5:$W$9,MATCH(ROUNDUP((G$1)/10,0)*10,[1]Hugst!$R$4:$W$4,0))))</f>
        <v>6034.3864394717102</v>
      </c>
      <c r="H76" s="168">
        <f ca="1">IF($C76-H$1&lt;År1,0,G75*(1-VLOOKUP($A76,[1]Hugst!$R$5:$W$9,MATCH(ROUNDUP((H$1)/10,0)*10,[1]Hugst!$R$4:$W$4,0))))</f>
        <v>10177.996699080548</v>
      </c>
      <c r="I76" s="168">
        <f ca="1">IF($C76-I$1&lt;År1,0,H75*(1-VLOOKUP($A76,[1]Hugst!$R$5:$W$9,MATCH(ROUNDUP((I$1)/10,0)*10,[1]Hugst!$R$4:$W$4,0))))</f>
        <v>10167.096098050781</v>
      </c>
      <c r="J76" s="168">
        <f ca="1">IF($C76-J$1&lt;År1,0,I75*(1-VLOOKUP($A76,[1]Hugst!$R$5:$W$9,MATCH(ROUNDUP((J$1)/10,0)*10,[1]Hugst!$R$4:$W$4,0))))</f>
        <v>10171.793923059849</v>
      </c>
      <c r="K76" s="168">
        <f ca="1">IF($C76-K$1&lt;År1,0,J75*(1-VLOOKUP($A76,[1]Hugst!$R$5:$W$9,MATCH(ROUNDUP((K$1)/10,0)*10,[1]Hugst!$R$4:$W$4,0))))</f>
        <v>10176.515355229789</v>
      </c>
      <c r="L76" s="168">
        <f ca="1">IF($C76-L$1&lt;År1,0,K75*(1-VLOOKUP($A76,[1]Hugst!$R$5:$W$9,MATCH(ROUNDUP((L$1)/10,0)*10,[1]Hugst!$R$4:$W$4,0))))</f>
        <v>10181.260513189518</v>
      </c>
      <c r="M76" s="168">
        <f ca="1">IF($C76-M$1&lt;År1,0,L75*(1-VLOOKUP($A76,[1]Hugst!$R$5:$W$9,MATCH(ROUNDUP((M$1)/10,0)*10,[1]Hugst!$R$4:$W$4,0))))</f>
        <v>10186.02951616409</v>
      </c>
      <c r="N76" s="168">
        <f ca="1">IF($C76-N$1&lt;År1,0,M75*(1-VLOOKUP($A76,[1]Hugst!$R$5:$W$9,MATCH(ROUNDUP((N$1)/10,0)*10,[1]Hugst!$R$4:$W$4,0))))</f>
        <v>10190.822483977761</v>
      </c>
      <c r="O76" s="168">
        <f ca="1">IF($C76-O$1&lt;År1,0,N75*(1-VLOOKUP($A76,[1]Hugst!$R$5:$W$9,MATCH(ROUNDUP((O$1)/10,0)*10,[1]Hugst!$R$4:$W$4,0))))</f>
        <v>10195.639537056793</v>
      </c>
      <c r="P76" s="168">
        <f ca="1">IF($C76-P$1&lt;År1,0,O75*(1-VLOOKUP($A76,[1]Hugst!$R$5:$W$9,MATCH(ROUNDUP((P$1)/10,0)*10,[1]Hugst!$R$4:$W$4,0))))</f>
        <v>10184.920740980591</v>
      </c>
      <c r="Q76" s="168">
        <f ca="1">IF($C76-Q$1&lt;År1,0,P75*(1-VLOOKUP($A76,[1]Hugst!$R$5:$W$9,MATCH(ROUNDUP((Q$1)/10,0)*10,[1]Hugst!$R$4:$W$4,0))))</f>
        <v>10174.235175675825</v>
      </c>
      <c r="R76" s="168">
        <f ca="1">IF($C76-R$1&lt;År1,0,Q75*(1-VLOOKUP($A76,[1]Hugst!$R$5:$W$9,MATCH(ROUNDUP((R$1)/10,0)*10,[1]Hugst!$R$4:$W$4,0))))</f>
        <v>10163.582849397386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(IF(B77="Vestdanmark",Skovbrug!$C$22-(Skovbrug!$C$22)*(1-Skovbrug!$C$9)^(C77-Skovbrug!$B$12),Skovbrug!$F$22-(Skovbrug!$F$22)*(1-Skovbrug!$C$9)^(C77-Skovbrug!$B$12)))*VLOOKUP(A77,Skovbrug!$A$13:$D$17,IF('Skovbrug-alder'!C77&lt;=År2,3,4),FALSE)
-IF(C77&gt;2020,SUM(INDEX($C$1:$D$311,MATCH(1,(2020=$C$1:$C$311)*(B77=$B$1:$B$311)*(A77=$A$1:$A$311),0),2):D76),0)</f>
        <v>916.30959649663964</v>
      </c>
      <c r="E77" s="168">
        <f t="shared" ca="1" si="1"/>
        <v>62.112780462368391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6056.1482836438981</v>
      </c>
      <c r="G77" s="168">
        <f ca="1">IF($C77-G$1&lt;År1,0,F76*(1-VLOOKUP($A77,[1]Hugst!$R$5:$W$9,MATCH(ROUNDUP((G$1)/10,0)*10,[1]Hugst!$R$4:$W$4,0))))</f>
        <v>6045.2713164039333</v>
      </c>
      <c r="H77" s="168">
        <f ca="1">IF($C77-H$1&lt;År1,0,G76*(1-VLOOKUP($A77,[1]Hugst!$R$5:$W$9,MATCH(ROUNDUP((H$1)/10,0)*10,[1]Hugst!$R$4:$W$4,0))))</f>
        <v>6034.3864394717102</v>
      </c>
      <c r="I77" s="168">
        <f ca="1">IF($C77-I$1&lt;År1,0,H76*(1-VLOOKUP($A77,[1]Hugst!$R$5:$W$9,MATCH(ROUNDUP((I$1)/10,0)*10,[1]Hugst!$R$4:$W$4,0))))</f>
        <v>10177.996699080548</v>
      </c>
      <c r="J77" s="168">
        <f ca="1">IF($C77-J$1&lt;År1,0,I76*(1-VLOOKUP($A77,[1]Hugst!$R$5:$W$9,MATCH(ROUNDUP((J$1)/10,0)*10,[1]Hugst!$R$4:$W$4,0))))</f>
        <v>10167.096098050781</v>
      </c>
      <c r="K77" s="168">
        <f ca="1">IF($C77-K$1&lt;År1,0,J76*(1-VLOOKUP($A77,[1]Hugst!$R$5:$W$9,MATCH(ROUNDUP((K$1)/10,0)*10,[1]Hugst!$R$4:$W$4,0))))</f>
        <v>10171.793923059849</v>
      </c>
      <c r="L77" s="168">
        <f ca="1">IF($C77-L$1&lt;År1,0,K76*(1-VLOOKUP($A77,[1]Hugst!$R$5:$W$9,MATCH(ROUNDUP((L$1)/10,0)*10,[1]Hugst!$R$4:$W$4,0))))</f>
        <v>10176.515355229789</v>
      </c>
      <c r="M77" s="168">
        <f ca="1">IF($C77-M$1&lt;År1,0,L76*(1-VLOOKUP($A77,[1]Hugst!$R$5:$W$9,MATCH(ROUNDUP((M$1)/10,0)*10,[1]Hugst!$R$4:$W$4,0))))</f>
        <v>10181.260513189518</v>
      </c>
      <c r="N77" s="168">
        <f ca="1">IF($C77-N$1&lt;År1,0,M76*(1-VLOOKUP($A77,[1]Hugst!$R$5:$W$9,MATCH(ROUNDUP((N$1)/10,0)*10,[1]Hugst!$R$4:$W$4,0))))</f>
        <v>10186.02951616409</v>
      </c>
      <c r="O77" s="168">
        <f ca="1">IF($C77-O$1&lt;År1,0,N76*(1-VLOOKUP($A77,[1]Hugst!$R$5:$W$9,MATCH(ROUNDUP((O$1)/10,0)*10,[1]Hugst!$R$4:$W$4,0))))</f>
        <v>10190.822483977761</v>
      </c>
      <c r="P77" s="168">
        <f ca="1">IF($C77-P$1&lt;År1,0,O76*(1-VLOOKUP($A77,[1]Hugst!$R$5:$W$9,MATCH(ROUNDUP((P$1)/10,0)*10,[1]Hugst!$R$4:$W$4,0))))</f>
        <v>10180.086866576537</v>
      </c>
      <c r="Q77" s="168">
        <f ca="1">IF($C77-Q$1&lt;År1,0,P76*(1-VLOOKUP($A77,[1]Hugst!$R$5:$W$9,MATCH(ROUNDUP((Q$1)/10,0)*10,[1]Hugst!$R$4:$W$4,0))))</f>
        <v>10169.384421206214</v>
      </c>
      <c r="R77" s="168">
        <f ca="1">IF($C77-R$1&lt;År1,0,Q76*(1-VLOOKUP($A77,[1]Hugst!$R$5:$W$9,MATCH(ROUNDUP((R$1)/10,0)*10,[1]Hugst!$R$4:$W$4,0))))</f>
        <v>10158.715155916319</v>
      </c>
      <c r="S77" s="168">
        <f ca="1">IF($C77-S$1&lt;År1,0,R76*(1-VLOOKUP($A77,[1]Hugst!$R$5:$W$9,MATCH(ROUNDUP((S$1)/10,0)*10,[1]Hugst!$R$4:$W$4,0))))</f>
        <v>10148.079078949153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(IF(B78="Vestdanmark",Skovbrug!$C$22-(Skovbrug!$C$22)*(1-Skovbrug!$C$9)^(C78-Skovbrug!$B$12),Skovbrug!$F$22-(Skovbrug!$F$22)*(1-Skovbrug!$C$9)^(C78-Skovbrug!$B$12)))*VLOOKUP(A78,Skovbrug!$A$13:$D$17,IF('Skovbrug-alder'!C78&lt;=År2,3,4),FALSE)
-IF(C78&gt;2020,SUM(INDEX($C$1:$D$311,MATCH(1,(2020=$C$1:$C$311)*(B78=$B$1:$B$311)*(A78=$A$1:$A$311),0),2):D77),0)</f>
        <v>911.72804851416549</v>
      </c>
      <c r="E78" s="168">
        <f t="shared" ca="1" si="1"/>
        <v>77.563354586411151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6067.0173097854668</v>
      </c>
      <c r="G78" s="168">
        <f ca="1">IF($C78-G$1&lt;År1,0,F77*(1-VLOOKUP($A78,[1]Hugst!$R$5:$W$9,MATCH(ROUNDUP((G$1)/10,0)*10,[1]Hugst!$R$4:$W$4,0))))</f>
        <v>6056.1482836438981</v>
      </c>
      <c r="H78" s="168">
        <f ca="1">IF($C78-H$1&lt;År1,0,G77*(1-VLOOKUP($A78,[1]Hugst!$R$5:$W$9,MATCH(ROUNDUP((H$1)/10,0)*10,[1]Hugst!$R$4:$W$4,0))))</f>
        <v>6045.2713164039333</v>
      </c>
      <c r="I78" s="168">
        <f ca="1">IF($C78-I$1&lt;År1,0,H77*(1-VLOOKUP($A78,[1]Hugst!$R$5:$W$9,MATCH(ROUNDUP((I$1)/10,0)*10,[1]Hugst!$R$4:$W$4,0))))</f>
        <v>6034.3864394717102</v>
      </c>
      <c r="J78" s="168">
        <f ca="1">IF($C78-J$1&lt;År1,0,I77*(1-VLOOKUP($A78,[1]Hugst!$R$5:$W$9,MATCH(ROUNDUP((J$1)/10,0)*10,[1]Hugst!$R$4:$W$4,0))))</f>
        <v>10177.996699080548</v>
      </c>
      <c r="K78" s="168">
        <f ca="1">IF($C78-K$1&lt;År1,0,J77*(1-VLOOKUP($A78,[1]Hugst!$R$5:$W$9,MATCH(ROUNDUP((K$1)/10,0)*10,[1]Hugst!$R$4:$W$4,0))))</f>
        <v>10167.096098050781</v>
      </c>
      <c r="L78" s="168">
        <f ca="1">IF($C78-L$1&lt;År1,0,K77*(1-VLOOKUP($A78,[1]Hugst!$R$5:$W$9,MATCH(ROUNDUP((L$1)/10,0)*10,[1]Hugst!$R$4:$W$4,0))))</f>
        <v>10171.793923059849</v>
      </c>
      <c r="M78" s="168">
        <f ca="1">IF($C78-M$1&lt;År1,0,L77*(1-VLOOKUP($A78,[1]Hugst!$R$5:$W$9,MATCH(ROUNDUP((M$1)/10,0)*10,[1]Hugst!$R$4:$W$4,0))))</f>
        <v>10176.515355229789</v>
      </c>
      <c r="N78" s="168">
        <f ca="1">IF($C78-N$1&lt;År1,0,M77*(1-VLOOKUP($A78,[1]Hugst!$R$5:$W$9,MATCH(ROUNDUP((N$1)/10,0)*10,[1]Hugst!$R$4:$W$4,0))))</f>
        <v>10181.260513189518</v>
      </c>
      <c r="O78" s="168">
        <f ca="1">IF($C78-O$1&lt;År1,0,N77*(1-VLOOKUP($A78,[1]Hugst!$R$5:$W$9,MATCH(ROUNDUP((O$1)/10,0)*10,[1]Hugst!$R$4:$W$4,0))))</f>
        <v>10186.02951616409</v>
      </c>
      <c r="P78" s="168">
        <f ca="1">IF($C78-P$1&lt;År1,0,O77*(1-VLOOKUP($A78,[1]Hugst!$R$5:$W$9,MATCH(ROUNDUP((P$1)/10,0)*10,[1]Hugst!$R$4:$W$4,0))))</f>
        <v>10175.277161544574</v>
      </c>
      <c r="Q78" s="168">
        <f ca="1">IF($C78-Q$1&lt;År1,0,P77*(1-VLOOKUP($A78,[1]Hugst!$R$5:$W$9,MATCH(ROUNDUP((Q$1)/10,0)*10,[1]Hugst!$R$4:$W$4,0))))</f>
        <v>10164.557920508878</v>
      </c>
      <c r="R78" s="168">
        <f ca="1">IF($C78-R$1&lt;År1,0,Q77*(1-VLOOKUP($A78,[1]Hugst!$R$5:$W$9,MATCH(ROUNDUP((R$1)/10,0)*10,[1]Hugst!$R$4:$W$4,0))))</f>
        <v>10153.871800902678</v>
      </c>
      <c r="S78" s="168">
        <f ca="1">IF($C78-S$1&lt;År1,0,R77*(1-VLOOKUP($A78,[1]Hugst!$R$5:$W$9,MATCH(ROUNDUP((S$1)/10,0)*10,[1]Hugst!$R$4:$W$4,0))))</f>
        <v>10143.218810763226</v>
      </c>
      <c r="T78" s="168">
        <f ca="1">IF($C78-T$1&lt;År1,0,S77*(1-VLOOKUP($A78,[1]Hugst!$R$5:$W$9,MATCH(ROUNDUP((T$1)/10,0)*10,[1]Hugst!$R$4:$W$4,0))))</f>
        <v>10132.598958320246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(IF(B79="Vestdanmark",Skovbrug!$C$22-(Skovbrug!$C$22)*(1-Skovbrug!$C$9)^(C79-Skovbrug!$B$12),Skovbrug!$F$22-(Skovbrug!$F$22)*(1-Skovbrug!$C$9)^(C79-Skovbrug!$B$12)))*VLOOKUP(A79,Skovbrug!$A$13:$D$17,IF('Skovbrug-alder'!C79&lt;=År2,3,4),FALSE)
-IF(C79&gt;2020,SUM(INDEX($C$1:$D$311,MATCH(1,(2020=$C$1:$C$311)*(B79=$B$1:$B$311)*(A79=$A$1:$A$311),0),2):D78),0)</f>
        <v>907.16940827158942</v>
      </c>
      <c r="E79" s="168">
        <f t="shared" ca="1" si="1"/>
        <v>92.983048731170129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6077.8783636876497</v>
      </c>
      <c r="G79" s="168">
        <f ca="1">IF($C79-G$1&lt;År1,0,F78*(1-VLOOKUP($A79,[1]Hugst!$R$5:$W$9,MATCH(ROUNDUP((G$1)/10,0)*10,[1]Hugst!$R$4:$W$4,0))))</f>
        <v>6067.0173097854668</v>
      </c>
      <c r="H79" s="168">
        <f ca="1">IF($C79-H$1&lt;År1,0,G78*(1-VLOOKUP($A79,[1]Hugst!$R$5:$W$9,MATCH(ROUNDUP((H$1)/10,0)*10,[1]Hugst!$R$4:$W$4,0))))</f>
        <v>6056.1482836438981</v>
      </c>
      <c r="I79" s="168">
        <f ca="1">IF($C79-I$1&lt;År1,0,H78*(1-VLOOKUP($A79,[1]Hugst!$R$5:$W$9,MATCH(ROUNDUP((I$1)/10,0)*10,[1]Hugst!$R$4:$W$4,0))))</f>
        <v>6045.2713164039333</v>
      </c>
      <c r="J79" s="168">
        <f ca="1">IF($C79-J$1&lt;År1,0,I78*(1-VLOOKUP($A79,[1]Hugst!$R$5:$W$9,MATCH(ROUNDUP((J$1)/10,0)*10,[1]Hugst!$R$4:$W$4,0))))</f>
        <v>6034.3864394717102</v>
      </c>
      <c r="K79" s="168">
        <f ca="1">IF($C79-K$1&lt;År1,0,J78*(1-VLOOKUP($A79,[1]Hugst!$R$5:$W$9,MATCH(ROUNDUP((K$1)/10,0)*10,[1]Hugst!$R$4:$W$4,0))))</f>
        <v>10177.996699080548</v>
      </c>
      <c r="L79" s="168">
        <f ca="1">IF($C79-L$1&lt;År1,0,K78*(1-VLOOKUP($A79,[1]Hugst!$R$5:$W$9,MATCH(ROUNDUP((L$1)/10,0)*10,[1]Hugst!$R$4:$W$4,0))))</f>
        <v>10167.096098050781</v>
      </c>
      <c r="M79" s="168">
        <f ca="1">IF($C79-M$1&lt;År1,0,L78*(1-VLOOKUP($A79,[1]Hugst!$R$5:$W$9,MATCH(ROUNDUP((M$1)/10,0)*10,[1]Hugst!$R$4:$W$4,0))))</f>
        <v>10171.793923059849</v>
      </c>
      <c r="N79" s="168">
        <f ca="1">IF($C79-N$1&lt;År1,0,M78*(1-VLOOKUP($A79,[1]Hugst!$R$5:$W$9,MATCH(ROUNDUP((N$1)/10,0)*10,[1]Hugst!$R$4:$W$4,0))))</f>
        <v>10176.515355229789</v>
      </c>
      <c r="O79" s="168">
        <f ca="1">IF($C79-O$1&lt;År1,0,N78*(1-VLOOKUP($A79,[1]Hugst!$R$5:$W$9,MATCH(ROUNDUP((O$1)/10,0)*10,[1]Hugst!$R$4:$W$4,0))))</f>
        <v>10181.260513189518</v>
      </c>
      <c r="P79" s="168">
        <f ca="1">IF($C79-P$1&lt;År1,0,O78*(1-VLOOKUP($A79,[1]Hugst!$R$5:$W$9,MATCH(ROUNDUP((P$1)/10,0)*10,[1]Hugst!$R$4:$W$4,0))))</f>
        <v>10170.491505037737</v>
      </c>
      <c r="Q79" s="168">
        <f ca="1">IF($C79-Q$1&lt;År1,0,P78*(1-VLOOKUP($A79,[1]Hugst!$R$5:$W$9,MATCH(ROUNDUP((Q$1)/10,0)*10,[1]Hugst!$R$4:$W$4,0))))</f>
        <v>10159.755552315099</v>
      </c>
      <c r="R79" s="168">
        <f ca="1">IF($C79-R$1&lt;År1,0,Q78*(1-VLOOKUP($A79,[1]Hugst!$R$5:$W$9,MATCH(ROUNDUP((R$1)/10,0)*10,[1]Hugst!$R$4:$W$4,0))))</f>
        <v>10149.052662664033</v>
      </c>
      <c r="S79" s="168">
        <f ca="1">IF($C79-S$1&lt;År1,0,R78*(1-VLOOKUP($A79,[1]Hugst!$R$5:$W$9,MATCH(ROUNDUP((S$1)/10,0)*10,[1]Hugst!$R$4:$W$4,0))))</f>
        <v>10138.382843918249</v>
      </c>
      <c r="T79" s="168">
        <f ca="1">IF($C79-T$1&lt;År1,0,S78*(1-VLOOKUP($A79,[1]Hugst!$R$5:$W$9,MATCH(ROUNDUP((T$1)/10,0)*10,[1]Hugst!$R$4:$W$4,0))))</f>
        <v>10127.74610410274</v>
      </c>
      <c r="U79" s="168">
        <f ca="1">IF($C79-U$1&lt;År1,0,T78*(1-VLOOKUP($A79,[1]Hugst!$R$5:$W$9,MATCH(ROUNDUP((U$1)/10,0)*10,[1]Hugst!$R$4:$W$4,0))))</f>
        <v>10117.142451434673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(IF(B80="Vestdanmark",Skovbrug!$C$22-(Skovbrug!$C$22)*(1-Skovbrug!$C$9)^(C80-Skovbrug!$B$12),Skovbrug!$F$22-(Skovbrug!$F$22)*(1-Skovbrug!$C$9)^(C80-Skovbrug!$B$12)))*VLOOKUP(A80,Skovbrug!$A$13:$D$17,IF('Skovbrug-alder'!C80&lt;=År2,3,4),FALSE)
-IF(C80&gt;2020,SUM(INDEX($C$1:$D$311,MATCH(1,(2020=$C$1:$C$311)*(B80=$B$1:$B$311)*(A80=$A$1:$A$311),0),2):D79),0)</f>
        <v>902.6335612302355</v>
      </c>
      <c r="E80" s="168">
        <f t="shared" ca="1" si="1"/>
        <v>108.37194655826897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6088.7314144733946</v>
      </c>
      <c r="G80" s="168">
        <f ca="1">IF($C80-G$1&lt;År1,0,F79*(1-VLOOKUP($A80,[1]Hugst!$R$5:$W$9,MATCH(ROUNDUP((G$1)/10,0)*10,[1]Hugst!$R$4:$W$4,0))))</f>
        <v>6077.8783636876497</v>
      </c>
      <c r="H80" s="168">
        <f ca="1">IF($C80-H$1&lt;År1,0,G79*(1-VLOOKUP($A80,[1]Hugst!$R$5:$W$9,MATCH(ROUNDUP((H$1)/10,0)*10,[1]Hugst!$R$4:$W$4,0))))</f>
        <v>6067.0173097854668</v>
      </c>
      <c r="I80" s="168">
        <f ca="1">IF($C80-I$1&lt;År1,0,H79*(1-VLOOKUP($A80,[1]Hugst!$R$5:$W$9,MATCH(ROUNDUP((I$1)/10,0)*10,[1]Hugst!$R$4:$W$4,0))))</f>
        <v>6056.1482836438981</v>
      </c>
      <c r="J80" s="168">
        <f ca="1">IF($C80-J$1&lt;År1,0,I79*(1-VLOOKUP($A80,[1]Hugst!$R$5:$W$9,MATCH(ROUNDUP((J$1)/10,0)*10,[1]Hugst!$R$4:$W$4,0))))</f>
        <v>6045.2713164039333</v>
      </c>
      <c r="K80" s="168">
        <f ca="1">IF($C80-K$1&lt;År1,0,J79*(1-VLOOKUP($A80,[1]Hugst!$R$5:$W$9,MATCH(ROUNDUP((K$1)/10,0)*10,[1]Hugst!$R$4:$W$4,0))))</f>
        <v>6034.3864394717102</v>
      </c>
      <c r="L80" s="168">
        <f ca="1">IF($C80-L$1&lt;År1,0,K79*(1-VLOOKUP($A80,[1]Hugst!$R$5:$W$9,MATCH(ROUNDUP((L$1)/10,0)*10,[1]Hugst!$R$4:$W$4,0))))</f>
        <v>10177.996699080548</v>
      </c>
      <c r="M80" s="168">
        <f ca="1">IF($C80-M$1&lt;År1,0,L79*(1-VLOOKUP($A80,[1]Hugst!$R$5:$W$9,MATCH(ROUNDUP((M$1)/10,0)*10,[1]Hugst!$R$4:$W$4,0))))</f>
        <v>10167.096098050781</v>
      </c>
      <c r="N80" s="168">
        <f ca="1">IF($C80-N$1&lt;År1,0,M79*(1-VLOOKUP($A80,[1]Hugst!$R$5:$W$9,MATCH(ROUNDUP((N$1)/10,0)*10,[1]Hugst!$R$4:$W$4,0))))</f>
        <v>10171.793923059849</v>
      </c>
      <c r="O80" s="168">
        <f ca="1">IF($C80-O$1&lt;År1,0,N79*(1-VLOOKUP($A80,[1]Hugst!$R$5:$W$9,MATCH(ROUNDUP((O$1)/10,0)*10,[1]Hugst!$R$4:$W$4,0))))</f>
        <v>10176.515355229789</v>
      </c>
      <c r="P80" s="168">
        <f ca="1">IF($C80-P$1&lt;År1,0,O79*(1-VLOOKUP($A80,[1]Hugst!$R$5:$W$9,MATCH(ROUNDUP((P$1)/10,0)*10,[1]Hugst!$R$4:$W$4,0))))</f>
        <v>10165.729776813465</v>
      </c>
      <c r="Q80" s="168">
        <f ca="1">IF($C80-Q$1&lt;År1,0,P79*(1-VLOOKUP($A80,[1]Hugst!$R$5:$W$9,MATCH(ROUNDUP((Q$1)/10,0)*10,[1]Hugst!$R$4:$W$4,0))))</f>
        <v>10154.977195962256</v>
      </c>
      <c r="R80" s="168">
        <f ca="1">IF($C80-R$1&lt;År1,0,Q79*(1-VLOOKUP($A80,[1]Hugst!$R$5:$W$9,MATCH(ROUNDUP((R$1)/10,0)*10,[1]Hugst!$R$4:$W$4,0))))</f>
        <v>10144.257620116652</v>
      </c>
      <c r="S80" s="168">
        <f ca="1">IF($C80-S$1&lt;År1,0,R79*(1-VLOOKUP($A80,[1]Hugst!$R$5:$W$9,MATCH(ROUNDUP((S$1)/10,0)*10,[1]Hugst!$R$4:$W$4,0))))</f>
        <v>10133.571056907427</v>
      </c>
      <c r="T80" s="168">
        <f ca="1">IF($C80-T$1&lt;År1,0,S79*(1-VLOOKUP($A80,[1]Hugst!$R$5:$W$9,MATCH(ROUNDUP((T$1)/10,0)*10,[1]Hugst!$R$4:$W$4,0))))</f>
        <v>10122.917514156339</v>
      </c>
      <c r="U80" s="168">
        <f ca="1">IF($C80-U$1&lt;År1,0,T79*(1-VLOOKUP($A80,[1]Hugst!$R$5:$W$9,MATCH(ROUNDUP((U$1)/10,0)*10,[1]Hugst!$R$4:$W$4,0))))</f>
        <v>10112.296999876142</v>
      </c>
      <c r="V80" s="168">
        <f ca="1">IF($C80-V$1&lt;År1,0,U79*(1-VLOOKUP($A80,[1]Hugst!$R$5:$W$9,MATCH(ROUNDUP((V$1)/10,0)*10,[1]Hugst!$R$4:$W$4,0))))</f>
        <v>10101.709522271467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(IF(B81="Vestdanmark",Skovbrug!$C$22-(Skovbrug!$C$22)*(1-Skovbrug!$C$9)^(C81-Skovbrug!$B$12),Skovbrug!$F$22-(Skovbrug!$F$22)*(1-Skovbrug!$C$9)^(C81-Skovbrug!$B$12)))*VLOOKUP(A81,Skovbrug!$A$13:$D$17,IF('Skovbrug-alder'!C81&lt;=År2,3,4),FALSE)
-IF(C81&gt;2020,SUM(INDEX($C$1:$D$311,MATCH(1,(2020=$C$1:$C$311)*(B81=$B$1:$B$311)*(A81=$A$1:$A$311),0),2):D80),0)</f>
        <v>898.12039342408752</v>
      </c>
      <c r="E81" s="168">
        <f t="shared" ca="1" si="1"/>
        <v>123.73013141899719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6099.5764315279748</v>
      </c>
      <c r="G81" s="168">
        <f ca="1">IF($C81-G$1&lt;År1,0,F80*(1-VLOOKUP($A81,[1]Hugst!$R$5:$W$9,MATCH(ROUNDUP((G$1)/10,0)*10,[1]Hugst!$R$4:$W$4,0))))</f>
        <v>6088.7314144733946</v>
      </c>
      <c r="H81" s="168">
        <f ca="1">IF($C81-H$1&lt;År1,0,G80*(1-VLOOKUP($A81,[1]Hugst!$R$5:$W$9,MATCH(ROUNDUP((H$1)/10,0)*10,[1]Hugst!$R$4:$W$4,0))))</f>
        <v>6077.8783636876497</v>
      </c>
      <c r="I81" s="168">
        <f ca="1">IF($C81-I$1&lt;År1,0,H80*(1-VLOOKUP($A81,[1]Hugst!$R$5:$W$9,MATCH(ROUNDUP((I$1)/10,0)*10,[1]Hugst!$R$4:$W$4,0))))</f>
        <v>6067.0173097854668</v>
      </c>
      <c r="J81" s="168">
        <f ca="1">IF($C81-J$1&lt;År1,0,I80*(1-VLOOKUP($A81,[1]Hugst!$R$5:$W$9,MATCH(ROUNDUP((J$1)/10,0)*10,[1]Hugst!$R$4:$W$4,0))))</f>
        <v>6056.1482836438981</v>
      </c>
      <c r="K81" s="168">
        <f ca="1">IF($C81-K$1&lt;År1,0,J80*(1-VLOOKUP($A81,[1]Hugst!$R$5:$W$9,MATCH(ROUNDUP((K$1)/10,0)*10,[1]Hugst!$R$4:$W$4,0))))</f>
        <v>6045.2713164039333</v>
      </c>
      <c r="L81" s="168">
        <f ca="1">IF($C81-L$1&lt;År1,0,K80*(1-VLOOKUP($A81,[1]Hugst!$R$5:$W$9,MATCH(ROUNDUP((L$1)/10,0)*10,[1]Hugst!$R$4:$W$4,0))))</f>
        <v>6034.3864394717102</v>
      </c>
      <c r="M81" s="168">
        <f ca="1">IF($C81-M$1&lt;År1,0,L80*(1-VLOOKUP($A81,[1]Hugst!$R$5:$W$9,MATCH(ROUNDUP((M$1)/10,0)*10,[1]Hugst!$R$4:$W$4,0))))</f>
        <v>10177.996699080548</v>
      </c>
      <c r="N81" s="168">
        <f ca="1">IF($C81-N$1&lt;År1,0,M80*(1-VLOOKUP($A81,[1]Hugst!$R$5:$W$9,MATCH(ROUNDUP((N$1)/10,0)*10,[1]Hugst!$R$4:$W$4,0))))</f>
        <v>10167.096098050781</v>
      </c>
      <c r="O81" s="168">
        <f ca="1">IF($C81-O$1&lt;År1,0,N80*(1-VLOOKUP($A81,[1]Hugst!$R$5:$W$9,MATCH(ROUNDUP((O$1)/10,0)*10,[1]Hugst!$R$4:$W$4,0))))</f>
        <v>10171.793923059849</v>
      </c>
      <c r="P81" s="168">
        <f ca="1">IF($C81-P$1&lt;År1,0,O80*(1-VLOOKUP($A81,[1]Hugst!$R$5:$W$9,MATCH(ROUNDUP((P$1)/10,0)*10,[1]Hugst!$R$4:$W$4,0))))</f>
        <v>10160.991857230285</v>
      </c>
      <c r="Q81" s="168">
        <f ca="1">IF($C81-Q$1&lt;År1,0,P80*(1-VLOOKUP($A81,[1]Hugst!$R$5:$W$9,MATCH(ROUNDUP((Q$1)/10,0)*10,[1]Hugst!$R$4:$W$4,0))))</f>
        <v>10150.222731391206</v>
      </c>
      <c r="R81" s="168">
        <f ca="1">IF($C81-R$1&lt;År1,0,Q80*(1-VLOOKUP($A81,[1]Hugst!$R$5:$W$9,MATCH(ROUNDUP((R$1)/10,0)*10,[1]Hugst!$R$4:$W$4,0))))</f>
        <v>10139.486552781975</v>
      </c>
      <c r="S81" s="168">
        <f ca="1">IF($C81-S$1&lt;År1,0,R80*(1-VLOOKUP($A81,[1]Hugst!$R$5:$W$9,MATCH(ROUNDUP((S$1)/10,0)*10,[1]Hugst!$R$4:$W$4,0))))</f>
        <v>10128.783328831729</v>
      </c>
      <c r="T81" s="168">
        <f ca="1">IF($C81-T$1&lt;År1,0,S80*(1-VLOOKUP($A81,[1]Hugst!$R$5:$W$9,MATCH(ROUNDUP((T$1)/10,0)*10,[1]Hugst!$R$4:$W$4,0))))</f>
        <v>10118.113067159602</v>
      </c>
      <c r="U81" s="168">
        <f ca="1">IF($C81-U$1&lt;År1,0,T80*(1-VLOOKUP($A81,[1]Hugst!$R$5:$W$9,MATCH(ROUNDUP((U$1)/10,0)*10,[1]Hugst!$R$4:$W$4,0))))</f>
        <v>10107.475775575422</v>
      </c>
      <c r="V81" s="168">
        <f ca="1">IF($C81-V$1&lt;År1,0,U80*(1-VLOOKUP($A81,[1]Hugst!$R$5:$W$9,MATCH(ROUNDUP((V$1)/10,0)*10,[1]Hugst!$R$4:$W$4,0))))</f>
        <v>10096.87146207972</v>
      </c>
      <c r="W81" s="168">
        <f ca="1">IF($C81-W$1&lt;År1,0,V80*(1-VLOOKUP($A81,[1]Hugst!$R$5:$W$9,MATCH(ROUNDUP((W$1)/10,0)*10,[1]Hugst!$R$4:$W$4,0))))</f>
        <v>10086.300134864612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(IF(B82="Vestdanmark",Skovbrug!$C$22-(Skovbrug!$C$22)*(1-Skovbrug!$C$9)^(C82-Skovbrug!$B$12),Skovbrug!$F$22-(Skovbrug!$F$22)*(1-Skovbrug!$C$9)^(C82-Skovbrug!$B$12)))*VLOOKUP(A82,Skovbrug!$A$13:$D$17,IF('Skovbrug-alder'!C82&lt;=År2,3,4),FALSE)
-IF(C82&gt;2020,SUM(INDEX($C$1:$D$311,MATCH(1,(2020=$C$1:$C$311)*(B82=$B$1:$B$311)*(A82=$A$1:$A$311),0),2):D81),0)</f>
        <v>893.62979145697318</v>
      </c>
      <c r="E82" s="168">
        <f t="shared" ca="1" si="1"/>
        <v>139.05768635537243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6110.4133844972357</v>
      </c>
      <c r="G82" s="168">
        <f ca="1">IF($C82-G$1&lt;År1,0,F81*(1-VLOOKUP($A82,[1]Hugst!$R$5:$W$9,MATCH(ROUNDUP((G$1)/10,0)*10,[1]Hugst!$R$4:$W$4,0))))</f>
        <v>6099.5764315279748</v>
      </c>
      <c r="H82" s="168">
        <f ca="1">IF($C82-H$1&lt;År1,0,G81*(1-VLOOKUP($A82,[1]Hugst!$R$5:$W$9,MATCH(ROUNDUP((H$1)/10,0)*10,[1]Hugst!$R$4:$W$4,0))))</f>
        <v>6088.7314144733946</v>
      </c>
      <c r="I82" s="168">
        <f ca="1">IF($C82-I$1&lt;År1,0,H81*(1-VLOOKUP($A82,[1]Hugst!$R$5:$W$9,MATCH(ROUNDUP((I$1)/10,0)*10,[1]Hugst!$R$4:$W$4,0))))</f>
        <v>6077.8783636876497</v>
      </c>
      <c r="J82" s="168">
        <f ca="1">IF($C82-J$1&lt;År1,0,I81*(1-VLOOKUP($A82,[1]Hugst!$R$5:$W$9,MATCH(ROUNDUP((J$1)/10,0)*10,[1]Hugst!$R$4:$W$4,0))))</f>
        <v>6067.0173097854668</v>
      </c>
      <c r="K82" s="168">
        <f ca="1">IF($C82-K$1&lt;År1,0,J81*(1-VLOOKUP($A82,[1]Hugst!$R$5:$W$9,MATCH(ROUNDUP((K$1)/10,0)*10,[1]Hugst!$R$4:$W$4,0))))</f>
        <v>6056.1482836438981</v>
      </c>
      <c r="L82" s="168">
        <f ca="1">IF($C82-L$1&lt;År1,0,K81*(1-VLOOKUP($A82,[1]Hugst!$R$5:$W$9,MATCH(ROUNDUP((L$1)/10,0)*10,[1]Hugst!$R$4:$W$4,0))))</f>
        <v>6045.2713164039333</v>
      </c>
      <c r="M82" s="168">
        <f ca="1">IF($C82-M$1&lt;År1,0,L81*(1-VLOOKUP($A82,[1]Hugst!$R$5:$W$9,MATCH(ROUNDUP((M$1)/10,0)*10,[1]Hugst!$R$4:$W$4,0))))</f>
        <v>6034.3864394717102</v>
      </c>
      <c r="N82" s="168">
        <f ca="1">IF($C82-N$1&lt;År1,0,M81*(1-VLOOKUP($A82,[1]Hugst!$R$5:$W$9,MATCH(ROUNDUP((N$1)/10,0)*10,[1]Hugst!$R$4:$W$4,0))))</f>
        <v>10177.996699080548</v>
      </c>
      <c r="O82" s="168">
        <f ca="1">IF($C82-O$1&lt;År1,0,N81*(1-VLOOKUP($A82,[1]Hugst!$R$5:$W$9,MATCH(ROUNDUP((O$1)/10,0)*10,[1]Hugst!$R$4:$W$4,0))))</f>
        <v>10167.096098050781</v>
      </c>
      <c r="P82" s="168">
        <f ca="1">IF($C82-P$1&lt;År1,0,O81*(1-VLOOKUP($A82,[1]Hugst!$R$5:$W$9,MATCH(ROUNDUP((P$1)/10,0)*10,[1]Hugst!$R$4:$W$4,0))))</f>
        <v>10156.277627245012</v>
      </c>
      <c r="Q82" s="168">
        <f ca="1">IF($C82-Q$1&lt;År1,0,P81*(1-VLOOKUP($A82,[1]Hugst!$R$5:$W$9,MATCH(ROUNDUP((Q$1)/10,0)*10,[1]Hugst!$R$4:$W$4,0))))</f>
        <v>10145.492039142984</v>
      </c>
      <c r="R82" s="168">
        <f ca="1">IF($C82-R$1&lt;År1,0,Q81*(1-VLOOKUP($A82,[1]Hugst!$R$5:$W$9,MATCH(ROUNDUP((R$1)/10,0)*10,[1]Hugst!$R$4:$W$4,0))))</f>
        <v>10134.739340783999</v>
      </c>
      <c r="S82" s="168">
        <f ca="1">IF($C82-S$1&lt;År1,0,R81*(1-VLOOKUP($A82,[1]Hugst!$R$5:$W$9,MATCH(ROUNDUP((S$1)/10,0)*10,[1]Hugst!$R$4:$W$4,0))))</f>
        <v>10124.019539396375</v>
      </c>
      <c r="T82" s="168">
        <f ca="1">IF($C82-T$1&lt;År1,0,S81*(1-VLOOKUP($A82,[1]Hugst!$R$5:$W$9,MATCH(ROUNDUP((T$1)/10,0)*10,[1]Hugst!$R$4:$W$4,0))))</f>
        <v>10113.332642397918</v>
      </c>
      <c r="U82" s="168">
        <f ca="1">IF($C82-U$1&lt;År1,0,T81*(1-VLOOKUP($A82,[1]Hugst!$R$5:$W$9,MATCH(ROUNDUP((U$1)/10,0)*10,[1]Hugst!$R$4:$W$4,0))))</f>
        <v>10102.678657396138</v>
      </c>
      <c r="V82" s="168">
        <f ca="1">IF($C82-V$1&lt;År1,0,U81*(1-VLOOKUP($A82,[1]Hugst!$R$5:$W$9,MATCH(ROUNDUP((V$1)/10,0)*10,[1]Hugst!$R$4:$W$4,0))))</f>
        <v>10092.05759218895</v>
      </c>
      <c r="W82" s="168">
        <f ca="1">IF($C82-W$1&lt;År1,0,V81*(1-VLOOKUP($A82,[1]Hugst!$R$5:$W$9,MATCH(ROUNDUP((W$1)/10,0)*10,[1]Hugst!$R$4:$W$4,0))))</f>
        <v>10081.469454764683</v>
      </c>
      <c r="X82" s="168">
        <f ca="1">IF($C82-X$1&lt;År1,0,W81*(1-VLOOKUP($A82,[1]Hugst!$R$5:$W$9,MATCH(ROUNDUP((X$1)/10,0)*10,[1]Hugst!$R$4:$W$4,0))))</f>
        <v>10070.914253302954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(IF(B83="Vestdanmark",Skovbrug!$C$22-(Skovbrug!$C$22)*(1-Skovbrug!$C$9)^(C83-Skovbrug!$B$12),Skovbrug!$F$22-(Skovbrug!$F$22)*(1-Skovbrug!$C$9)^(C83-Skovbrug!$B$12)))*VLOOKUP(A83,Skovbrug!$A$13:$D$17,IF('Skovbrug-alder'!C83&lt;=År2,3,4),FALSE)
-IF(C83&gt;2020,SUM(INDEX($C$1:$D$311,MATCH(1,(2020=$C$1:$C$311)*(B83=$B$1:$B$311)*(A83=$A$1:$A$311),0),2):D82),0)</f>
        <v>889.1616424996464</v>
      </c>
      <c r="E83" s="168">
        <f t="shared" ca="1" si="1"/>
        <v>154.35469410204678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6121.2422432865833</v>
      </c>
      <c r="G83" s="168">
        <f ca="1">IF($C83-G$1&lt;År1,0,F82*(1-VLOOKUP($A83,[1]Hugst!$R$5:$W$9,MATCH(ROUNDUP((G$1)/10,0)*10,[1]Hugst!$R$4:$W$4,0))))</f>
        <v>6110.4133844972357</v>
      </c>
      <c r="H83" s="168">
        <f ca="1">IF($C83-H$1&lt;År1,0,G82*(1-VLOOKUP($A83,[1]Hugst!$R$5:$W$9,MATCH(ROUNDUP((H$1)/10,0)*10,[1]Hugst!$R$4:$W$4,0))))</f>
        <v>6099.5764315279748</v>
      </c>
      <c r="I83" s="168">
        <f ca="1">IF($C83-I$1&lt;År1,0,H82*(1-VLOOKUP($A83,[1]Hugst!$R$5:$W$9,MATCH(ROUNDUP((I$1)/10,0)*10,[1]Hugst!$R$4:$W$4,0))))</f>
        <v>6088.7314144733946</v>
      </c>
      <c r="J83" s="168">
        <f ca="1">IF($C83-J$1&lt;År1,0,I82*(1-VLOOKUP($A83,[1]Hugst!$R$5:$W$9,MATCH(ROUNDUP((J$1)/10,0)*10,[1]Hugst!$R$4:$W$4,0))))</f>
        <v>6077.8783636876497</v>
      </c>
      <c r="K83" s="168">
        <f ca="1">IF($C83-K$1&lt;År1,0,J82*(1-VLOOKUP($A83,[1]Hugst!$R$5:$W$9,MATCH(ROUNDUP((K$1)/10,0)*10,[1]Hugst!$R$4:$W$4,0))))</f>
        <v>6067.0173097854668</v>
      </c>
      <c r="L83" s="168">
        <f ca="1">IF($C83-L$1&lt;År1,0,K82*(1-VLOOKUP($A83,[1]Hugst!$R$5:$W$9,MATCH(ROUNDUP((L$1)/10,0)*10,[1]Hugst!$R$4:$W$4,0))))</f>
        <v>6056.1482836438981</v>
      </c>
      <c r="M83" s="168">
        <f ca="1">IF($C83-M$1&lt;År1,0,L82*(1-VLOOKUP($A83,[1]Hugst!$R$5:$W$9,MATCH(ROUNDUP((M$1)/10,0)*10,[1]Hugst!$R$4:$W$4,0))))</f>
        <v>6045.2713164039333</v>
      </c>
      <c r="N83" s="168">
        <f ca="1">IF($C83-N$1&lt;År1,0,M82*(1-VLOOKUP($A83,[1]Hugst!$R$5:$W$9,MATCH(ROUNDUP((N$1)/10,0)*10,[1]Hugst!$R$4:$W$4,0))))</f>
        <v>6034.3864394717102</v>
      </c>
      <c r="O83" s="168">
        <f ca="1">IF($C83-O$1&lt;År1,0,N82*(1-VLOOKUP($A83,[1]Hugst!$R$5:$W$9,MATCH(ROUNDUP((O$1)/10,0)*10,[1]Hugst!$R$4:$W$4,0))))</f>
        <v>10177.996699080548</v>
      </c>
      <c r="P83" s="168">
        <f ca="1">IF($C83-P$1&lt;År1,0,O82*(1-VLOOKUP($A83,[1]Hugst!$R$5:$W$9,MATCH(ROUNDUP((P$1)/10,0)*10,[1]Hugst!$R$4:$W$4,0))))</f>
        <v>10151.586968409685</v>
      </c>
      <c r="Q83" s="168">
        <f ca="1">IF($C83-Q$1&lt;År1,0,P82*(1-VLOOKUP($A83,[1]Hugst!$R$5:$W$9,MATCH(ROUNDUP((Q$1)/10,0)*10,[1]Hugst!$R$4:$W$4,0))))</f>
        <v>10140.785000355994</v>
      </c>
      <c r="R83" s="168">
        <f ca="1">IF($C83-R$1&lt;År1,0,Q82*(1-VLOOKUP($A83,[1]Hugst!$R$5:$W$9,MATCH(ROUNDUP((R$1)/10,0)*10,[1]Hugst!$R$4:$W$4,0))))</f>
        <v>10130.015864845986</v>
      </c>
      <c r="S83" s="168">
        <f ca="1">IF($C83-S$1&lt;År1,0,R82*(1-VLOOKUP($A83,[1]Hugst!$R$5:$W$9,MATCH(ROUNDUP((S$1)/10,0)*10,[1]Hugst!$R$4:$W$4,0))))</f>
        <v>10119.279568908227</v>
      </c>
      <c r="T83" s="168">
        <f ca="1">IF($C83-T$1&lt;År1,0,S82*(1-VLOOKUP($A83,[1]Hugst!$R$5:$W$9,MATCH(ROUNDUP((T$1)/10,0)*10,[1]Hugst!$R$4:$W$4,0))))</f>
        <v>10108.576119760008</v>
      </c>
      <c r="U83" s="168">
        <f ca="1">IF($C83-U$1&lt;År1,0,T82*(1-VLOOKUP($A83,[1]Hugst!$R$5:$W$9,MATCH(ROUNDUP((U$1)/10,0)*10,[1]Hugst!$R$4:$W$4,0))))</f>
        <v>10097.905524807818</v>
      </c>
      <c r="V83" s="168">
        <f ca="1">IF($C83-V$1&lt;År1,0,U82*(1-VLOOKUP($A83,[1]Hugst!$R$5:$W$9,MATCH(ROUNDUP((V$1)/10,0)*10,[1]Hugst!$R$4:$W$4,0))))</f>
        <v>10087.267791647568</v>
      </c>
      <c r="W83" s="168">
        <f ca="1">IF($C83-W$1&lt;År1,0,V82*(1-VLOOKUP($A83,[1]Hugst!$R$5:$W$9,MATCH(ROUNDUP((W$1)/10,0)*10,[1]Hugst!$R$4:$W$4,0))))</f>
        <v>10076.662928065272</v>
      </c>
      <c r="X83" s="168">
        <f ca="1">IF($C83-X$1&lt;År1,0,W82*(1-VLOOKUP($A83,[1]Hugst!$R$5:$W$9,MATCH(ROUNDUP((X$1)/10,0)*10,[1]Hugst!$R$4:$W$4,0))))</f>
        <v>10066.090942037075</v>
      </c>
      <c r="Y83" s="168">
        <f ca="1">IF($C83-Y$1&lt;År1,0,X82*(1-VLOOKUP($A83,[1]Hugst!$R$5:$W$9,MATCH(ROUNDUP((Y$1)/10,0)*10,[1]Hugst!$R$4:$W$4,0))))</f>
        <v>10055.551841730117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(IF(B84="Vestdanmark",Skovbrug!$C$22-(Skovbrug!$C$22)*(1-Skovbrug!$C$9)^(C84-Skovbrug!$B$12),Skovbrug!$F$22-(Skovbrug!$F$22)*(1-Skovbrug!$C$9)^(C84-Skovbrug!$B$12)))*VLOOKUP(A84,Skovbrug!$A$13:$D$17,IF('Skovbrug-alder'!C84&lt;=År2,3,4),FALSE)
-IF(C84&gt;2020,SUM(INDEX($C$1:$D$311,MATCH(1,(2020=$C$1:$C$311)*(B84=$B$1:$B$311)*(A84=$A$1:$A$311),0),2):D83),0)</f>
        <v>884.71583428717713</v>
      </c>
      <c r="E84" s="168">
        <f t="shared" ca="1" si="1"/>
        <v>171.77540899137966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6134.2171499634469</v>
      </c>
      <c r="G84" s="168">
        <f ca="1">IF($C84-G$1&lt;År1,0,F83*(1-VLOOKUP($A84,[1]Hugst!$R$5:$W$9,MATCH(ROUNDUP((G$1)/10,0)*10,[1]Hugst!$R$4:$W$4,0))))</f>
        <v>6121.2422432865833</v>
      </c>
      <c r="H84" s="168">
        <f ca="1">IF($C84-H$1&lt;År1,0,G83*(1-VLOOKUP($A84,[1]Hugst!$R$5:$W$9,MATCH(ROUNDUP((H$1)/10,0)*10,[1]Hugst!$R$4:$W$4,0))))</f>
        <v>6110.4133844972357</v>
      </c>
      <c r="I84" s="168">
        <f ca="1">IF($C84-I$1&lt;År1,0,H83*(1-VLOOKUP($A84,[1]Hugst!$R$5:$W$9,MATCH(ROUNDUP((I$1)/10,0)*10,[1]Hugst!$R$4:$W$4,0))))</f>
        <v>6099.5764315279748</v>
      </c>
      <c r="J84" s="168">
        <f ca="1">IF($C84-J$1&lt;År1,0,I83*(1-VLOOKUP($A84,[1]Hugst!$R$5:$W$9,MATCH(ROUNDUP((J$1)/10,0)*10,[1]Hugst!$R$4:$W$4,0))))</f>
        <v>6088.7314144733946</v>
      </c>
      <c r="K84" s="168">
        <f ca="1">IF($C84-K$1&lt;År1,0,J83*(1-VLOOKUP($A84,[1]Hugst!$R$5:$W$9,MATCH(ROUNDUP((K$1)/10,0)*10,[1]Hugst!$R$4:$W$4,0))))</f>
        <v>6077.8783636876497</v>
      </c>
      <c r="L84" s="168">
        <f ca="1">IF($C84-L$1&lt;År1,0,K83*(1-VLOOKUP($A84,[1]Hugst!$R$5:$W$9,MATCH(ROUNDUP((L$1)/10,0)*10,[1]Hugst!$R$4:$W$4,0))))</f>
        <v>6067.0173097854668</v>
      </c>
      <c r="M84" s="168">
        <f ca="1">IF($C84-M$1&lt;År1,0,L83*(1-VLOOKUP($A84,[1]Hugst!$R$5:$W$9,MATCH(ROUNDUP((M$1)/10,0)*10,[1]Hugst!$R$4:$W$4,0))))</f>
        <v>6056.1482836438981</v>
      </c>
      <c r="N84" s="168">
        <f ca="1">IF($C84-N$1&lt;År1,0,M83*(1-VLOOKUP($A84,[1]Hugst!$R$5:$W$9,MATCH(ROUNDUP((N$1)/10,0)*10,[1]Hugst!$R$4:$W$4,0))))</f>
        <v>6045.2713164039333</v>
      </c>
      <c r="O84" s="168">
        <f ca="1">IF($C84-O$1&lt;År1,0,N83*(1-VLOOKUP($A84,[1]Hugst!$R$5:$W$9,MATCH(ROUNDUP((O$1)/10,0)*10,[1]Hugst!$R$4:$W$4,0))))</f>
        <v>6034.3864394717102</v>
      </c>
      <c r="P84" s="168">
        <f ca="1">IF($C84-P$1&lt;År1,0,O83*(1-VLOOKUP($A84,[1]Hugst!$R$5:$W$9,MATCH(ROUNDUP((P$1)/10,0)*10,[1]Hugst!$R$4:$W$4,0))))</f>
        <v>10162.470941403984</v>
      </c>
      <c r="Q84" s="168">
        <f ca="1">IF($C84-Q$1&lt;År1,0,P83*(1-VLOOKUP($A84,[1]Hugst!$R$5:$W$9,MATCH(ROUNDUP((Q$1)/10,0)*10,[1]Hugst!$R$4:$W$4,0))))</f>
        <v>10136.101496762958</v>
      </c>
      <c r="R84" s="168">
        <f ca="1">IF($C84-R$1&lt;År1,0,Q83*(1-VLOOKUP($A84,[1]Hugst!$R$5:$W$9,MATCH(ROUNDUP((R$1)/10,0)*10,[1]Hugst!$R$4:$W$4,0))))</f>
        <v>10125.316006287654</v>
      </c>
      <c r="S84" s="168">
        <f ca="1">IF($C84-S$1&lt;År1,0,R83*(1-VLOOKUP($A84,[1]Hugst!$R$5:$W$9,MATCH(ROUNDUP((S$1)/10,0)*10,[1]Hugst!$R$4:$W$4,0))))</f>
        <v>10114.563298272491</v>
      </c>
      <c r="T84" s="168">
        <f ca="1">IF($C84-T$1&lt;År1,0,S83*(1-VLOOKUP($A84,[1]Hugst!$R$5:$W$9,MATCH(ROUNDUP((T$1)/10,0)*10,[1]Hugst!$R$4:$W$4,0))))</f>
        <v>10103.843379735315</v>
      </c>
      <c r="U84" s="168">
        <f ca="1">IF($C84-U$1&lt;År1,0,T83*(1-VLOOKUP($A84,[1]Hugst!$R$5:$W$9,MATCH(ROUNDUP((U$1)/10,0)*10,[1]Hugst!$R$4:$W$4,0))))</f>
        <v>10093.156257882407</v>
      </c>
      <c r="V84" s="168">
        <f ca="1">IF($C84-V$1&lt;År1,0,U83*(1-VLOOKUP($A84,[1]Hugst!$R$5:$W$9,MATCH(ROUNDUP((V$1)/10,0)*10,[1]Hugst!$R$4:$W$4,0))))</f>
        <v>10082.501940108959</v>
      </c>
      <c r="W84" s="168">
        <f ca="1">IF($C84-W$1&lt;År1,0,V83*(1-VLOOKUP($A84,[1]Hugst!$R$5:$W$9,MATCH(ROUNDUP((W$1)/10,0)*10,[1]Hugst!$R$4:$W$4,0))))</f>
        <v>10071.880433999291</v>
      </c>
      <c r="X84" s="168">
        <f ca="1">IF($C84-X$1&lt;År1,0,W83*(1-VLOOKUP($A84,[1]Hugst!$R$5:$W$9,MATCH(ROUNDUP((X$1)/10,0)*10,[1]Hugst!$R$4:$W$4,0))))</f>
        <v>10061.291747327545</v>
      </c>
      <c r="Y84" s="168">
        <f ca="1">IF($C84-Y$1&lt;År1,0,X83*(1-VLOOKUP($A84,[1]Hugst!$R$5:$W$9,MATCH(ROUNDUP((Y$1)/10,0)*10,[1]Hugst!$R$4:$W$4,0))))</f>
        <v>10050.735888057696</v>
      </c>
      <c r="Z84" s="168">
        <f ca="1">IF($C84-Z$1&lt;År1,0,Y83*(1-VLOOKUP($A84,[1]Hugst!$R$5:$W$9,MATCH(ROUNDUP((Z$1)/10,0)*10,[1]Hugst!$R$4:$W$4,0))))</f>
        <v>10038.082450818636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(IF(B85="Vestdanmark",Skovbrug!$C$22-(Skovbrug!$C$22)*(1-Skovbrug!$C$9)^(C85-Skovbrug!$B$12),Skovbrug!$F$22-(Skovbrug!$F$22)*(1-Skovbrug!$C$9)^(C85-Skovbrug!$B$12)))*VLOOKUP(A85,Skovbrug!$A$13:$D$17,IF('Skovbrug-alder'!C85&lt;=År2,3,4),FALSE)
-IF(C85&gt;2020,SUM(INDEX($C$1:$D$311,MATCH(1,(2020=$C$1:$C$311)*(B85=$B$1:$B$311)*(A85=$A$1:$A$311),0),2):D84),0)</f>
        <v>880.29225511574259</v>
      </c>
      <c r="E85" s="168">
        <f t="shared" ca="1" si="1"/>
        <v>182.84406702459091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6140.8622288252236</v>
      </c>
      <c r="G85" s="168">
        <f ca="1">IF($C85-G$1&lt;År1,0,F84*(1-VLOOKUP($A85,[1]Hugst!$R$5:$W$9,MATCH(ROUNDUP((G$1)/10,0)*10,[1]Hugst!$R$4:$W$4,0))))</f>
        <v>6134.2171499634469</v>
      </c>
      <c r="H85" s="168">
        <f ca="1">IF($C85-H$1&lt;År1,0,G84*(1-VLOOKUP($A85,[1]Hugst!$R$5:$W$9,MATCH(ROUNDUP((H$1)/10,0)*10,[1]Hugst!$R$4:$W$4,0))))</f>
        <v>6121.2422432865833</v>
      </c>
      <c r="I85" s="168">
        <f ca="1">IF($C85-I$1&lt;År1,0,H84*(1-VLOOKUP($A85,[1]Hugst!$R$5:$W$9,MATCH(ROUNDUP((I$1)/10,0)*10,[1]Hugst!$R$4:$W$4,0))))</f>
        <v>6110.4133844972357</v>
      </c>
      <c r="J85" s="168">
        <f ca="1">IF($C85-J$1&lt;År1,0,I84*(1-VLOOKUP($A85,[1]Hugst!$R$5:$W$9,MATCH(ROUNDUP((J$1)/10,0)*10,[1]Hugst!$R$4:$W$4,0))))</f>
        <v>6099.5764315279748</v>
      </c>
      <c r="K85" s="168">
        <f ca="1">IF($C85-K$1&lt;År1,0,J84*(1-VLOOKUP($A85,[1]Hugst!$R$5:$W$9,MATCH(ROUNDUP((K$1)/10,0)*10,[1]Hugst!$R$4:$W$4,0))))</f>
        <v>6088.7314144733946</v>
      </c>
      <c r="L85" s="168">
        <f ca="1">IF($C85-L$1&lt;År1,0,K84*(1-VLOOKUP($A85,[1]Hugst!$R$5:$W$9,MATCH(ROUNDUP((L$1)/10,0)*10,[1]Hugst!$R$4:$W$4,0))))</f>
        <v>6077.8783636876497</v>
      </c>
      <c r="M85" s="168">
        <f ca="1">IF($C85-M$1&lt;År1,0,L84*(1-VLOOKUP($A85,[1]Hugst!$R$5:$W$9,MATCH(ROUNDUP((M$1)/10,0)*10,[1]Hugst!$R$4:$W$4,0))))</f>
        <v>6067.0173097854668</v>
      </c>
      <c r="N85" s="168">
        <f ca="1">IF($C85-N$1&lt;År1,0,M84*(1-VLOOKUP($A85,[1]Hugst!$R$5:$W$9,MATCH(ROUNDUP((N$1)/10,0)*10,[1]Hugst!$R$4:$W$4,0))))</f>
        <v>6056.1482836438981</v>
      </c>
      <c r="O85" s="168">
        <f ca="1">IF($C85-O$1&lt;År1,0,N84*(1-VLOOKUP($A85,[1]Hugst!$R$5:$W$9,MATCH(ROUNDUP((O$1)/10,0)*10,[1]Hugst!$R$4:$W$4,0))))</f>
        <v>6045.2713164039333</v>
      </c>
      <c r="P85" s="168">
        <f ca="1">IF($C85-P$1&lt;År1,0,O84*(1-VLOOKUP($A85,[1]Hugst!$R$5:$W$9,MATCH(ROUNDUP((P$1)/10,0)*10,[1]Hugst!$R$4:$W$4,0))))</f>
        <v>6025.1814432081092</v>
      </c>
      <c r="Q85" s="168">
        <f ca="1">IF($C85-Q$1&lt;År1,0,P84*(1-VLOOKUP($A85,[1]Hugst!$R$5:$W$9,MATCH(ROUNDUP((Q$1)/10,0)*10,[1]Hugst!$R$4:$W$4,0))))</f>
        <v>10146.968867086589</v>
      </c>
      <c r="R85" s="168">
        <f ca="1">IF($C85-R$1&lt;År1,0,Q84*(1-VLOOKUP($A85,[1]Hugst!$R$5:$W$9,MATCH(ROUNDUP((R$1)/10,0)*10,[1]Hugst!$R$4:$W$4,0))))</f>
        <v>10120.639647022133</v>
      </c>
      <c r="S85" s="168">
        <f ca="1">IF($C85-S$1&lt;År1,0,R84*(1-VLOOKUP($A85,[1]Hugst!$R$5:$W$9,MATCH(ROUNDUP((S$1)/10,0)*10,[1]Hugst!$R$4:$W$4,0))))</f>
        <v>10109.870608989926</v>
      </c>
      <c r="T85" s="168">
        <f ca="1">IF($C85-T$1&lt;År1,0,S84*(1-VLOOKUP($A85,[1]Hugst!$R$5:$W$9,MATCH(ROUNDUP((T$1)/10,0)*10,[1]Hugst!$R$4:$W$4,0))))</f>
        <v>10099.134303410719</v>
      </c>
      <c r="U85" s="168">
        <f ca="1">IF($C85-U$1&lt;År1,0,T84*(1-VLOOKUP($A85,[1]Hugst!$R$5:$W$9,MATCH(ROUNDUP((U$1)/10,0)*10,[1]Hugst!$R$4:$W$4,0))))</f>
        <v>10088.430737291652</v>
      </c>
      <c r="V85" s="168">
        <f ca="1">IF($C85-V$1&lt;År1,0,U84*(1-VLOOKUP($A85,[1]Hugst!$R$5:$W$9,MATCH(ROUNDUP((V$1)/10,0)*10,[1]Hugst!$R$4:$W$4,0))))</f>
        <v>10077.759917828009</v>
      </c>
      <c r="W85" s="168">
        <f ca="1">IF($C85-W$1&lt;År1,0,V84*(1-VLOOKUP($A85,[1]Hugst!$R$5:$W$9,MATCH(ROUNDUP((W$1)/10,0)*10,[1]Hugst!$R$4:$W$4,0))))</f>
        <v>10067.121852403709</v>
      </c>
      <c r="X85" s="168">
        <f ca="1">IF($C85-X$1&lt;År1,0,W84*(1-VLOOKUP($A85,[1]Hugst!$R$5:$W$9,MATCH(ROUNDUP((X$1)/10,0)*10,[1]Hugst!$R$4:$W$4,0))))</f>
        <v>10056.516548591495</v>
      </c>
      <c r="Y85" s="168">
        <f ca="1">IF($C85-Y$1&lt;År1,0,X84*(1-VLOOKUP($A85,[1]Hugst!$R$5:$W$9,MATCH(ROUNDUP((Y$1)/10,0)*10,[1]Hugst!$R$4:$W$4,0))))</f>
        <v>10045.944014153654</v>
      </c>
      <c r="Z85" s="168">
        <f ca="1">IF($C85-Z$1&lt;År1,0,Y84*(1-VLOOKUP($A85,[1]Hugst!$R$5:$W$9,MATCH(ROUNDUP((Z$1)/10,0)*10,[1]Hugst!$R$4:$W$4,0))))</f>
        <v>10033.274863845392</v>
      </c>
      <c r="AA85" s="168">
        <f ca="1">IF($C85-AA$1&lt;År1,0,Z84*(1-VLOOKUP($A85,[1]Hugst!$R$5:$W$9,MATCH(ROUNDUP((AA$1)/10,0)*10,[1]Hugst!$R$4:$W$4,0))))</f>
        <v>10020.643409272721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(IF(B86="Vestdanmark",Skovbrug!$C$22-(Skovbrug!$C$22)*(1-Skovbrug!$C$9)^(C86-Skovbrug!$B$12),Skovbrug!$F$22-(Skovbrug!$F$22)*(1-Skovbrug!$C$9)^(C86-Skovbrug!$B$12)))*VLOOKUP(A86,Skovbrug!$A$13:$D$17,IF('Skovbrug-alder'!C86&lt;=År2,3,4),FALSE)
-IF(C86&gt;2020,SUM(INDEX($C$1:$D$311,MATCH(1,(2020=$C$1:$C$311)*(B86=$B$1:$B$311)*(A86=$A$1:$A$311),0),2):D85),0)</f>
        <v>875.89079384019351</v>
      </c>
      <c r="E86" s="168">
        <f t="shared" ca="1" si="1"/>
        <v>193.90773654650548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6147.5244370715891</v>
      </c>
      <c r="G86" s="168">
        <f ca="1">IF($C86-G$1&lt;År1,0,F85*(1-VLOOKUP($A86,[1]Hugst!$R$5:$W$9,MATCH(ROUNDUP((G$1)/10,0)*10,[1]Hugst!$R$4:$W$4,0))))</f>
        <v>6140.8622288252236</v>
      </c>
      <c r="H86" s="168">
        <f ca="1">IF($C86-H$1&lt;År1,0,G85*(1-VLOOKUP($A86,[1]Hugst!$R$5:$W$9,MATCH(ROUNDUP((H$1)/10,0)*10,[1]Hugst!$R$4:$W$4,0))))</f>
        <v>6134.2171499634469</v>
      </c>
      <c r="I86" s="168">
        <f ca="1">IF($C86-I$1&lt;År1,0,H85*(1-VLOOKUP($A86,[1]Hugst!$R$5:$W$9,MATCH(ROUNDUP((I$1)/10,0)*10,[1]Hugst!$R$4:$W$4,0))))</f>
        <v>6121.2422432865833</v>
      </c>
      <c r="J86" s="168">
        <f ca="1">IF($C86-J$1&lt;År1,0,I85*(1-VLOOKUP($A86,[1]Hugst!$R$5:$W$9,MATCH(ROUNDUP((J$1)/10,0)*10,[1]Hugst!$R$4:$W$4,0))))</f>
        <v>6110.4133844972357</v>
      </c>
      <c r="K86" s="168">
        <f ca="1">IF($C86-K$1&lt;År1,0,J85*(1-VLOOKUP($A86,[1]Hugst!$R$5:$W$9,MATCH(ROUNDUP((K$1)/10,0)*10,[1]Hugst!$R$4:$W$4,0))))</f>
        <v>6099.5764315279748</v>
      </c>
      <c r="L86" s="168">
        <f ca="1">IF($C86-L$1&lt;År1,0,K85*(1-VLOOKUP($A86,[1]Hugst!$R$5:$W$9,MATCH(ROUNDUP((L$1)/10,0)*10,[1]Hugst!$R$4:$W$4,0))))</f>
        <v>6088.7314144733946</v>
      </c>
      <c r="M86" s="168">
        <f ca="1">IF($C86-M$1&lt;År1,0,L85*(1-VLOOKUP($A86,[1]Hugst!$R$5:$W$9,MATCH(ROUNDUP((M$1)/10,0)*10,[1]Hugst!$R$4:$W$4,0))))</f>
        <v>6077.8783636876497</v>
      </c>
      <c r="N86" s="168">
        <f ca="1">IF($C86-N$1&lt;År1,0,M85*(1-VLOOKUP($A86,[1]Hugst!$R$5:$W$9,MATCH(ROUNDUP((N$1)/10,0)*10,[1]Hugst!$R$4:$W$4,0))))</f>
        <v>6067.0173097854668</v>
      </c>
      <c r="O86" s="168">
        <f ca="1">IF($C86-O$1&lt;År1,0,N85*(1-VLOOKUP($A86,[1]Hugst!$R$5:$W$9,MATCH(ROUNDUP((O$1)/10,0)*10,[1]Hugst!$R$4:$W$4,0))))</f>
        <v>6056.1482836438981</v>
      </c>
      <c r="P86" s="168">
        <f ca="1">IF($C86-P$1&lt;År1,0,O85*(1-VLOOKUP($A86,[1]Hugst!$R$5:$W$9,MATCH(ROUNDUP((P$1)/10,0)*10,[1]Hugst!$R$4:$W$4,0))))</f>
        <v>6036.0497160907744</v>
      </c>
      <c r="Q86" s="168">
        <f ca="1">IF($C86-Q$1&lt;År1,0,P85*(1-VLOOKUP($A86,[1]Hugst!$R$5:$W$9,MATCH(ROUNDUP((Q$1)/10,0)*10,[1]Hugst!$R$4:$W$4,0))))</f>
        <v>6015.9904884642319</v>
      </c>
      <c r="R86" s="168">
        <f ca="1">IF($C86-R$1&lt;År1,0,Q85*(1-VLOOKUP($A86,[1]Hugst!$R$5:$W$9,MATCH(ROUNDUP((R$1)/10,0)*10,[1]Hugst!$R$4:$W$4,0))))</f>
        <v>10131.490440001202</v>
      </c>
      <c r="S86" s="168">
        <f ca="1">IF($C86-S$1&lt;År1,0,R85*(1-VLOOKUP($A86,[1]Hugst!$R$5:$W$9,MATCH(ROUNDUP((S$1)/10,0)*10,[1]Hugst!$R$4:$W$4,0))))</f>
        <v>10105.201383153793</v>
      </c>
      <c r="T86" s="168">
        <f ca="1">IF($C86-T$1&lt;År1,0,S85*(1-VLOOKUP($A86,[1]Hugst!$R$5:$W$9,MATCH(ROUNDUP((T$1)/10,0)*10,[1]Hugst!$R$4:$W$4,0))))</f>
        <v>10094.448772467738</v>
      </c>
      <c r="U86" s="168">
        <f ca="1">IF($C86-U$1&lt;År1,0,T85*(1-VLOOKUP($A86,[1]Hugst!$R$5:$W$9,MATCH(ROUNDUP((U$1)/10,0)*10,[1]Hugst!$R$4:$W$4,0))))</f>
        <v>10083.728844303821</v>
      </c>
      <c r="V86" s="168">
        <f ca="1">IF($C86-V$1&lt;År1,0,U85*(1-VLOOKUP($A86,[1]Hugst!$R$5:$W$9,MATCH(ROUNDUP((V$1)/10,0)*10,[1]Hugst!$R$4:$W$4,0))))</f>
        <v>10073.041605658495</v>
      </c>
      <c r="W86" s="168">
        <f ca="1">IF($C86-W$1&lt;År1,0,V85*(1-VLOOKUP($A86,[1]Hugst!$R$5:$W$9,MATCH(ROUNDUP((W$1)/10,0)*10,[1]Hugst!$R$4:$W$4,0))))</f>
        <v>10062.387063716067</v>
      </c>
      <c r="X86" s="168">
        <f ca="1">IF($C86-X$1&lt;År1,0,W85*(1-VLOOKUP($A86,[1]Hugst!$R$5:$W$9,MATCH(ROUNDUP((X$1)/10,0)*10,[1]Hugst!$R$4:$W$4,0))))</f>
        <v>10051.765225849194</v>
      </c>
      <c r="Y86" s="168">
        <f ca="1">IF($C86-Y$1&lt;År1,0,X85*(1-VLOOKUP($A86,[1]Hugst!$R$5:$W$9,MATCH(ROUNDUP((Y$1)/10,0)*10,[1]Hugst!$R$4:$W$4,0))))</f>
        <v>10041.176099619068</v>
      </c>
      <c r="Z86" s="168">
        <f ca="1">IF($C86-Z$1&lt;År1,0,Y85*(1-VLOOKUP($A86,[1]Hugst!$R$5:$W$9,MATCH(ROUNDUP((Z$1)/10,0)*10,[1]Hugst!$R$4:$W$4,0))))</f>
        <v>10028.491314807032</v>
      </c>
      <c r="AA86" s="168">
        <f ca="1">IF($C86-AA$1&lt;År1,0,Z85*(1-VLOOKUP($A86,[1]Hugst!$R$5:$W$9,MATCH(ROUNDUP((AA$1)/10,0)*10,[1]Hugst!$R$4:$W$4,0))))</f>
        <v>10015.844174463287</v>
      </c>
      <c r="AB86" s="168">
        <f ca="1">IF($C86-AB$1&lt;År1,0,AA85*(1-VLOOKUP($A86,[1]Hugst!$R$5:$W$9,MATCH(ROUNDUP((AB$1)/10,0)*10,[1]Hugst!$R$4:$W$4,0))))</f>
        <v>10003.234664366781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(IF(B87="Vestdanmark",Skovbrug!$C$22-(Skovbrug!$C$22)*(1-Skovbrug!$C$9)^(C87-Skovbrug!$B$12),Skovbrug!$F$22-(Skovbrug!$F$22)*(1-Skovbrug!$C$9)^(C87-Skovbrug!$B$12)))*VLOOKUP(A87,Skovbrug!$A$13:$D$17,IF('Skovbrug-alder'!C87&lt;=År2,3,4),FALSE)
-IF(C87&gt;2020,SUM(INDEX($C$1:$D$311,MATCH(1,(2020=$C$1:$C$311)*(B87=$B$1:$B$311)*(A87=$A$1:$A$311),0),2):D86),0)</f>
        <v>871.51133987093999</v>
      </c>
      <c r="E87" s="168">
        <f t="shared" ca="1" si="1"/>
        <v>204.96642635698663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6154.2036729128167</v>
      </c>
      <c r="G87" s="168">
        <f ca="1">IF($C87-G$1&lt;År1,0,F86*(1-VLOOKUP($A87,[1]Hugst!$R$5:$W$9,MATCH(ROUNDUP((G$1)/10,0)*10,[1]Hugst!$R$4:$W$4,0))))</f>
        <v>6147.5244370715891</v>
      </c>
      <c r="H87" s="168">
        <f ca="1">IF($C87-H$1&lt;År1,0,G86*(1-VLOOKUP($A87,[1]Hugst!$R$5:$W$9,MATCH(ROUNDUP((H$1)/10,0)*10,[1]Hugst!$R$4:$W$4,0))))</f>
        <v>6140.8622288252236</v>
      </c>
      <c r="I87" s="168">
        <f ca="1">IF($C87-I$1&lt;År1,0,H86*(1-VLOOKUP($A87,[1]Hugst!$R$5:$W$9,MATCH(ROUNDUP((I$1)/10,0)*10,[1]Hugst!$R$4:$W$4,0))))</f>
        <v>6134.2171499634469</v>
      </c>
      <c r="J87" s="168">
        <f ca="1">IF($C87-J$1&lt;År1,0,I86*(1-VLOOKUP($A87,[1]Hugst!$R$5:$W$9,MATCH(ROUNDUP((J$1)/10,0)*10,[1]Hugst!$R$4:$W$4,0))))</f>
        <v>6121.2422432865833</v>
      </c>
      <c r="K87" s="168">
        <f ca="1">IF($C87-K$1&lt;År1,0,J86*(1-VLOOKUP($A87,[1]Hugst!$R$5:$W$9,MATCH(ROUNDUP((K$1)/10,0)*10,[1]Hugst!$R$4:$W$4,0))))</f>
        <v>6110.4133844972357</v>
      </c>
      <c r="L87" s="168">
        <f ca="1">IF($C87-L$1&lt;År1,0,K86*(1-VLOOKUP($A87,[1]Hugst!$R$5:$W$9,MATCH(ROUNDUP((L$1)/10,0)*10,[1]Hugst!$R$4:$W$4,0))))</f>
        <v>6099.5764315279748</v>
      </c>
      <c r="M87" s="168">
        <f ca="1">IF($C87-M$1&lt;År1,0,L86*(1-VLOOKUP($A87,[1]Hugst!$R$5:$W$9,MATCH(ROUNDUP((M$1)/10,0)*10,[1]Hugst!$R$4:$W$4,0))))</f>
        <v>6088.7314144733946</v>
      </c>
      <c r="N87" s="168">
        <f ca="1">IF($C87-N$1&lt;År1,0,M86*(1-VLOOKUP($A87,[1]Hugst!$R$5:$W$9,MATCH(ROUNDUP((N$1)/10,0)*10,[1]Hugst!$R$4:$W$4,0))))</f>
        <v>6077.8783636876497</v>
      </c>
      <c r="O87" s="168">
        <f ca="1">IF($C87-O$1&lt;År1,0,N86*(1-VLOOKUP($A87,[1]Hugst!$R$5:$W$9,MATCH(ROUNDUP((O$1)/10,0)*10,[1]Hugst!$R$4:$W$4,0))))</f>
        <v>6067.0173097854668</v>
      </c>
      <c r="P87" s="168">
        <f ca="1">IF($C87-P$1&lt;År1,0,O86*(1-VLOOKUP($A87,[1]Hugst!$R$5:$W$9,MATCH(ROUNDUP((P$1)/10,0)*10,[1]Hugst!$R$4:$W$4,0))))</f>
        <v>6046.9100913468137</v>
      </c>
      <c r="Q87" s="168">
        <f ca="1">IF($C87-Q$1&lt;År1,0,P86*(1-VLOOKUP($A87,[1]Hugst!$R$5:$W$9,MATCH(ROUNDUP((Q$1)/10,0)*10,[1]Hugst!$R$4:$W$4,0))))</f>
        <v>6026.8421826255508</v>
      </c>
      <c r="R87" s="168">
        <f ca="1">IF($C87-R$1&lt;År1,0,Q86*(1-VLOOKUP($A87,[1]Hugst!$R$5:$W$9,MATCH(ROUNDUP((R$1)/10,0)*10,[1]Hugst!$R$4:$W$4,0))))</f>
        <v>6006.8135538208116</v>
      </c>
      <c r="S87" s="168">
        <f ca="1">IF($C87-S$1&lt;År1,0,R86*(1-VLOOKUP($A87,[1]Hugst!$R$5:$W$9,MATCH(ROUNDUP((S$1)/10,0)*10,[1]Hugst!$R$4:$W$4,0))))</f>
        <v>10116.035624075776</v>
      </c>
      <c r="T87" s="168">
        <f ca="1">IF($C87-T$1&lt;År1,0,S86*(1-VLOOKUP($A87,[1]Hugst!$R$5:$W$9,MATCH(ROUNDUP((T$1)/10,0)*10,[1]Hugst!$R$4:$W$4,0))))</f>
        <v>10089.78666917949</v>
      </c>
      <c r="U87" s="168">
        <f ca="1">IF($C87-U$1&lt;År1,0,T86*(1-VLOOKUP($A87,[1]Hugst!$R$5:$W$9,MATCH(ROUNDUP((U$1)/10,0)*10,[1]Hugst!$R$4:$W$4,0))))</f>
        <v>10079.050460780923</v>
      </c>
      <c r="V87" s="168">
        <f ca="1">IF($C87-V$1&lt;År1,0,U86*(1-VLOOKUP($A87,[1]Hugst!$R$5:$W$9,MATCH(ROUNDUP((V$1)/10,0)*10,[1]Hugst!$R$4:$W$4,0))))</f>
        <v>10068.346885049797</v>
      </c>
      <c r="W87" s="168">
        <f ca="1">IF($C87-W$1&lt;År1,0,V86*(1-VLOOKUP($A87,[1]Hugst!$R$5:$W$9,MATCH(ROUNDUP((W$1)/10,0)*10,[1]Hugst!$R$4:$W$4,0))))</f>
        <v>10057.675948971897</v>
      </c>
      <c r="X87" s="168">
        <f ca="1">IF($C87-X$1&lt;År1,0,W86*(1-VLOOKUP($A87,[1]Hugst!$R$5:$W$9,MATCH(ROUNDUP((X$1)/10,0)*10,[1]Hugst!$R$4:$W$4,0))))</f>
        <v>10047.037659720569</v>
      </c>
      <c r="Y87" s="168">
        <f ca="1">IF($C87-Y$1&lt;År1,0,X86*(1-VLOOKUP($A87,[1]Hugst!$R$5:$W$9,MATCH(ROUNDUP((Y$1)/10,0)*10,[1]Hugst!$R$4:$W$4,0))))</f>
        <v>10036.432024657221</v>
      </c>
      <c r="Z87" s="168">
        <f ca="1">IF($C87-Z$1&lt;År1,0,Y86*(1-VLOOKUP($A87,[1]Hugst!$R$5:$W$9,MATCH(ROUNDUP((Z$1)/10,0)*10,[1]Hugst!$R$4:$W$4,0))))</f>
        <v>10023.731683513797</v>
      </c>
      <c r="AA87" s="168">
        <f ca="1">IF($C87-AA$1&lt;År1,0,Z86*(1-VLOOKUP($A87,[1]Hugst!$R$5:$W$9,MATCH(ROUNDUP((AA$1)/10,0)*10,[1]Hugst!$R$4:$W$4,0))))</f>
        <v>10011.068935827918</v>
      </c>
      <c r="AB87" s="168">
        <f ca="1">IF($C87-AB$1&lt;År1,0,AA86*(1-VLOOKUP($A87,[1]Hugst!$R$5:$W$9,MATCH(ROUNDUP((AB$1)/10,0)*10,[1]Hugst!$R$4:$W$4,0))))</f>
        <v>9998.4437672110416</v>
      </c>
      <c r="AC87" s="168">
        <f ca="1">IF($C87-AC$1&lt;År1,0,AB86*(1-VLOOKUP($A87,[1]Hugst!$R$5:$W$9,MATCH(ROUNDUP((AC$1)/10,0)*10,[1]Hugst!$R$4:$W$4,0))))</f>
        <v>9985.8561634668204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(IF(B88="Vestdanmark",Skovbrug!$C$22-(Skovbrug!$C$22)*(1-Skovbrug!$C$9)^(C88-Skovbrug!$B$12),Skovbrug!$F$22-(Skovbrug!$F$22)*(1-Skovbrug!$C$9)^(C88-Skovbrug!$B$12)))*VLOOKUP(A88,Skovbrug!$A$13:$D$17,IF('Skovbrug-alder'!C88&lt;=År2,3,4),FALSE)
-IF(C88&gt;2020,SUM(INDEX($C$1:$D$311,MATCH(1,(2020=$C$1:$C$311)*(B88=$B$1:$B$311)*(A88=$A$1:$A$311),0),2):D87),0)</f>
        <v>867.15378317160503</v>
      </c>
      <c r="E88" s="168">
        <f t="shared" ca="1" si="1"/>
        <v>216.02014514553593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6160.8998350020311</v>
      </c>
      <c r="G88" s="168">
        <f ca="1">IF($C88-G$1&lt;År1,0,F87*(1-VLOOKUP($A88,[1]Hugst!$R$5:$W$9,MATCH(ROUNDUP((G$1)/10,0)*10,[1]Hugst!$R$4:$W$4,0))))</f>
        <v>6154.2036729128167</v>
      </c>
      <c r="H88" s="168">
        <f ca="1">IF($C88-H$1&lt;År1,0,G87*(1-VLOOKUP($A88,[1]Hugst!$R$5:$W$9,MATCH(ROUNDUP((H$1)/10,0)*10,[1]Hugst!$R$4:$W$4,0))))</f>
        <v>6147.5244370715891</v>
      </c>
      <c r="I88" s="168">
        <f ca="1">IF($C88-I$1&lt;År1,0,H87*(1-VLOOKUP($A88,[1]Hugst!$R$5:$W$9,MATCH(ROUNDUP((I$1)/10,0)*10,[1]Hugst!$R$4:$W$4,0))))</f>
        <v>6140.8622288252236</v>
      </c>
      <c r="J88" s="168">
        <f ca="1">IF($C88-J$1&lt;År1,0,I87*(1-VLOOKUP($A88,[1]Hugst!$R$5:$W$9,MATCH(ROUNDUP((J$1)/10,0)*10,[1]Hugst!$R$4:$W$4,0))))</f>
        <v>6134.2171499634469</v>
      </c>
      <c r="K88" s="168">
        <f ca="1">IF($C88-K$1&lt;År1,0,J87*(1-VLOOKUP($A88,[1]Hugst!$R$5:$W$9,MATCH(ROUNDUP((K$1)/10,0)*10,[1]Hugst!$R$4:$W$4,0))))</f>
        <v>6121.2422432865833</v>
      </c>
      <c r="L88" s="168">
        <f ca="1">IF($C88-L$1&lt;År1,0,K87*(1-VLOOKUP($A88,[1]Hugst!$R$5:$W$9,MATCH(ROUNDUP((L$1)/10,0)*10,[1]Hugst!$R$4:$W$4,0))))</f>
        <v>6110.4133844972357</v>
      </c>
      <c r="M88" s="168">
        <f ca="1">IF($C88-M$1&lt;År1,0,L87*(1-VLOOKUP($A88,[1]Hugst!$R$5:$W$9,MATCH(ROUNDUP((M$1)/10,0)*10,[1]Hugst!$R$4:$W$4,0))))</f>
        <v>6099.5764315279748</v>
      </c>
      <c r="N88" s="168">
        <f ca="1">IF($C88-N$1&lt;År1,0,M87*(1-VLOOKUP($A88,[1]Hugst!$R$5:$W$9,MATCH(ROUNDUP((N$1)/10,0)*10,[1]Hugst!$R$4:$W$4,0))))</f>
        <v>6088.7314144733946</v>
      </c>
      <c r="O88" s="168">
        <f ca="1">IF($C88-O$1&lt;År1,0,N87*(1-VLOOKUP($A88,[1]Hugst!$R$5:$W$9,MATCH(ROUNDUP((O$1)/10,0)*10,[1]Hugst!$R$4:$W$4,0))))</f>
        <v>6077.8783636876497</v>
      </c>
      <c r="P88" s="168">
        <f ca="1">IF($C88-P$1&lt;År1,0,O87*(1-VLOOKUP($A88,[1]Hugst!$R$5:$W$9,MATCH(ROUNDUP((P$1)/10,0)*10,[1]Hugst!$R$4:$W$4,0))))</f>
        <v>6057.7625376179976</v>
      </c>
      <c r="Q88" s="168">
        <f ca="1">IF($C88-Q$1&lt;År1,0,P87*(1-VLOOKUP($A88,[1]Hugst!$R$5:$W$9,MATCH(ROUNDUP((Q$1)/10,0)*10,[1]Hugst!$R$4:$W$4,0))))</f>
        <v>6037.6859912074706</v>
      </c>
      <c r="R88" s="168">
        <f ca="1">IF($C88-R$1&lt;År1,0,Q87*(1-VLOOKUP($A88,[1]Hugst!$R$5:$W$9,MATCH(ROUNDUP((R$1)/10,0)*10,[1]Hugst!$R$4:$W$4,0))))</f>
        <v>6017.6486945503593</v>
      </c>
      <c r="S88" s="168">
        <f ca="1">IF($C88-S$1&lt;År1,0,R87*(1-VLOOKUP($A88,[1]Hugst!$R$5:$W$9,MATCH(ROUNDUP((S$1)/10,0)*10,[1]Hugst!$R$4:$W$4,0))))</f>
        <v>5997.6506178912541</v>
      </c>
      <c r="T88" s="168">
        <f ca="1">IF($C88-T$1&lt;År1,0,S87*(1-VLOOKUP($A88,[1]Hugst!$R$5:$W$9,MATCH(ROUNDUP((T$1)/10,0)*10,[1]Hugst!$R$4:$W$4,0))))</f>
        <v>10100.604383293286</v>
      </c>
      <c r="U88" s="168">
        <f ca="1">IF($C88-U$1&lt;År1,0,T87*(1-VLOOKUP($A88,[1]Hugst!$R$5:$W$9,MATCH(ROUNDUP((U$1)/10,0)*10,[1]Hugst!$R$4:$W$4,0))))</f>
        <v>10074.395469175657</v>
      </c>
      <c r="V88" s="168">
        <f ca="1">IF($C88-V$1&lt;År1,0,U87*(1-VLOOKUP($A88,[1]Hugst!$R$5:$W$9,MATCH(ROUNDUP((V$1)/10,0)*10,[1]Hugst!$R$4:$W$4,0))))</f>
        <v>10063.675638044138</v>
      </c>
      <c r="W88" s="168">
        <f ca="1">IF($C88-W$1&lt;År1,0,V87*(1-VLOOKUP($A88,[1]Hugst!$R$5:$W$9,MATCH(ROUNDUP((W$1)/10,0)*10,[1]Hugst!$R$4:$W$4,0))))</f>
        <v>10052.988389801416</v>
      </c>
      <c r="X88" s="168">
        <f ca="1">IF($C88-X$1&lt;År1,0,W87*(1-VLOOKUP($A88,[1]Hugst!$R$5:$W$9,MATCH(ROUNDUP((X$1)/10,0)*10,[1]Hugst!$R$4:$W$4,0))))</f>
        <v>10042.333731422617</v>
      </c>
      <c r="Y88" s="168">
        <f ca="1">IF($C88-Y$1&lt;År1,0,X87*(1-VLOOKUP($A88,[1]Hugst!$R$5:$W$9,MATCH(ROUNDUP((Y$1)/10,0)*10,[1]Hugst!$R$4:$W$4,0))))</f>
        <v>10031.711670070146</v>
      </c>
      <c r="Z88" s="168">
        <f ca="1">IF($C88-Z$1&lt;År1,0,Y87*(1-VLOOKUP($A88,[1]Hugst!$R$5:$W$9,MATCH(ROUNDUP((Z$1)/10,0)*10,[1]Hugst!$R$4:$W$4,0))))</f>
        <v>10018.995850377096</v>
      </c>
      <c r="AA88" s="168">
        <f ca="1">IF($C88-AA$1&lt;År1,0,Z87*(1-VLOOKUP($A88,[1]Hugst!$R$5:$W$9,MATCH(ROUNDUP((AA$1)/10,0)*10,[1]Hugst!$R$4:$W$4,0))))</f>
        <v>10006.317573385659</v>
      </c>
      <c r="AB88" s="168">
        <f ca="1">IF($C88-AB$1&lt;År1,0,AA87*(1-VLOOKUP($A88,[1]Hugst!$R$5:$W$9,MATCH(ROUNDUP((AB$1)/10,0)*10,[1]Hugst!$R$4:$W$4,0))))</f>
        <v>9993.6768245410985</v>
      </c>
      <c r="AC88" s="168">
        <f ca="1">IF($C88-AC$1&lt;År1,0,AB87*(1-VLOOKUP($A88,[1]Hugst!$R$5:$W$9,MATCH(ROUNDUP((AC$1)/10,0)*10,[1]Hugst!$R$4:$W$4,0))))</f>
        <v>9981.073589479869</v>
      </c>
      <c r="AD88" s="168">
        <f ca="1">IF($C88-AD$1&lt;År1,0,AC87*(1-VLOOKUP($A88,[1]Hugst!$R$5:$W$9,MATCH(ROUNDUP((AD$1)/10,0)*10,[1]Hugst!$R$4:$W$4,0))))</f>
        <v>9968.5078540302893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(IF(B89="Vestdanmark",Skovbrug!$C$22-(Skovbrug!$C$22)*(1-Skovbrug!$C$9)^(C89-Skovbrug!$B$12),Skovbrug!$F$22-(Skovbrug!$F$22)*(1-Skovbrug!$C$9)^(C89-Skovbrug!$B$12)))*VLOOKUP(A89,Skovbrug!$A$13:$D$17,IF('Skovbrug-alder'!C89&lt;=År2,3,4),FALSE)
-IF(C89&gt;2020,SUM(INDEX($C$1:$D$311,MATCH(1,(2020=$C$1:$C$311)*(B89=$B$1:$B$311)*(A89=$A$1:$A$311),0),2):D88),0)</f>
        <v>862.8180142557394</v>
      </c>
      <c r="E89" s="168">
        <f t="shared" ca="1" si="1"/>
        <v>227.06890149315586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6167.6128224337854</v>
      </c>
      <c r="G89" s="168">
        <f ca="1">IF($C89-G$1&lt;År1,0,F88*(1-VLOOKUP($A89,[1]Hugst!$R$5:$W$9,MATCH(ROUNDUP((G$1)/10,0)*10,[1]Hugst!$R$4:$W$4,0))))</f>
        <v>6160.8998350020311</v>
      </c>
      <c r="H89" s="168">
        <f ca="1">IF($C89-H$1&lt;År1,0,G88*(1-VLOOKUP($A89,[1]Hugst!$R$5:$W$9,MATCH(ROUNDUP((H$1)/10,0)*10,[1]Hugst!$R$4:$W$4,0))))</f>
        <v>6154.2036729128167</v>
      </c>
      <c r="I89" s="168">
        <f ca="1">IF($C89-I$1&lt;År1,0,H88*(1-VLOOKUP($A89,[1]Hugst!$R$5:$W$9,MATCH(ROUNDUP((I$1)/10,0)*10,[1]Hugst!$R$4:$W$4,0))))</f>
        <v>6147.5244370715891</v>
      </c>
      <c r="J89" s="168">
        <f ca="1">IF($C89-J$1&lt;År1,0,I88*(1-VLOOKUP($A89,[1]Hugst!$R$5:$W$9,MATCH(ROUNDUP((J$1)/10,0)*10,[1]Hugst!$R$4:$W$4,0))))</f>
        <v>6140.8622288252236</v>
      </c>
      <c r="K89" s="168">
        <f ca="1">IF($C89-K$1&lt;År1,0,J88*(1-VLOOKUP($A89,[1]Hugst!$R$5:$W$9,MATCH(ROUNDUP((K$1)/10,0)*10,[1]Hugst!$R$4:$W$4,0))))</f>
        <v>6134.2171499634469</v>
      </c>
      <c r="L89" s="168">
        <f ca="1">IF($C89-L$1&lt;År1,0,K88*(1-VLOOKUP($A89,[1]Hugst!$R$5:$W$9,MATCH(ROUNDUP((L$1)/10,0)*10,[1]Hugst!$R$4:$W$4,0))))</f>
        <v>6121.2422432865833</v>
      </c>
      <c r="M89" s="168">
        <f ca="1">IF($C89-M$1&lt;År1,0,L88*(1-VLOOKUP($A89,[1]Hugst!$R$5:$W$9,MATCH(ROUNDUP((M$1)/10,0)*10,[1]Hugst!$R$4:$W$4,0))))</f>
        <v>6110.4133844972357</v>
      </c>
      <c r="N89" s="168">
        <f ca="1">IF($C89-N$1&lt;År1,0,M88*(1-VLOOKUP($A89,[1]Hugst!$R$5:$W$9,MATCH(ROUNDUP((N$1)/10,0)*10,[1]Hugst!$R$4:$W$4,0))))</f>
        <v>6099.5764315279748</v>
      </c>
      <c r="O89" s="168">
        <f ca="1">IF($C89-O$1&lt;År1,0,N88*(1-VLOOKUP($A89,[1]Hugst!$R$5:$W$9,MATCH(ROUNDUP((O$1)/10,0)*10,[1]Hugst!$R$4:$W$4,0))))</f>
        <v>6088.7314144733946</v>
      </c>
      <c r="P89" s="168">
        <f ca="1">IF($C89-P$1&lt;År1,0,O88*(1-VLOOKUP($A89,[1]Hugst!$R$5:$W$9,MATCH(ROUNDUP((P$1)/10,0)*10,[1]Hugst!$R$4:$W$4,0))))</f>
        <v>6068.6070238108377</v>
      </c>
      <c r="Q89" s="168">
        <f ca="1">IF($C89-Q$1&lt;År1,0,P88*(1-VLOOKUP($A89,[1]Hugst!$R$5:$W$9,MATCH(ROUNDUP((Q$1)/10,0)*10,[1]Hugst!$R$4:$W$4,0))))</f>
        <v>6048.5218828995967</v>
      </c>
      <c r="R89" s="168">
        <f ca="1">IF($C89-R$1&lt;År1,0,Q88*(1-VLOOKUP($A89,[1]Hugst!$R$5:$W$9,MATCH(ROUNDUP((R$1)/10,0)*10,[1]Hugst!$R$4:$W$4,0))))</f>
        <v>6028.4759617293576</v>
      </c>
      <c r="S89" s="168">
        <f ca="1">IF($C89-S$1&lt;År1,0,R88*(1-VLOOKUP($A89,[1]Hugst!$R$5:$W$9,MATCH(ROUNDUP((S$1)/10,0)*10,[1]Hugst!$R$4:$W$4,0))))</f>
        <v>6008.4692304400278</v>
      </c>
      <c r="T89" s="168">
        <f ca="1">IF($C89-T$1&lt;År1,0,S88*(1-VLOOKUP($A89,[1]Hugst!$R$5:$W$9,MATCH(ROUNDUP((T$1)/10,0)*10,[1]Hugst!$R$4:$W$4,0))))</f>
        <v>5988.5016593215896</v>
      </c>
      <c r="U89" s="168">
        <f ca="1">IF($C89-U$1&lt;År1,0,T88*(1-VLOOKUP($A89,[1]Hugst!$R$5:$W$9,MATCH(ROUNDUP((U$1)/10,0)*10,[1]Hugst!$R$4:$W$4,0))))</f>
        <v>10085.196681691652</v>
      </c>
      <c r="V89" s="168">
        <f ca="1">IF($C89-V$1&lt;År1,0,U88*(1-VLOOKUP($A89,[1]Hugst!$R$5:$W$9,MATCH(ROUNDUP((V$1)/10,0)*10,[1]Hugst!$R$4:$W$4,0))))</f>
        <v>10059.027747273525</v>
      </c>
      <c r="W89" s="168">
        <f ca="1">IF($C89-W$1&lt;År1,0,V88*(1-VLOOKUP($A89,[1]Hugst!$R$5:$W$9,MATCH(ROUNDUP((W$1)/10,0)*10,[1]Hugst!$R$4:$W$4,0))))</f>
        <v>10048.324268426783</v>
      </c>
      <c r="X89" s="168">
        <f ca="1">IF($C89-X$1&lt;År1,0,W88*(1-VLOOKUP($A89,[1]Hugst!$R$5:$W$9,MATCH(ROUNDUP((X$1)/10,0)*10,[1]Hugst!$R$4:$W$4,0))))</f>
        <v>10037.653322766126</v>
      </c>
      <c r="Y89" s="168">
        <f ca="1">IF($C89-Y$1&lt;År1,0,X88*(1-VLOOKUP($A89,[1]Hugst!$R$5:$W$9,MATCH(ROUNDUP((Y$1)/10,0)*10,[1]Hugst!$R$4:$W$4,0))))</f>
        <v>10027.01491725604</v>
      </c>
      <c r="Z89" s="168">
        <f ca="1">IF($C89-Z$1&lt;År1,0,Y88*(1-VLOOKUP($A89,[1]Hugst!$R$5:$W$9,MATCH(ROUNDUP((Z$1)/10,0)*10,[1]Hugst!$R$4:$W$4,0))))</f>
        <v>10014.283696406041</v>
      </c>
      <c r="AA89" s="168">
        <f ca="1">IF($C89-AA$1&lt;År1,0,Z88*(1-VLOOKUP($A89,[1]Hugst!$R$5:$W$9,MATCH(ROUNDUP((AA$1)/10,0)*10,[1]Hugst!$R$4:$W$4,0))))</f>
        <v>10001.589967755677</v>
      </c>
      <c r="AB89" s="168">
        <f ca="1">IF($C89-AB$1&lt;År1,0,AA88*(1-VLOOKUP($A89,[1]Hugst!$R$5:$W$9,MATCH(ROUNDUP((AB$1)/10,0)*10,[1]Hugst!$R$4:$W$4,0))))</f>
        <v>9988.9337165844372</v>
      </c>
      <c r="AC89" s="168">
        <f ca="1">IF($C89-AC$1&lt;År1,0,AB88*(1-VLOOKUP($A89,[1]Hugst!$R$5:$W$9,MATCH(ROUNDUP((AC$1)/10,0)*10,[1]Hugst!$R$4:$W$4,0))))</f>
        <v>9976.31492836287</v>
      </c>
      <c r="AD89" s="168">
        <f ca="1">IF($C89-AD$1&lt;År1,0,AC88*(1-VLOOKUP($A89,[1]Hugst!$R$5:$W$9,MATCH(ROUNDUP((AD$1)/10,0)*10,[1]Hugst!$R$4:$W$4,0))))</f>
        <v>9963.7335887523823</v>
      </c>
      <c r="AE89" s="168">
        <f ca="1">IF($C89-AE$1&lt;År1,0,AD88*(1-VLOOKUP($A89,[1]Hugst!$R$5:$W$9,MATCH(ROUNDUP((AE$1)/10,0)*10,[1]Hugst!$R$4:$W$4,0))))</f>
        <v>9951.189683605915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(IF(B90="Vestdanmark",Skovbrug!$C$22-(Skovbrug!$C$22)*(1-Skovbrug!$C$9)^(C90-Skovbrug!$B$12),Skovbrug!$F$22-(Skovbrug!$F$22)*(1-Skovbrug!$C$9)^(C90-Skovbrug!$B$12)))*VLOOKUP(A90,Skovbrug!$A$13:$D$17,IF('Skovbrug-alder'!C90&lt;=År2,3,4),FALSE)
-IF(C90&gt;2020,SUM(INDEX($C$1:$D$311,MATCH(1,(2020=$C$1:$C$311)*(B90=$B$1:$B$311)*(A90=$A$1:$A$311),0),2):D89),0)</f>
        <v>858.5039241844861</v>
      </c>
      <c r="E90" s="168">
        <f t="shared" ca="1" si="1"/>
        <v>238.11270387249533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6174.3425347418715</v>
      </c>
      <c r="G90" s="168">
        <f ca="1">IF($C90-G$1&lt;År1,0,F89*(1-VLOOKUP($A90,[1]Hugst!$R$5:$W$9,MATCH(ROUNDUP((G$1)/10,0)*10,[1]Hugst!$R$4:$W$4,0))))</f>
        <v>6167.6128224337854</v>
      </c>
      <c r="H90" s="168">
        <f ca="1">IF($C90-H$1&lt;År1,0,G89*(1-VLOOKUP($A90,[1]Hugst!$R$5:$W$9,MATCH(ROUNDUP((H$1)/10,0)*10,[1]Hugst!$R$4:$W$4,0))))</f>
        <v>6160.8998350020311</v>
      </c>
      <c r="I90" s="168">
        <f ca="1">IF($C90-I$1&lt;År1,0,H89*(1-VLOOKUP($A90,[1]Hugst!$R$5:$W$9,MATCH(ROUNDUP((I$1)/10,0)*10,[1]Hugst!$R$4:$W$4,0))))</f>
        <v>6154.2036729128167</v>
      </c>
      <c r="J90" s="168">
        <f ca="1">IF($C90-J$1&lt;År1,0,I89*(1-VLOOKUP($A90,[1]Hugst!$R$5:$W$9,MATCH(ROUNDUP((J$1)/10,0)*10,[1]Hugst!$R$4:$W$4,0))))</f>
        <v>6147.5244370715891</v>
      </c>
      <c r="K90" s="168">
        <f ca="1">IF($C90-K$1&lt;År1,0,J89*(1-VLOOKUP($A90,[1]Hugst!$R$5:$W$9,MATCH(ROUNDUP((K$1)/10,0)*10,[1]Hugst!$R$4:$W$4,0))))</f>
        <v>6140.8622288252236</v>
      </c>
      <c r="L90" s="168">
        <f ca="1">IF($C90-L$1&lt;År1,0,K89*(1-VLOOKUP($A90,[1]Hugst!$R$5:$W$9,MATCH(ROUNDUP((L$1)/10,0)*10,[1]Hugst!$R$4:$W$4,0))))</f>
        <v>6134.2171499634469</v>
      </c>
      <c r="M90" s="168">
        <f ca="1">IF($C90-M$1&lt;År1,0,L89*(1-VLOOKUP($A90,[1]Hugst!$R$5:$W$9,MATCH(ROUNDUP((M$1)/10,0)*10,[1]Hugst!$R$4:$W$4,0))))</f>
        <v>6121.2422432865833</v>
      </c>
      <c r="N90" s="168">
        <f ca="1">IF($C90-N$1&lt;År1,0,M89*(1-VLOOKUP($A90,[1]Hugst!$R$5:$W$9,MATCH(ROUNDUP((N$1)/10,0)*10,[1]Hugst!$R$4:$W$4,0))))</f>
        <v>6110.4133844972357</v>
      </c>
      <c r="O90" s="168">
        <f ca="1">IF($C90-O$1&lt;År1,0,N89*(1-VLOOKUP($A90,[1]Hugst!$R$5:$W$9,MATCH(ROUNDUP((O$1)/10,0)*10,[1]Hugst!$R$4:$W$4,0))))</f>
        <v>6099.5764315279748</v>
      </c>
      <c r="P90" s="168">
        <f ca="1">IF($C90-P$1&lt;År1,0,O89*(1-VLOOKUP($A90,[1]Hugst!$R$5:$W$9,MATCH(ROUNDUP((P$1)/10,0)*10,[1]Hugst!$R$4:$W$4,0))))</f>
        <v>6079.4435190953845</v>
      </c>
      <c r="Q90" s="168">
        <f ca="1">IF($C90-Q$1&lt;År1,0,P89*(1-VLOOKUP($A90,[1]Hugst!$R$5:$W$9,MATCH(ROUNDUP((Q$1)/10,0)*10,[1]Hugst!$R$4:$W$4,0))))</f>
        <v>6059.3498266558718</v>
      </c>
      <c r="R90" s="168">
        <f ca="1">IF($C90-R$1&lt;År1,0,Q89*(1-VLOOKUP($A90,[1]Hugst!$R$5:$W$9,MATCH(ROUNDUP((R$1)/10,0)*10,[1]Hugst!$R$4:$W$4,0))))</f>
        <v>6039.2953240951738</v>
      </c>
      <c r="S90" s="168">
        <f ca="1">IF($C90-S$1&lt;År1,0,R89*(1-VLOOKUP($A90,[1]Hugst!$R$5:$W$9,MATCH(ROUNDUP((S$1)/10,0)*10,[1]Hugst!$R$4:$W$4,0))))</f>
        <v>6019.2799814487535</v>
      </c>
      <c r="T90" s="168">
        <f ca="1">IF($C90-T$1&lt;År1,0,S89*(1-VLOOKUP($A90,[1]Hugst!$R$5:$W$9,MATCH(ROUNDUP((T$1)/10,0)*10,[1]Hugst!$R$4:$W$4,0))))</f>
        <v>5999.3037689020684</v>
      </c>
      <c r="U90" s="168">
        <f ca="1">IF($C90-U$1&lt;År1,0,T89*(1-VLOOKUP($A90,[1]Hugst!$R$5:$W$9,MATCH(ROUNDUP((U$1)/10,0)*10,[1]Hugst!$R$4:$W$4,0))))</f>
        <v>5979.3666567904211</v>
      </c>
      <c r="V90" s="168">
        <f ca="1">IF($C90-V$1&lt;År1,0,U89*(1-VLOOKUP($A90,[1]Hugst!$R$5:$W$9,MATCH(ROUNDUP((V$1)/10,0)*10,[1]Hugst!$R$4:$W$4,0))))</f>
        <v>10069.812483363647</v>
      </c>
      <c r="W90" s="168">
        <f ca="1">IF($C90-W$1&lt;År1,0,V89*(1-VLOOKUP($A90,[1]Hugst!$R$5:$W$9,MATCH(ROUNDUP((W$1)/10,0)*10,[1]Hugst!$R$4:$W$4,0))))</f>
        <v>10043.683467659041</v>
      </c>
      <c r="X90" s="168">
        <f ca="1">IF($C90-X$1&lt;År1,0,W89*(1-VLOOKUP($A90,[1]Hugst!$R$5:$W$9,MATCH(ROUNDUP((X$1)/10,0)*10,[1]Hugst!$R$4:$W$4,0))))</f>
        <v>10032.99631615291</v>
      </c>
      <c r="Y90" s="168">
        <f ca="1">IF($C90-Y$1&lt;År1,0,X89*(1-VLOOKUP($A90,[1]Hugst!$R$5:$W$9,MATCH(ROUNDUP((Y$1)/10,0)*10,[1]Hugst!$R$4:$W$4,0))))</f>
        <v>10022.341648205973</v>
      </c>
      <c r="Z90" s="168">
        <f ca="1">IF($C90-Z$1&lt;År1,0,Y89*(1-VLOOKUP($A90,[1]Hugst!$R$5:$W$9,MATCH(ROUNDUP((Z$1)/10,0)*10,[1]Hugst!$R$4:$W$4,0))))</f>
        <v>10009.595103204874</v>
      </c>
      <c r="AA90" s="168">
        <f ca="1">IF($C90-AA$1&lt;År1,0,Z89*(1-VLOOKUP($A90,[1]Hugst!$R$5:$W$9,MATCH(ROUNDUP((AA$1)/10,0)*10,[1]Hugst!$R$4:$W$4,0))))</f>
        <v>9996.8860001538087</v>
      </c>
      <c r="AB90" s="168">
        <f ca="1">IF($C90-AB$1&lt;År1,0,AA89*(1-VLOOKUP($A90,[1]Hugst!$R$5:$W$9,MATCH(ROUNDUP((AB$1)/10,0)*10,[1]Hugst!$R$4:$W$4,0))))</f>
        <v>9984.2143241676258</v>
      </c>
      <c r="AC90" s="168">
        <f ca="1">IF($C90-AC$1&lt;År1,0,AB89*(1-VLOOKUP($A90,[1]Hugst!$R$5:$W$9,MATCH(ROUNDUP((AC$1)/10,0)*10,[1]Hugst!$R$4:$W$4,0))))</f>
        <v>9971.5800605513869</v>
      </c>
      <c r="AD90" s="168">
        <f ca="1">IF($C90-AD$1&lt;År1,0,AC89*(1-VLOOKUP($A90,[1]Hugst!$R$5:$W$9,MATCH(ROUNDUP((AD$1)/10,0)*10,[1]Hugst!$R$4:$W$4,0))))</f>
        <v>9958.9831948008832</v>
      </c>
      <c r="AE90" s="168">
        <f ca="1">IF($C90-AE$1&lt;År1,0,AD89*(1-VLOOKUP($A90,[1]Hugst!$R$5:$W$9,MATCH(ROUNDUP((AE$1)/10,0)*10,[1]Hugst!$R$4:$W$4,0))))</f>
        <v>9946.4237126024309</v>
      </c>
      <c r="AF90" s="168">
        <f ca="1">IF($C90-AF$1&lt;År1,0,AE89*(1-VLOOKUP($A90,[1]Hugst!$R$5:$W$9,MATCH(ROUNDUP((AF$1)/10,0)*10,[1]Hugst!$R$4:$W$4,0))))</f>
        <v>9933.901599833549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(IF(B91="Vestdanmark",Skovbrug!$C$22-(Skovbrug!$C$22)*(1-Skovbrug!$C$9)^(C91-Skovbrug!$B$12),Skovbrug!$F$22-(Skovbrug!$F$22)*(1-Skovbrug!$C$9)^(C91-Skovbrug!$B$12)))*VLOOKUP(A91,Skovbrug!$A$13:$D$17,IF('Skovbrug-alder'!C91&lt;=År2,3,4),FALSE)
-IF(C91&gt;2020,SUM(INDEX($C$1:$D$311,MATCH(1,(2020=$C$1:$C$311)*(B91=$B$1:$B$311)*(A91=$A$1:$A$311),0),2):D90),0)</f>
        <v>854.21140456352441</v>
      </c>
      <c r="E91" s="168">
        <f t="shared" ca="1" si="1"/>
        <v>249.1515606486937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6181.0888718971082</v>
      </c>
      <c r="G91" s="168">
        <f ca="1">IF($C91-G$1&lt;År1,0,F90*(1-VLOOKUP($A91,[1]Hugst!$R$5:$W$9,MATCH(ROUNDUP((G$1)/10,0)*10,[1]Hugst!$R$4:$W$4,0))))</f>
        <v>6174.3425347418715</v>
      </c>
      <c r="H91" s="168">
        <f ca="1">IF($C91-H$1&lt;År1,0,G90*(1-VLOOKUP($A91,[1]Hugst!$R$5:$W$9,MATCH(ROUNDUP((H$1)/10,0)*10,[1]Hugst!$R$4:$W$4,0))))</f>
        <v>6167.6128224337854</v>
      </c>
      <c r="I91" s="168">
        <f ca="1">IF($C91-I$1&lt;År1,0,H90*(1-VLOOKUP($A91,[1]Hugst!$R$5:$W$9,MATCH(ROUNDUP((I$1)/10,0)*10,[1]Hugst!$R$4:$W$4,0))))</f>
        <v>6160.8998350020311</v>
      </c>
      <c r="J91" s="168">
        <f ca="1">IF($C91-J$1&lt;År1,0,I90*(1-VLOOKUP($A91,[1]Hugst!$R$5:$W$9,MATCH(ROUNDUP((J$1)/10,0)*10,[1]Hugst!$R$4:$W$4,0))))</f>
        <v>6154.2036729128167</v>
      </c>
      <c r="K91" s="168">
        <f ca="1">IF($C91-K$1&lt;År1,0,J90*(1-VLOOKUP($A91,[1]Hugst!$R$5:$W$9,MATCH(ROUNDUP((K$1)/10,0)*10,[1]Hugst!$R$4:$W$4,0))))</f>
        <v>6147.5244370715891</v>
      </c>
      <c r="L91" s="168">
        <f ca="1">IF($C91-L$1&lt;År1,0,K90*(1-VLOOKUP($A91,[1]Hugst!$R$5:$W$9,MATCH(ROUNDUP((L$1)/10,0)*10,[1]Hugst!$R$4:$W$4,0))))</f>
        <v>6140.8622288252236</v>
      </c>
      <c r="M91" s="168">
        <f ca="1">IF($C91-M$1&lt;År1,0,L90*(1-VLOOKUP($A91,[1]Hugst!$R$5:$W$9,MATCH(ROUNDUP((M$1)/10,0)*10,[1]Hugst!$R$4:$W$4,0))))</f>
        <v>6134.2171499634469</v>
      </c>
      <c r="N91" s="168">
        <f ca="1">IF($C91-N$1&lt;År1,0,M90*(1-VLOOKUP($A91,[1]Hugst!$R$5:$W$9,MATCH(ROUNDUP((N$1)/10,0)*10,[1]Hugst!$R$4:$W$4,0))))</f>
        <v>6121.2422432865833</v>
      </c>
      <c r="O91" s="168">
        <f ca="1">IF($C91-O$1&lt;År1,0,N90*(1-VLOOKUP($A91,[1]Hugst!$R$5:$W$9,MATCH(ROUNDUP((O$1)/10,0)*10,[1]Hugst!$R$4:$W$4,0))))</f>
        <v>6110.4133844972357</v>
      </c>
      <c r="P91" s="168">
        <f ca="1">IF($C91-P$1&lt;År1,0,O90*(1-VLOOKUP($A91,[1]Hugst!$R$5:$W$9,MATCH(ROUNDUP((P$1)/10,0)*10,[1]Hugst!$R$4:$W$4,0))))</f>
        <v>6090.2719929036102</v>
      </c>
      <c r="Q91" s="168">
        <f ca="1">IF($C91-Q$1&lt;År1,0,P90*(1-VLOOKUP($A91,[1]Hugst!$R$5:$W$9,MATCH(ROUNDUP((Q$1)/10,0)*10,[1]Hugst!$R$4:$W$4,0))))</f>
        <v>6070.1697916933745</v>
      </c>
      <c r="R91" s="168">
        <f ca="1">IF($C91-R$1&lt;År1,0,Q90*(1-VLOOKUP($A91,[1]Hugst!$R$5:$W$9,MATCH(ROUNDUP((R$1)/10,0)*10,[1]Hugst!$R$4:$W$4,0))))</f>
        <v>6050.1067506491081</v>
      </c>
      <c r="S91" s="168">
        <f ca="1">IF($C91-S$1&lt;År1,0,R90*(1-VLOOKUP($A91,[1]Hugst!$R$5:$W$9,MATCH(ROUNDUP((S$1)/10,0)*10,[1]Hugst!$R$4:$W$4,0))))</f>
        <v>6030.0828397024861</v>
      </c>
      <c r="T91" s="168">
        <f ca="1">IF($C91-T$1&lt;År1,0,S90*(1-VLOOKUP($A91,[1]Hugst!$R$5:$W$9,MATCH(ROUNDUP((T$1)/10,0)*10,[1]Hugst!$R$4:$W$4,0))))</f>
        <v>6010.098028934679</v>
      </c>
      <c r="U91" s="168">
        <f ca="1">IF($C91-U$1&lt;År1,0,T90*(1-VLOOKUP($A91,[1]Hugst!$R$5:$W$9,MATCH(ROUNDUP((U$1)/10,0)*10,[1]Hugst!$R$4:$W$4,0))))</f>
        <v>5990.1522885766244</v>
      </c>
      <c r="V91" s="168">
        <f ca="1">IF($C91-V$1&lt;År1,0,U90*(1-VLOOKUP($A91,[1]Hugst!$R$5:$W$9,MATCH(ROUNDUP((V$1)/10,0)*10,[1]Hugst!$R$4:$W$4,0))))</f>
        <v>5970.2455890088759</v>
      </c>
      <c r="W91" s="168">
        <f ca="1">IF($C91-W$1&lt;År1,0,V90*(1-VLOOKUP($A91,[1]Hugst!$R$5:$W$9,MATCH(ROUNDUP((W$1)/10,0)*10,[1]Hugst!$R$4:$W$4,0))))</f>
        <v>10054.45175245682</v>
      </c>
      <c r="X91" s="168">
        <f ca="1">IF($C91-X$1&lt;År1,0,W90*(1-VLOOKUP($A91,[1]Hugst!$R$5:$W$9,MATCH(ROUNDUP((X$1)/10,0)*10,[1]Hugst!$R$4:$W$4,0))))</f>
        <v>10028.36259457278</v>
      </c>
      <c r="Y91" s="168">
        <f ca="1">IF($C91-Y$1&lt;År1,0,X90*(1-VLOOKUP($A91,[1]Hugst!$R$5:$W$9,MATCH(ROUNDUP((Y$1)/10,0)*10,[1]Hugst!$R$4:$W$4,0))))</f>
        <v>10017.691745501152</v>
      </c>
      <c r="Z91" s="168">
        <f ca="1">IF($C91-Z$1&lt;År1,0,Y90*(1-VLOOKUP($A91,[1]Hugst!$R$5:$W$9,MATCH(ROUNDUP((Z$1)/10,0)*10,[1]Hugst!$R$4:$W$4,0))))</f>
        <v>10004.929952969682</v>
      </c>
      <c r="AA91" s="168">
        <f ca="1">IF($C91-AA$1&lt;År1,0,Z90*(1-VLOOKUP($A91,[1]Hugst!$R$5:$W$9,MATCH(ROUNDUP((AA$1)/10,0)*10,[1]Hugst!$R$4:$W$4,0))))</f>
        <v>9992.2055523899835</v>
      </c>
      <c r="AB91" s="168">
        <f ca="1">IF($C91-AB$1&lt;År1,0,AA90*(1-VLOOKUP($A91,[1]Hugst!$R$5:$W$9,MATCH(ROUNDUP((AB$1)/10,0)*10,[1]Hugst!$R$4:$W$4,0))))</f>
        <v>9979.5185287128625</v>
      </c>
      <c r="AC91" s="168">
        <f ca="1">IF($C91-AC$1&lt;År1,0,AB90*(1-VLOOKUP($A91,[1]Hugst!$R$5:$W$9,MATCH(ROUNDUP((AC$1)/10,0)*10,[1]Hugst!$R$4:$W$4,0))))</f>
        <v>9966.8688670790289</v>
      </c>
      <c r="AD91" s="168">
        <f ca="1">IF($C91-AD$1&lt;År1,0,AC90*(1-VLOOKUP($A91,[1]Hugst!$R$5:$W$9,MATCH(ROUNDUP((AD$1)/10,0)*10,[1]Hugst!$R$4:$W$4,0))))</f>
        <v>9954.2565528190735</v>
      </c>
      <c r="AE91" s="168">
        <f ca="1">IF($C91-AE$1&lt;År1,0,AD90*(1-VLOOKUP($A91,[1]Hugst!$R$5:$W$9,MATCH(ROUNDUP((AE$1)/10,0)*10,[1]Hugst!$R$4:$W$4,0))))</f>
        <v>9941.6815714539825</v>
      </c>
      <c r="AF91" s="168">
        <f ca="1">IF($C91-AF$1&lt;År1,0,AE90*(1-VLOOKUP($A91,[1]Hugst!$R$5:$W$9,MATCH(ROUNDUP((AF$1)/10,0)*10,[1]Hugst!$R$4:$W$4,0))))</f>
        <v>9929.1439086949431</v>
      </c>
      <c r="AG91" s="168">
        <f ca="1">IF($C91-AG$1&lt;År1,0,AF90*(1-VLOOKUP($A91,[1]Hugst!$R$5:$W$9,MATCH(ROUNDUP((AG$1)/10,0)*10,[1]Hugst!$R$4:$W$4,0))))</f>
        <v>9916.6435504440069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(IF(B92="Vestdanmark",Skovbrug!$C$22-(Skovbrug!$C$22)*(1-Skovbrug!$C$9)^(C92-Skovbrug!$B$12),Skovbrug!$F$22-(Skovbrug!$F$22)*(1-Skovbrug!$C$9)^(C92-Skovbrug!$B$12)))*VLOOKUP(A92,Skovbrug!$A$13:$D$17,IF('Skovbrug-alder'!C92&lt;=År2,3,4),FALSE)
-IF(C92&gt;2020,SUM(INDEX($C$1:$D$311,MATCH(1,(2020=$C$1:$C$311)*(B92=$B$1:$B$311)*(A92=$A$1:$A$311),0),2):D91),0)</f>
        <v>849.94034754071617</v>
      </c>
      <c r="E92" s="168">
        <f t="shared" ca="1" si="1"/>
        <v>260.18548008057405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6187.8517343061803</v>
      </c>
      <c r="G92" s="168">
        <f ca="1">IF($C92-G$1&lt;År1,0,F91*(1-VLOOKUP($A92,[1]Hugst!$R$5:$W$9,MATCH(ROUNDUP((G$1)/10,0)*10,[1]Hugst!$R$4:$W$4,0))))</f>
        <v>6181.0888718971082</v>
      </c>
      <c r="H92" s="168">
        <f ca="1">IF($C92-H$1&lt;År1,0,G91*(1-VLOOKUP($A92,[1]Hugst!$R$5:$W$9,MATCH(ROUNDUP((H$1)/10,0)*10,[1]Hugst!$R$4:$W$4,0))))</f>
        <v>6174.3425347418715</v>
      </c>
      <c r="I92" s="168">
        <f ca="1">IF($C92-I$1&lt;År1,0,H91*(1-VLOOKUP($A92,[1]Hugst!$R$5:$W$9,MATCH(ROUNDUP((I$1)/10,0)*10,[1]Hugst!$R$4:$W$4,0))))</f>
        <v>6167.6128224337854</v>
      </c>
      <c r="J92" s="168">
        <f ca="1">IF($C92-J$1&lt;År1,0,I91*(1-VLOOKUP($A92,[1]Hugst!$R$5:$W$9,MATCH(ROUNDUP((J$1)/10,0)*10,[1]Hugst!$R$4:$W$4,0))))</f>
        <v>6160.8998350020311</v>
      </c>
      <c r="K92" s="168">
        <f ca="1">IF($C92-K$1&lt;År1,0,J91*(1-VLOOKUP($A92,[1]Hugst!$R$5:$W$9,MATCH(ROUNDUP((K$1)/10,0)*10,[1]Hugst!$R$4:$W$4,0))))</f>
        <v>6154.2036729128167</v>
      </c>
      <c r="L92" s="168">
        <f ca="1">IF($C92-L$1&lt;År1,0,K91*(1-VLOOKUP($A92,[1]Hugst!$R$5:$W$9,MATCH(ROUNDUP((L$1)/10,0)*10,[1]Hugst!$R$4:$W$4,0))))</f>
        <v>6147.5244370715891</v>
      </c>
      <c r="M92" s="168">
        <f ca="1">IF($C92-M$1&lt;År1,0,L91*(1-VLOOKUP($A92,[1]Hugst!$R$5:$W$9,MATCH(ROUNDUP((M$1)/10,0)*10,[1]Hugst!$R$4:$W$4,0))))</f>
        <v>6140.8622288252236</v>
      </c>
      <c r="N92" s="168">
        <f ca="1">IF($C92-N$1&lt;År1,0,M91*(1-VLOOKUP($A92,[1]Hugst!$R$5:$W$9,MATCH(ROUNDUP((N$1)/10,0)*10,[1]Hugst!$R$4:$W$4,0))))</f>
        <v>6134.2171499634469</v>
      </c>
      <c r="O92" s="168">
        <f ca="1">IF($C92-O$1&lt;År1,0,N91*(1-VLOOKUP($A92,[1]Hugst!$R$5:$W$9,MATCH(ROUNDUP((O$1)/10,0)*10,[1]Hugst!$R$4:$W$4,0))))</f>
        <v>6121.2422432865833</v>
      </c>
      <c r="P92" s="168">
        <f ca="1">IF($C92-P$1&lt;År1,0,O91*(1-VLOOKUP($A92,[1]Hugst!$R$5:$W$9,MATCH(ROUNDUP((P$1)/10,0)*10,[1]Hugst!$R$4:$W$4,0))))</f>
        <v>6101.0924149276634</v>
      </c>
      <c r="Q92" s="168">
        <f ca="1">IF($C92-Q$1&lt;År1,0,P91*(1-VLOOKUP($A92,[1]Hugst!$R$5:$W$9,MATCH(ROUNDUP((Q$1)/10,0)*10,[1]Hugst!$R$4:$W$4,0))))</f>
        <v>6080.9817474907059</v>
      </c>
      <c r="R92" s="168">
        <f ca="1">IF($C92-R$1&lt;År1,0,Q91*(1-VLOOKUP($A92,[1]Hugst!$R$5:$W$9,MATCH(ROUNDUP((R$1)/10,0)*10,[1]Hugst!$R$4:$W$4,0))))</f>
        <v>6060.9102106551982</v>
      </c>
      <c r="S92" s="168">
        <f ca="1">IF($C92-S$1&lt;År1,0,R91*(1-VLOOKUP($A92,[1]Hugst!$R$5:$W$9,MATCH(ROUNDUP((S$1)/10,0)*10,[1]Hugst!$R$4:$W$4,0))))</f>
        <v>6040.8777742498123</v>
      </c>
      <c r="T92" s="168">
        <f ca="1">IF($C92-T$1&lt;År1,0,S91*(1-VLOOKUP($A92,[1]Hugst!$R$5:$W$9,MATCH(ROUNDUP((T$1)/10,0)*10,[1]Hugst!$R$4:$W$4,0))))</f>
        <v>6020.8844082520927</v>
      </c>
      <c r="U92" s="168">
        <f ca="1">IF($C92-U$1&lt;År1,0,T91*(1-VLOOKUP($A92,[1]Hugst!$R$5:$W$9,MATCH(ROUNDUP((U$1)/10,0)*10,[1]Hugst!$R$4:$W$4,0))))</f>
        <v>6000.9300827888464</v>
      </c>
      <c r="V92" s="168">
        <f ca="1">IF($C92-V$1&lt;År1,0,U91*(1-VLOOKUP($A92,[1]Hugst!$R$5:$W$9,MATCH(ROUNDUP((V$1)/10,0)*10,[1]Hugst!$R$4:$W$4,0))))</f>
        <v>5981.0147681364224</v>
      </c>
      <c r="W92" s="168">
        <f ca="1">IF($C92-W$1&lt;År1,0,V91*(1-VLOOKUP($A92,[1]Hugst!$R$5:$W$9,MATCH(ROUNDUP((W$1)/10,0)*10,[1]Hugst!$R$4:$W$4,0))))</f>
        <v>5961.1384347205567</v>
      </c>
      <c r="X92" s="168">
        <f ca="1">IF($C92-X$1&lt;År1,0,W91*(1-VLOOKUP($A92,[1]Hugst!$R$5:$W$9,MATCH(ROUNDUP((X$1)/10,0)*10,[1]Hugst!$R$4:$W$4,0))))</f>
        <v>10039.114453173412</v>
      </c>
      <c r="Y92" s="168">
        <f ca="1">IF($C92-Y$1&lt;År1,0,X91*(1-VLOOKUP($A92,[1]Hugst!$R$5:$W$9,MATCH(ROUNDUP((Y$1)/10,0)*10,[1]Hugst!$R$4:$W$4,0))))</f>
        <v>10013.065092309873</v>
      </c>
      <c r="Z92" s="168">
        <f ca="1">IF($C92-Z$1&lt;År1,0,Y91*(1-VLOOKUP($A92,[1]Hugst!$R$5:$W$9,MATCH(ROUNDUP((Z$1)/10,0)*10,[1]Hugst!$R$4:$W$4,0))))</f>
        <v>10000.288128485661</v>
      </c>
      <c r="AA92" s="168">
        <f ca="1">IF($C92-AA$1&lt;År1,0,Z91*(1-VLOOKUP($A92,[1]Hugst!$R$5:$W$9,MATCH(ROUNDUP((AA$1)/10,0)*10,[1]Hugst!$R$4:$W$4,0))))</f>
        <v>9987.5485068649468</v>
      </c>
      <c r="AB92" s="168">
        <f ca="1">IF($C92-AB$1&lt;År1,0,AA91*(1-VLOOKUP($A92,[1]Hugst!$R$5:$W$9,MATCH(ROUNDUP((AB$1)/10,0)*10,[1]Hugst!$R$4:$W$4,0))))</f>
        <v>9974.8462122354067</v>
      </c>
      <c r="AC92" s="168">
        <f ca="1">IF($C92-AC$1&lt;År1,0,AB91*(1-VLOOKUP($A92,[1]Hugst!$R$5:$W$9,MATCH(ROUNDUP((AC$1)/10,0)*10,[1]Hugst!$R$4:$W$4,0))))</f>
        <v>9962.1812295739965</v>
      </c>
      <c r="AD92" s="168">
        <f ca="1">IF($C92-AD$1&lt;År1,0,AC91*(1-VLOOKUP($A92,[1]Hugst!$R$5:$W$9,MATCH(ROUNDUP((AD$1)/10,0)*10,[1]Hugst!$R$4:$W$4,0))))</f>
        <v>9949.5535440472395</v>
      </c>
      <c r="AE92" s="168">
        <f ca="1">IF($C92-AE$1&lt;År1,0,AD91*(1-VLOOKUP($A92,[1]Hugst!$R$5:$W$9,MATCH(ROUNDUP((AE$1)/10,0)*10,[1]Hugst!$R$4:$W$4,0))))</f>
        <v>9936.9631410112088</v>
      </c>
      <c r="AF92" s="168">
        <f ca="1">IF($C92-AF$1&lt;År1,0,AE91*(1-VLOOKUP($A92,[1]Hugst!$R$5:$W$9,MATCH(ROUNDUP((AF$1)/10,0)*10,[1]Hugst!$R$4:$W$4,0))))</f>
        <v>9924.4100060120491</v>
      </c>
      <c r="AG92" s="168">
        <f ca="1">IF($C92-AG$1&lt;År1,0,AF91*(1-VLOOKUP($A92,[1]Hugst!$R$5:$W$9,MATCH(ROUNDUP((AG$1)/10,0)*10,[1]Hugst!$R$4:$W$4,0))))</f>
        <v>9911.8941247857692</v>
      </c>
      <c r="AH92" s="168">
        <f ca="1">IF($C92-AH$1&lt;År1,0,AG91*(1-VLOOKUP($A92,[1]Hugst!$R$5:$W$9,MATCH(ROUNDUP((AH$1)/10,0)*10,[1]Hugst!$R$4:$W$4,0))))</f>
        <v>9899.4154832589138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(IF(B93="Vestdanmark",Skovbrug!$C$22-(Skovbrug!$C$22)*(1-Skovbrug!$C$9)^(C93-Skovbrug!$B$12),Skovbrug!$F$22-(Skovbrug!$F$22)*(1-Skovbrug!$C$9)^(C93-Skovbrug!$B$12)))*VLOOKUP(A93,Skovbrug!$A$13:$D$17,IF('Skovbrug-alder'!C93&lt;=År2,3,4),FALSE)
-IF(C93&gt;2020,SUM(INDEX($C$1:$D$311,MATCH(1,(2020=$C$1:$C$311)*(B93=$B$1:$B$311)*(A93=$A$1:$A$311),0),2):D92),0)</f>
        <v>845.69064580304621</v>
      </c>
      <c r="E93" s="168">
        <f t="shared" ca="1" si="1"/>
        <v>271.21447032073047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6194.6310228086668</v>
      </c>
      <c r="G93" s="168">
        <f ca="1">IF($C93-G$1&lt;År1,0,F92*(1-VLOOKUP($A93,[1]Hugst!$R$5:$W$9,MATCH(ROUNDUP((G$1)/10,0)*10,[1]Hugst!$R$4:$W$4,0))))</f>
        <v>6187.8517343061803</v>
      </c>
      <c r="H93" s="168">
        <f ca="1">IF($C93-H$1&lt;År1,0,G92*(1-VLOOKUP($A93,[1]Hugst!$R$5:$W$9,MATCH(ROUNDUP((H$1)/10,0)*10,[1]Hugst!$R$4:$W$4,0))))</f>
        <v>6181.0888718971082</v>
      </c>
      <c r="I93" s="168">
        <f ca="1">IF($C93-I$1&lt;År1,0,H92*(1-VLOOKUP($A93,[1]Hugst!$R$5:$W$9,MATCH(ROUNDUP((I$1)/10,0)*10,[1]Hugst!$R$4:$W$4,0))))</f>
        <v>6174.3425347418715</v>
      </c>
      <c r="J93" s="168">
        <f ca="1">IF($C93-J$1&lt;År1,0,I92*(1-VLOOKUP($A93,[1]Hugst!$R$5:$W$9,MATCH(ROUNDUP((J$1)/10,0)*10,[1]Hugst!$R$4:$W$4,0))))</f>
        <v>6167.6128224337854</v>
      </c>
      <c r="K93" s="168">
        <f ca="1">IF($C93-K$1&lt;År1,0,J92*(1-VLOOKUP($A93,[1]Hugst!$R$5:$W$9,MATCH(ROUNDUP((K$1)/10,0)*10,[1]Hugst!$R$4:$W$4,0))))</f>
        <v>6160.8998350020311</v>
      </c>
      <c r="L93" s="168">
        <f ca="1">IF($C93-L$1&lt;År1,0,K92*(1-VLOOKUP($A93,[1]Hugst!$R$5:$W$9,MATCH(ROUNDUP((L$1)/10,0)*10,[1]Hugst!$R$4:$W$4,0))))</f>
        <v>6154.2036729128167</v>
      </c>
      <c r="M93" s="168">
        <f ca="1">IF($C93-M$1&lt;År1,0,L92*(1-VLOOKUP($A93,[1]Hugst!$R$5:$W$9,MATCH(ROUNDUP((M$1)/10,0)*10,[1]Hugst!$R$4:$W$4,0))))</f>
        <v>6147.5244370715891</v>
      </c>
      <c r="N93" s="168">
        <f ca="1">IF($C93-N$1&lt;År1,0,M92*(1-VLOOKUP($A93,[1]Hugst!$R$5:$W$9,MATCH(ROUNDUP((N$1)/10,0)*10,[1]Hugst!$R$4:$W$4,0))))</f>
        <v>6140.8622288252236</v>
      </c>
      <c r="O93" s="168">
        <f ca="1">IF($C93-O$1&lt;År1,0,N92*(1-VLOOKUP($A93,[1]Hugst!$R$5:$W$9,MATCH(ROUNDUP((O$1)/10,0)*10,[1]Hugst!$R$4:$W$4,0))))</f>
        <v>6134.2171499634469</v>
      </c>
      <c r="P93" s="168">
        <f ca="1">IF($C93-P$1&lt;År1,0,O92*(1-VLOOKUP($A93,[1]Hugst!$R$5:$W$9,MATCH(ROUNDUP((P$1)/10,0)*10,[1]Hugst!$R$4:$W$4,0))))</f>
        <v>6111.9047551188578</v>
      </c>
      <c r="Q93" s="168">
        <f ca="1">IF($C93-Q$1&lt;År1,0,P92*(1-VLOOKUP($A93,[1]Hugst!$R$5:$W$9,MATCH(ROUNDUP((Q$1)/10,0)*10,[1]Hugst!$R$4:$W$4,0))))</f>
        <v>6091.7856637862478</v>
      </c>
      <c r="R93" s="168">
        <f ca="1">IF($C93-R$1&lt;År1,0,Q92*(1-VLOOKUP($A93,[1]Hugst!$R$5:$W$9,MATCH(ROUNDUP((R$1)/10,0)*10,[1]Hugst!$R$4:$W$4,0))))</f>
        <v>6071.7056736386012</v>
      </c>
      <c r="S93" s="168">
        <f ca="1">IF($C93-S$1&lt;År1,0,R92*(1-VLOOKUP($A93,[1]Hugst!$R$5:$W$9,MATCH(ROUNDUP((S$1)/10,0)*10,[1]Hugst!$R$4:$W$4,0))))</f>
        <v>6051.664754401656</v>
      </c>
      <c r="T93" s="168">
        <f ca="1">IF($C93-T$1&lt;År1,0,S92*(1-VLOOKUP($A93,[1]Hugst!$R$5:$W$9,MATCH(ROUNDUP((T$1)/10,0)*10,[1]Hugst!$R$4:$W$4,0))))</f>
        <v>6031.6628759501091</v>
      </c>
      <c r="U93" s="168">
        <f ca="1">IF($C93-U$1&lt;År1,0,T92*(1-VLOOKUP($A93,[1]Hugst!$R$5:$W$9,MATCH(ROUNDUP((U$1)/10,0)*10,[1]Hugst!$R$4:$W$4,0))))</f>
        <v>6011.7000083073008</v>
      </c>
      <c r="V93" s="168">
        <f ca="1">IF($C93-V$1&lt;År1,0,U92*(1-VLOOKUP($A93,[1]Hugst!$R$5:$W$9,MATCH(ROUNDUP((V$1)/10,0)*10,[1]Hugst!$R$4:$W$4,0))))</f>
        <v>5991.7761216456092</v>
      </c>
      <c r="W93" s="168">
        <f ca="1">IF($C93-W$1&lt;År1,0,V92*(1-VLOOKUP($A93,[1]Hugst!$R$5:$W$9,MATCH(ROUNDUP((W$1)/10,0)*10,[1]Hugst!$R$4:$W$4,0))))</f>
        <v>5971.8911862867226</v>
      </c>
      <c r="X93" s="168">
        <f ca="1">IF($C93-X$1&lt;År1,0,W92*(1-VLOOKUP($A93,[1]Hugst!$R$5:$W$9,MATCH(ROUNDUP((X$1)/10,0)*10,[1]Hugst!$R$4:$W$4,0))))</f>
        <v>5952.0451727014915</v>
      </c>
      <c r="Y93" s="168">
        <f ca="1">IF($C93-Y$1&lt;År1,0,X92*(1-VLOOKUP($A93,[1]Hugst!$R$5:$W$9,MATCH(ROUNDUP((Y$1)/10,0)*10,[1]Hugst!$R$4:$W$4,0))))</f>
        <v>10023.800549770265</v>
      </c>
      <c r="Z93" s="168">
        <f ca="1">IF($C93-Z$1&lt;År1,0,Y92*(1-VLOOKUP($A93,[1]Hugst!$R$5:$W$9,MATCH(ROUNDUP((Z$1)/10,0)*10,[1]Hugst!$R$4:$W$4,0))))</f>
        <v>9995.6695131240795</v>
      </c>
      <c r="AA93" s="168">
        <f ca="1">IF($C93-AA$1&lt;År1,0,Z92*(1-VLOOKUP($A93,[1]Hugst!$R$5:$W$9,MATCH(ROUNDUP((AA$1)/10,0)*10,[1]Hugst!$R$4:$W$4,0))))</f>
        <v>9982.9147465675287</v>
      </c>
      <c r="AB93" s="168">
        <f ca="1">IF($C93-AB$1&lt;År1,0,AA92*(1-VLOOKUP($A93,[1]Hugst!$R$5:$W$9,MATCH(ROUNDUP((AB$1)/10,0)*10,[1]Hugst!$R$4:$W$4,0))))</f>
        <v>9970.1972573403073</v>
      </c>
      <c r="AC93" s="168">
        <f ca="1">IF($C93-AC$1&lt;År1,0,AB92*(1-VLOOKUP($A93,[1]Hugst!$R$5:$W$9,MATCH(ROUNDUP((AC$1)/10,0)*10,[1]Hugst!$R$4:$W$4,0))))</f>
        <v>9957.517030256522</v>
      </c>
      <c r="AD93" s="168">
        <f ca="1">IF($C93-AD$1&lt;År1,0,AC92*(1-VLOOKUP($A93,[1]Hugst!$R$5:$W$9,MATCH(ROUNDUP((AD$1)/10,0)*10,[1]Hugst!$R$4:$W$4,0))))</f>
        <v>9944.8740503192275</v>
      </c>
      <c r="AE93" s="168">
        <f ca="1">IF($C93-AE$1&lt;År1,0,AD92*(1-VLOOKUP($A93,[1]Hugst!$R$5:$W$9,MATCH(ROUNDUP((AE$1)/10,0)*10,[1]Hugst!$R$4:$W$4,0))))</f>
        <v>9932.2683027207167</v>
      </c>
      <c r="AF93" s="168">
        <f ca="1">IF($C93-AF$1&lt;År1,0,AE92*(1-VLOOKUP($A93,[1]Hugst!$R$5:$W$9,MATCH(ROUNDUP((AF$1)/10,0)*10,[1]Hugst!$R$4:$W$4,0))))</f>
        <v>9919.6997728425031</v>
      </c>
      <c r="AG93" s="168">
        <f ca="1">IF($C93-AG$1&lt;År1,0,AF92*(1-VLOOKUP($A93,[1]Hugst!$R$5:$W$9,MATCH(ROUNDUP((AG$1)/10,0)*10,[1]Hugst!$R$4:$W$4,0))))</f>
        <v>9907.1684462558405</v>
      </c>
      <c r="AH93" s="168">
        <f ca="1">IF($C93-AH$1&lt;År1,0,AG92*(1-VLOOKUP($A93,[1]Hugst!$R$5:$W$9,MATCH(ROUNDUP((AH$1)/10,0)*10,[1]Hugst!$R$4:$W$4,0))))</f>
        <v>9894.6743087215218</v>
      </c>
      <c r="AI93" s="168">
        <f ca="1">IF($C93-AI$1&lt;År1,0,AH92*(1-VLOOKUP($A93,[1]Hugst!$R$5:$W$9,MATCH(ROUNDUP((AI$1)/10,0)*10,[1]Hugst!$R$4:$W$4,0))))</f>
        <v>9882.2173461905404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(IF(B94="Vestdanmark",Skovbrug!$C$22-(Skovbrug!$C$22)*(1-Skovbrug!$C$9)^(C94-Skovbrug!$B$12),Skovbrug!$F$22-(Skovbrug!$F$22)*(1-Skovbrug!$C$9)^(C94-Skovbrug!$B$12)))*VLOOKUP(A94,Skovbrug!$A$13:$D$17,IF('Skovbrug-alder'!C94&lt;=År2,3,4),FALSE)
-IF(C94&gt;2020,SUM(INDEX($C$1:$D$311,MATCH(1,(2020=$C$1:$C$311)*(B94=$B$1:$B$311)*(A94=$A$1:$A$311),0),2):D93),0)</f>
        <v>841.4621925740139</v>
      </c>
      <c r="E94" s="168">
        <f t="shared" ca="1" si="1"/>
        <v>273.8703147622291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6193.0584140211331</v>
      </c>
      <c r="G94" s="168">
        <f ca="1">IF($C94-G$1&lt;År1,0,F93*(1-VLOOKUP($A94,[1]Hugst!$R$5:$W$9,MATCH(ROUNDUP((G$1)/10,0)*10,[1]Hugst!$R$4:$W$4,0))))</f>
        <v>6194.6310228086668</v>
      </c>
      <c r="H94" s="168">
        <f ca="1">IF($C94-H$1&lt;År1,0,G93*(1-VLOOKUP($A94,[1]Hugst!$R$5:$W$9,MATCH(ROUNDUP((H$1)/10,0)*10,[1]Hugst!$R$4:$W$4,0))))</f>
        <v>6187.8517343061803</v>
      </c>
      <c r="I94" s="168">
        <f ca="1">IF($C94-I$1&lt;År1,0,H93*(1-VLOOKUP($A94,[1]Hugst!$R$5:$W$9,MATCH(ROUNDUP((I$1)/10,0)*10,[1]Hugst!$R$4:$W$4,0))))</f>
        <v>6181.0888718971082</v>
      </c>
      <c r="J94" s="168">
        <f ca="1">IF($C94-J$1&lt;År1,0,I93*(1-VLOOKUP($A94,[1]Hugst!$R$5:$W$9,MATCH(ROUNDUP((J$1)/10,0)*10,[1]Hugst!$R$4:$W$4,0))))</f>
        <v>6174.3425347418715</v>
      </c>
      <c r="K94" s="168">
        <f ca="1">IF($C94-K$1&lt;År1,0,J93*(1-VLOOKUP($A94,[1]Hugst!$R$5:$W$9,MATCH(ROUNDUP((K$1)/10,0)*10,[1]Hugst!$R$4:$W$4,0))))</f>
        <v>6167.6128224337854</v>
      </c>
      <c r="L94" s="168">
        <f ca="1">IF($C94-L$1&lt;År1,0,K93*(1-VLOOKUP($A94,[1]Hugst!$R$5:$W$9,MATCH(ROUNDUP((L$1)/10,0)*10,[1]Hugst!$R$4:$W$4,0))))</f>
        <v>6160.8998350020311</v>
      </c>
      <c r="M94" s="168">
        <f ca="1">IF($C94-M$1&lt;År1,0,L93*(1-VLOOKUP($A94,[1]Hugst!$R$5:$W$9,MATCH(ROUNDUP((M$1)/10,0)*10,[1]Hugst!$R$4:$W$4,0))))</f>
        <v>6154.2036729128167</v>
      </c>
      <c r="N94" s="168">
        <f ca="1">IF($C94-N$1&lt;År1,0,M93*(1-VLOOKUP($A94,[1]Hugst!$R$5:$W$9,MATCH(ROUNDUP((N$1)/10,0)*10,[1]Hugst!$R$4:$W$4,0))))</f>
        <v>6147.5244370715891</v>
      </c>
      <c r="O94" s="168">
        <f ca="1">IF($C94-O$1&lt;År1,0,N93*(1-VLOOKUP($A94,[1]Hugst!$R$5:$W$9,MATCH(ROUNDUP((O$1)/10,0)*10,[1]Hugst!$R$4:$W$4,0))))</f>
        <v>6140.8622288252236</v>
      </c>
      <c r="P94" s="168">
        <f ca="1">IF($C94-P$1&lt;År1,0,O93*(1-VLOOKUP($A94,[1]Hugst!$R$5:$W$9,MATCH(ROUNDUP((P$1)/10,0)*10,[1]Hugst!$R$4:$W$4,0))))</f>
        <v>6124.8598695651972</v>
      </c>
      <c r="Q94" s="168">
        <f ca="1">IF($C94-Q$1&lt;År1,0,P93*(1-VLOOKUP($A94,[1]Hugst!$R$5:$W$9,MATCH(ROUNDUP((Q$1)/10,0)*10,[1]Hugst!$R$4:$W$4,0))))</f>
        <v>6102.5815105771508</v>
      </c>
      <c r="R94" s="168">
        <f ca="1">IF($C94-R$1&lt;År1,0,Q93*(1-VLOOKUP($A94,[1]Hugst!$R$5:$W$9,MATCH(ROUNDUP((R$1)/10,0)*10,[1]Hugst!$R$4:$W$4,0))))</f>
        <v>6082.4931093838622</v>
      </c>
      <c r="S94" s="168">
        <f ca="1">IF($C94-S$1&lt;År1,0,R93*(1-VLOOKUP($A94,[1]Hugst!$R$5:$W$9,MATCH(ROUNDUP((S$1)/10,0)*10,[1]Hugst!$R$4:$W$4,0))))</f>
        <v>6062.4437497296603</v>
      </c>
      <c r="T94" s="168">
        <f ca="1">IF($C94-T$1&lt;År1,0,S93*(1-VLOOKUP($A94,[1]Hugst!$R$5:$W$9,MATCH(ROUNDUP((T$1)/10,0)*10,[1]Hugst!$R$4:$W$4,0))))</f>
        <v>6042.4334013864664</v>
      </c>
      <c r="U94" s="168">
        <f ca="1">IF($C94-U$1&lt;År1,0,T93*(1-VLOOKUP($A94,[1]Hugst!$R$5:$W$9,MATCH(ROUNDUP((U$1)/10,0)*10,[1]Hugst!$R$4:$W$4,0))))</f>
        <v>6022.4620342749304</v>
      </c>
      <c r="V94" s="168">
        <f ca="1">IF($C94-V$1&lt;År1,0,U93*(1-VLOOKUP($A94,[1]Hugst!$R$5:$W$9,MATCH(ROUNDUP((V$1)/10,0)*10,[1]Hugst!$R$4:$W$4,0))))</f>
        <v>6002.5296184641202</v>
      </c>
      <c r="W94" s="168">
        <f ca="1">IF($C94-W$1&lt;År1,0,V93*(1-VLOOKUP($A94,[1]Hugst!$R$5:$W$9,MATCH(ROUNDUP((W$1)/10,0)*10,[1]Hugst!$R$4:$W$4,0))))</f>
        <v>5982.6361241719123</v>
      </c>
      <c r="X94" s="168">
        <f ca="1">IF($C94-X$1&lt;År1,0,W93*(1-VLOOKUP($A94,[1]Hugst!$R$5:$W$9,MATCH(ROUNDUP((X$1)/10,0)*10,[1]Hugst!$R$4:$W$4,0))))</f>
        <v>5962.7815217652678</v>
      </c>
      <c r="Y94" s="168">
        <f ca="1">IF($C94-Y$1&lt;År1,0,X93*(1-VLOOKUP($A94,[1]Hugst!$R$5:$W$9,MATCH(ROUNDUP((Y$1)/10,0)*10,[1]Hugst!$R$4:$W$4,0))))</f>
        <v>5942.9657817600819</v>
      </c>
      <c r="Z94" s="168">
        <f ca="1">IF($C94-Z$1&lt;År1,0,Y93*(1-VLOOKUP($A94,[1]Hugst!$R$5:$W$9,MATCH(ROUNDUP((Z$1)/10,0)*10,[1]Hugst!$R$4:$W$4,0))))</f>
        <v>10006.386320001597</v>
      </c>
      <c r="AA94" s="168">
        <f ca="1">IF($C94-AA$1&lt;År1,0,Z93*(1-VLOOKUP($A94,[1]Hugst!$R$5:$W$9,MATCH(ROUNDUP((AA$1)/10,0)*10,[1]Hugst!$R$4:$W$4,0))))</f>
        <v>9978.3041550716171</v>
      </c>
      <c r="AB94" s="168">
        <f ca="1">IF($C94-AB$1&lt;År1,0,AA93*(1-VLOOKUP($A94,[1]Hugst!$R$5:$W$9,MATCH(ROUNDUP((AB$1)/10,0)*10,[1]Hugst!$R$4:$W$4,0))))</f>
        <v>9965.5715472196771</v>
      </c>
      <c r="AC94" s="168">
        <f ca="1">IF($C94-AC$1&lt;År1,0,AB93*(1-VLOOKUP($A94,[1]Hugst!$R$5:$W$9,MATCH(ROUNDUP((AC$1)/10,0)*10,[1]Hugst!$R$4:$W$4,0))))</f>
        <v>9952.8761519356049</v>
      </c>
      <c r="AD94" s="168">
        <f ca="1">IF($C94-AD$1&lt;År1,0,AC93*(1-VLOOKUP($A94,[1]Hugst!$R$5:$W$9,MATCH(ROUNDUP((AD$1)/10,0)*10,[1]Hugst!$R$4:$W$4,0))))</f>
        <v>9940.21795405989</v>
      </c>
      <c r="AE94" s="168">
        <f ca="1">IF($C94-AE$1&lt;År1,0,AD93*(1-VLOOKUP($A94,[1]Hugst!$R$5:$W$9,MATCH(ROUNDUP((AE$1)/10,0)*10,[1]Hugst!$R$4:$W$4,0))))</f>
        <v>9927.5969386216384</v>
      </c>
      <c r="AF94" s="168">
        <f ca="1">IF($C94-AF$1&lt;År1,0,AE93*(1-VLOOKUP($A94,[1]Hugst!$R$5:$W$9,MATCH(ROUNDUP((AF$1)/10,0)*10,[1]Hugst!$R$4:$W$4,0))))</f>
        <v>9915.013090838871</v>
      </c>
      <c r="AG94" s="168">
        <f ca="1">IF($C94-AG$1&lt;År1,0,AF93*(1-VLOOKUP($A94,[1]Hugst!$R$5:$W$9,MATCH(ROUNDUP((AG$1)/10,0)*10,[1]Hugst!$R$4:$W$4,0))))</f>
        <v>9902.466396118496</v>
      </c>
      <c r="AH94" s="168">
        <f ca="1">IF($C94-AH$1&lt;År1,0,AG93*(1-VLOOKUP($A94,[1]Hugst!$R$5:$W$9,MATCH(ROUNDUP((AH$1)/10,0)*10,[1]Hugst!$R$4:$W$4,0))))</f>
        <v>9889.9568400568369</v>
      </c>
      <c r="AI94" s="168">
        <f ca="1">IF($C94-AI$1&lt;År1,0,AH93*(1-VLOOKUP($A94,[1]Hugst!$R$5:$W$9,MATCH(ROUNDUP((AI$1)/10,0)*10,[1]Hugst!$R$4:$W$4,0))))</f>
        <v>9877.4844084394208</v>
      </c>
      <c r="AJ94" s="168">
        <f ca="1">IF($C94-AJ$1&lt;År1,0,AI93*(1-VLOOKUP($A94,[1]Hugst!$R$5:$W$9,MATCH(ROUNDUP((AJ$1)/10,0)*10,[1]Hugst!$R$4:$W$4,0))))</f>
        <v>9873.4238477045237</v>
      </c>
      <c r="AK94" s="168"/>
      <c r="AL94" s="168">
        <f ca="1">SUM(F94:AJ94)</f>
        <v>231259.55994516722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(IF(B95="Vestdanmark",Skovbrug!$C$22-(Skovbrug!$C$22)*(1-Skovbrug!$C$9)^(C95-Skovbrug!$B$12),Skovbrug!$F$22-(Skovbrug!$F$22)*(1-Skovbrug!$C$9)^(C95-Skovbrug!$B$12)))*VLOOKUP(A95,Skovbrug!$A$13:$D$17,IF('Skovbrug-alder'!C95&lt;=År2,3,4),FALSE)
-IF(C95&gt;2020,SUM(INDEX($C$1:$D$311,MATCH(1,(2020=$C$1:$C$311)*(B95=$B$1:$B$311)*(A95=$A$1:$A$311),0),2):D94),0)</f>
        <v>286.26749999999737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1281.3113060274702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(IF(B96="Vestdanmark",Skovbrug!$C$22-(Skovbrug!$C$22)*(1-Skovbrug!$C$9)^(C96-Skovbrug!$B$12),Skovbrug!$F$22-(Skovbrug!$F$22)*(1-Skovbrug!$C$9)^(C96-Skovbrug!$B$12)))*VLOOKUP(A96,Skovbrug!$A$13:$D$17,IF('Skovbrug-alder'!C96&lt;=År2,3,4),FALSE)
-IF(C96&gt;2020,SUM(INDEX($C$1:$D$311,MATCH(1,(2020=$C$1:$C$311)*(B96=$B$1:$B$311)*(A96=$A$1:$A$311),0),2):D95),0)</f>
        <v>284.83616249999767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1279.8799685274705</v>
      </c>
      <c r="G96" s="168">
        <f ca="1">IF($C96-G$1&lt;År1,0,F95*(1-VLOOKUP($A96,[1]Hugst!$R$5:$W$9,MATCH(ROUNDUP((G$1)/10,0)*10,[1]Hugst!$R$4:$W$4,0))))</f>
        <v>1281.3113060274702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(IF(B97="Vestdanmark",Skovbrug!$C$22-(Skovbrug!$C$22)*(1-Skovbrug!$C$9)^(C97-Skovbrug!$B$12),Skovbrug!$F$22-(Skovbrug!$F$22)*(1-Skovbrug!$C$9)^(C97-Skovbrug!$B$12)))*VLOOKUP(A97,Skovbrug!$A$13:$D$17,IF('Skovbrug-alder'!C97&lt;=År2,3,4),FALSE)
-IF(C97&gt;2020,SUM(INDEX($C$1:$D$311,MATCH(1,(2020=$C$1:$C$311)*(B97=$B$1:$B$311)*(A97=$A$1:$A$311),0),2):D96),0)</f>
        <v>283.41198168750338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1278.4557877149764</v>
      </c>
      <c r="G97" s="168">
        <f ca="1">IF($C97-G$1&lt;År1,0,F96*(1-VLOOKUP($A97,[1]Hugst!$R$5:$W$9,MATCH(ROUNDUP((G$1)/10,0)*10,[1]Hugst!$R$4:$W$4,0))))</f>
        <v>1279.8799685274705</v>
      </c>
      <c r="H97" s="168">
        <f ca="1">IF($C97-H$1&lt;År1,0,G96*(1-VLOOKUP($A97,[1]Hugst!$R$5:$W$9,MATCH(ROUNDUP((H$1)/10,0)*10,[1]Hugst!$R$4:$W$4,0))))</f>
        <v>1281.3113060274702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(IF(B98="Vestdanmark",Skovbrug!$C$22-(Skovbrug!$C$22)*(1-Skovbrug!$C$9)^(C98-Skovbrug!$B$12),Skovbrug!$F$22-(Skovbrug!$F$22)*(1-Skovbrug!$C$9)^(C98-Skovbrug!$B$12)))*VLOOKUP(A98,Skovbrug!$A$13:$D$17,IF('Skovbrug-alder'!C98&lt;=År2,3,4),FALSE)
-IF(C98&gt;2020,SUM(INDEX($C$1:$D$311,MATCH(1,(2020=$C$1:$C$311)*(B98=$B$1:$B$311)*(A98=$A$1:$A$311),0),2):D97),0)</f>
        <v>281.9949217790637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1277.0387278065366</v>
      </c>
      <c r="G98" s="168">
        <f ca="1">IF($C98-G$1&lt;År1,0,F97*(1-VLOOKUP($A98,[1]Hugst!$R$5:$W$9,MATCH(ROUNDUP((G$1)/10,0)*10,[1]Hugst!$R$4:$W$4,0))))</f>
        <v>1278.4557877149764</v>
      </c>
      <c r="H98" s="168">
        <f ca="1">IF($C98-H$1&lt;År1,0,G97*(1-VLOOKUP($A98,[1]Hugst!$R$5:$W$9,MATCH(ROUNDUP((H$1)/10,0)*10,[1]Hugst!$R$4:$W$4,0))))</f>
        <v>1279.8799685274705</v>
      </c>
      <c r="I98" s="168">
        <f ca="1">IF($C98-I$1&lt;År1,0,H97*(1-VLOOKUP($A98,[1]Hugst!$R$5:$W$9,MATCH(ROUNDUP((I$1)/10,0)*10,[1]Hugst!$R$4:$W$4,0))))</f>
        <v>1281.3113060274702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(IF(B99="Vestdanmark",Skovbrug!$C$22-(Skovbrug!$C$22)*(1-Skovbrug!$C$9)^(C99-Skovbrug!$B$12),Skovbrug!$F$22-(Skovbrug!$F$22)*(1-Skovbrug!$C$9)^(C99-Skovbrug!$B$12)))*VLOOKUP(A99,Skovbrug!$A$13:$D$17,IF('Skovbrug-alder'!C99&lt;=År2,3,4),FALSE)
-IF(C99&gt;2020,SUM(INDEX($C$1:$D$311,MATCH(1,(2020=$C$1:$C$311)*(B99=$B$1:$B$311)*(A99=$A$1:$A$311),0),2):D98),0)</f>
        <v>280.5849471701606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1275.6287531976336</v>
      </c>
      <c r="G99" s="168">
        <f ca="1">IF($C99-G$1&lt;År1,0,F98*(1-VLOOKUP($A99,[1]Hugst!$R$5:$W$9,MATCH(ROUNDUP((G$1)/10,0)*10,[1]Hugst!$R$4:$W$4,0))))</f>
        <v>1277.0387278065366</v>
      </c>
      <c r="H99" s="168">
        <f ca="1">IF($C99-H$1&lt;År1,0,G98*(1-VLOOKUP($A99,[1]Hugst!$R$5:$W$9,MATCH(ROUNDUP((H$1)/10,0)*10,[1]Hugst!$R$4:$W$4,0))))</f>
        <v>1278.4557877149764</v>
      </c>
      <c r="I99" s="168">
        <f ca="1">IF($C99-I$1&lt;År1,0,H98*(1-VLOOKUP($A99,[1]Hugst!$R$5:$W$9,MATCH(ROUNDUP((I$1)/10,0)*10,[1]Hugst!$R$4:$W$4,0))))</f>
        <v>1279.8799685274705</v>
      </c>
      <c r="J99" s="168">
        <f ca="1">IF($C99-J$1&lt;År1,0,I98*(1-VLOOKUP($A99,[1]Hugst!$R$5:$W$9,MATCH(ROUNDUP((J$1)/10,0)*10,[1]Hugst!$R$4:$W$4,0))))</f>
        <v>1281.3113060274702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(IF(B100="Vestdanmark",Skovbrug!$C$22-(Skovbrug!$C$22)*(1-Skovbrug!$C$9)^(C100-Skovbrug!$B$12),Skovbrug!$F$22-(Skovbrug!$F$22)*(1-Skovbrug!$C$9)^(C100-Skovbrug!$B$12)))*VLOOKUP(A100,Skovbrug!$A$13:$D$17,IF('Skovbrug-alder'!C100&lt;=År2,3,4),FALSE)
-IF(C100&gt;2020,SUM(INDEX($C$1:$D$311,MATCH(1,(2020=$C$1:$C$311)*(B100=$B$1:$B$311)*(A100=$A$1:$A$311),0),2):D99),0)</f>
        <v>279.18202243431438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1274.2258284617874</v>
      </c>
      <c r="G100" s="168">
        <f ca="1">IF($C100-G$1&lt;År1,0,F99*(1-VLOOKUP($A100,[1]Hugst!$R$5:$W$9,MATCH(ROUNDUP((G$1)/10,0)*10,[1]Hugst!$R$4:$W$4,0))))</f>
        <v>1275.6287531976336</v>
      </c>
      <c r="H100" s="168">
        <f ca="1">IF($C100-H$1&lt;År1,0,G99*(1-VLOOKUP($A100,[1]Hugst!$R$5:$W$9,MATCH(ROUNDUP((H$1)/10,0)*10,[1]Hugst!$R$4:$W$4,0))))</f>
        <v>1277.0387278065366</v>
      </c>
      <c r="I100" s="168">
        <f ca="1">IF($C100-I$1&lt;År1,0,H99*(1-VLOOKUP($A100,[1]Hugst!$R$5:$W$9,MATCH(ROUNDUP((I$1)/10,0)*10,[1]Hugst!$R$4:$W$4,0))))</f>
        <v>1278.4557877149764</v>
      </c>
      <c r="J100" s="168">
        <f ca="1">IF($C100-J$1&lt;År1,0,I99*(1-VLOOKUP($A100,[1]Hugst!$R$5:$W$9,MATCH(ROUNDUP((J$1)/10,0)*10,[1]Hugst!$R$4:$W$4,0))))</f>
        <v>1279.8799685274705</v>
      </c>
      <c r="K100" s="168">
        <f ca="1">IF($C100-K$1&lt;År1,0,J99*(1-VLOOKUP($A100,[1]Hugst!$R$5:$W$9,MATCH(ROUNDUP((K$1)/10,0)*10,[1]Hugst!$R$4:$W$4,0))))</f>
        <v>1281.3113060274702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(IF(B101="Vestdanmark",Skovbrug!$C$22-(Skovbrug!$C$22)*(1-Skovbrug!$C$9)^(C101-Skovbrug!$B$12),Skovbrug!$F$22-(Skovbrug!$F$22)*(1-Skovbrug!$C$9)^(C101-Skovbrug!$B$12)))*VLOOKUP(A101,Skovbrug!$A$13:$D$17,IF('Skovbrug-alder'!C101&lt;=År2,3,4),FALSE)
-IF(C101&gt;2020,SUM(INDEX($C$1:$D$311,MATCH(1,(2020=$C$1:$C$311)*(B101=$B$1:$B$311)*(A101=$A$1:$A$311),0),2):D100),0)</f>
        <v>277.78611232215121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1272.8299183496242</v>
      </c>
      <c r="G101" s="168">
        <f ca="1">IF($C101-G$1&lt;År1,0,F100*(1-VLOOKUP($A101,[1]Hugst!$R$5:$W$9,MATCH(ROUNDUP((G$1)/10,0)*10,[1]Hugst!$R$4:$W$4,0))))</f>
        <v>1274.2258284617874</v>
      </c>
      <c r="H101" s="168">
        <f ca="1">IF($C101-H$1&lt;År1,0,G100*(1-VLOOKUP($A101,[1]Hugst!$R$5:$W$9,MATCH(ROUNDUP((H$1)/10,0)*10,[1]Hugst!$R$4:$W$4,0))))</f>
        <v>1275.6287531976336</v>
      </c>
      <c r="I101" s="168">
        <f ca="1">IF($C101-I$1&lt;År1,0,H100*(1-VLOOKUP($A101,[1]Hugst!$R$5:$W$9,MATCH(ROUNDUP((I$1)/10,0)*10,[1]Hugst!$R$4:$W$4,0))))</f>
        <v>1277.0387278065366</v>
      </c>
      <c r="J101" s="168">
        <f ca="1">IF($C101-J$1&lt;År1,0,I100*(1-VLOOKUP($A101,[1]Hugst!$R$5:$W$9,MATCH(ROUNDUP((J$1)/10,0)*10,[1]Hugst!$R$4:$W$4,0))))</f>
        <v>1278.4557877149764</v>
      </c>
      <c r="K101" s="168">
        <f ca="1">IF($C101-K$1&lt;År1,0,J100*(1-VLOOKUP($A101,[1]Hugst!$R$5:$W$9,MATCH(ROUNDUP((K$1)/10,0)*10,[1]Hugst!$R$4:$W$4,0))))</f>
        <v>1279.8799685274705</v>
      </c>
      <c r="L101" s="168">
        <f ca="1">IF($C101-L$1&lt;År1,0,K100*(1-VLOOKUP($A101,[1]Hugst!$R$5:$W$9,MATCH(ROUNDUP((L$1)/10,0)*10,[1]Hugst!$R$4:$W$4,0))))</f>
        <v>1281.3113060274702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(IF(B102="Vestdanmark",Skovbrug!$C$22-(Skovbrug!$C$22)*(1-Skovbrug!$C$9)^(C102-Skovbrug!$B$12),Skovbrug!$F$22-(Skovbrug!$F$22)*(1-Skovbrug!$C$9)^(C102-Skovbrug!$B$12)))*VLOOKUP(A102,Skovbrug!$A$13:$D$17,IF('Skovbrug-alder'!C102&lt;=År2,3,4),FALSE)
-IF(C102&gt;2020,SUM(INDEX($C$1:$D$311,MATCH(1,(2020=$C$1:$C$311)*(B102=$B$1:$B$311)*(A102=$A$1:$A$311),0),2):D101),0)</f>
        <v>276.39718176053384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1271.4409877880066</v>
      </c>
      <c r="G102" s="168">
        <f ca="1">IF($C102-G$1&lt;År1,0,F101*(1-VLOOKUP($A102,[1]Hugst!$R$5:$W$9,MATCH(ROUNDUP((G$1)/10,0)*10,[1]Hugst!$R$4:$W$4,0))))</f>
        <v>1272.8299183496242</v>
      </c>
      <c r="H102" s="168">
        <f ca="1">IF($C102-H$1&lt;År1,0,G101*(1-VLOOKUP($A102,[1]Hugst!$R$5:$W$9,MATCH(ROUNDUP((H$1)/10,0)*10,[1]Hugst!$R$4:$W$4,0))))</f>
        <v>1274.2258284617874</v>
      </c>
      <c r="I102" s="168">
        <f ca="1">IF($C102-I$1&lt;År1,0,H101*(1-VLOOKUP($A102,[1]Hugst!$R$5:$W$9,MATCH(ROUNDUP((I$1)/10,0)*10,[1]Hugst!$R$4:$W$4,0))))</f>
        <v>1275.6287531976336</v>
      </c>
      <c r="J102" s="168">
        <f ca="1">IF($C102-J$1&lt;År1,0,I101*(1-VLOOKUP($A102,[1]Hugst!$R$5:$W$9,MATCH(ROUNDUP((J$1)/10,0)*10,[1]Hugst!$R$4:$W$4,0))))</f>
        <v>1277.0387278065366</v>
      </c>
      <c r="K102" s="168">
        <f ca="1">IF($C102-K$1&lt;År1,0,J101*(1-VLOOKUP($A102,[1]Hugst!$R$5:$W$9,MATCH(ROUNDUP((K$1)/10,0)*10,[1]Hugst!$R$4:$W$4,0))))</f>
        <v>1278.4557877149764</v>
      </c>
      <c r="L102" s="168">
        <f ca="1">IF($C102-L$1&lt;År1,0,K101*(1-VLOOKUP($A102,[1]Hugst!$R$5:$W$9,MATCH(ROUNDUP((L$1)/10,0)*10,[1]Hugst!$R$4:$W$4,0))))</f>
        <v>1279.8799685274705</v>
      </c>
      <c r="M102" s="168">
        <f ca="1">IF($C102-M$1&lt;År1,0,L101*(1-VLOOKUP($A102,[1]Hugst!$R$5:$W$9,MATCH(ROUNDUP((M$1)/10,0)*10,[1]Hugst!$R$4:$W$4,0))))</f>
        <v>1281.3113060274702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(IF(B103="Vestdanmark",Skovbrug!$C$22-(Skovbrug!$C$22)*(1-Skovbrug!$C$9)^(C103-Skovbrug!$B$12),Skovbrug!$F$22-(Skovbrug!$F$22)*(1-Skovbrug!$C$9)^(C103-Skovbrug!$B$12)))*VLOOKUP(A103,Skovbrug!$A$13:$D$17,IF('Skovbrug-alder'!C103&lt;=År2,3,4),FALSE)
-IF(C103&gt;2020,SUM(INDEX($C$1:$D$311,MATCH(1,(2020=$C$1:$C$311)*(B103=$B$1:$B$311)*(A103=$A$1:$A$311),0),2):D102),0)</f>
        <v>275.01519585173492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1270.0590018792077</v>
      </c>
      <c r="G103" s="168">
        <f ca="1">IF($C103-G$1&lt;År1,0,F102*(1-VLOOKUP($A103,[1]Hugst!$R$5:$W$9,MATCH(ROUNDUP((G$1)/10,0)*10,[1]Hugst!$R$4:$W$4,0))))</f>
        <v>1271.4409877880066</v>
      </c>
      <c r="H103" s="168">
        <f ca="1">IF($C103-H$1&lt;År1,0,G102*(1-VLOOKUP($A103,[1]Hugst!$R$5:$W$9,MATCH(ROUNDUP((H$1)/10,0)*10,[1]Hugst!$R$4:$W$4,0))))</f>
        <v>1272.8299183496242</v>
      </c>
      <c r="I103" s="168">
        <f ca="1">IF($C103-I$1&lt;År1,0,H102*(1-VLOOKUP($A103,[1]Hugst!$R$5:$W$9,MATCH(ROUNDUP((I$1)/10,0)*10,[1]Hugst!$R$4:$W$4,0))))</f>
        <v>1274.2258284617874</v>
      </c>
      <c r="J103" s="168">
        <f ca="1">IF($C103-J$1&lt;År1,0,I102*(1-VLOOKUP($A103,[1]Hugst!$R$5:$W$9,MATCH(ROUNDUP((J$1)/10,0)*10,[1]Hugst!$R$4:$W$4,0))))</f>
        <v>1275.6287531976336</v>
      </c>
      <c r="K103" s="168">
        <f ca="1">IF($C103-K$1&lt;År1,0,J102*(1-VLOOKUP($A103,[1]Hugst!$R$5:$W$9,MATCH(ROUNDUP((K$1)/10,0)*10,[1]Hugst!$R$4:$W$4,0))))</f>
        <v>1277.0387278065366</v>
      </c>
      <c r="L103" s="168">
        <f ca="1">IF($C103-L$1&lt;År1,0,K102*(1-VLOOKUP($A103,[1]Hugst!$R$5:$W$9,MATCH(ROUNDUP((L$1)/10,0)*10,[1]Hugst!$R$4:$W$4,0))))</f>
        <v>1278.4557877149764</v>
      </c>
      <c r="M103" s="168">
        <f ca="1">IF($C103-M$1&lt;År1,0,L102*(1-VLOOKUP($A103,[1]Hugst!$R$5:$W$9,MATCH(ROUNDUP((M$1)/10,0)*10,[1]Hugst!$R$4:$W$4,0))))</f>
        <v>1279.8799685274705</v>
      </c>
      <c r="N103" s="168">
        <f ca="1">IF($C103-N$1&lt;År1,0,M102*(1-VLOOKUP($A103,[1]Hugst!$R$5:$W$9,MATCH(ROUNDUP((N$1)/10,0)*10,[1]Hugst!$R$4:$W$4,0))))</f>
        <v>1281.3113060274702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(IF(B104="Vestdanmark",Skovbrug!$C$22-(Skovbrug!$C$22)*(1-Skovbrug!$C$9)^(C104-Skovbrug!$B$12),Skovbrug!$F$22-(Skovbrug!$F$22)*(1-Skovbrug!$C$9)^(C104-Skovbrug!$B$12)))*VLOOKUP(A104,Skovbrug!$A$13:$D$17,IF('Skovbrug-alder'!C104&lt;=År2,3,4),FALSE)
-IF(C104&gt;2020,SUM(INDEX($C$1:$D$311,MATCH(1,(2020=$C$1:$C$311)*(B104=$B$1:$B$311)*(A104=$A$1:$A$311),0),2):D103),0)</f>
        <v>273.64011987246477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1268.6839258999375</v>
      </c>
      <c r="G104" s="168">
        <f ca="1">IF($C104-G$1&lt;År1,0,F103*(1-VLOOKUP($A104,[1]Hugst!$R$5:$W$9,MATCH(ROUNDUP((G$1)/10,0)*10,[1]Hugst!$R$4:$W$4,0))))</f>
        <v>1270.0590018792077</v>
      </c>
      <c r="H104" s="168">
        <f ca="1">IF($C104-H$1&lt;År1,0,G103*(1-VLOOKUP($A104,[1]Hugst!$R$5:$W$9,MATCH(ROUNDUP((H$1)/10,0)*10,[1]Hugst!$R$4:$W$4,0))))</f>
        <v>1271.4409877880066</v>
      </c>
      <c r="I104" s="168">
        <f ca="1">IF($C104-I$1&lt;År1,0,H103*(1-VLOOKUP($A104,[1]Hugst!$R$5:$W$9,MATCH(ROUNDUP((I$1)/10,0)*10,[1]Hugst!$R$4:$W$4,0))))</f>
        <v>1272.8299183496242</v>
      </c>
      <c r="J104" s="168">
        <f ca="1">IF($C104-J$1&lt;År1,0,I103*(1-VLOOKUP($A104,[1]Hugst!$R$5:$W$9,MATCH(ROUNDUP((J$1)/10,0)*10,[1]Hugst!$R$4:$W$4,0))))</f>
        <v>1274.2258284617874</v>
      </c>
      <c r="K104" s="168">
        <f ca="1">IF($C104-K$1&lt;År1,0,J103*(1-VLOOKUP($A104,[1]Hugst!$R$5:$W$9,MATCH(ROUNDUP((K$1)/10,0)*10,[1]Hugst!$R$4:$W$4,0))))</f>
        <v>1275.6287531976336</v>
      </c>
      <c r="L104" s="168">
        <f ca="1">IF($C104-L$1&lt;År1,0,K103*(1-VLOOKUP($A104,[1]Hugst!$R$5:$W$9,MATCH(ROUNDUP((L$1)/10,0)*10,[1]Hugst!$R$4:$W$4,0))))</f>
        <v>1277.0387278065366</v>
      </c>
      <c r="M104" s="168">
        <f ca="1">IF($C104-M$1&lt;År1,0,L103*(1-VLOOKUP($A104,[1]Hugst!$R$5:$W$9,MATCH(ROUNDUP((M$1)/10,0)*10,[1]Hugst!$R$4:$W$4,0))))</f>
        <v>1278.4557877149764</v>
      </c>
      <c r="N104" s="168">
        <f ca="1">IF($C104-N$1&lt;År1,0,M103*(1-VLOOKUP($A104,[1]Hugst!$R$5:$W$9,MATCH(ROUNDUP((N$1)/10,0)*10,[1]Hugst!$R$4:$W$4,0))))</f>
        <v>1279.8799685274705</v>
      </c>
      <c r="O104" s="168">
        <f ca="1">IF($C104-O$1&lt;År1,0,N103*(1-VLOOKUP($A104,[1]Hugst!$R$5:$W$9,MATCH(ROUNDUP((O$1)/10,0)*10,[1]Hugst!$R$4:$W$4,0))))</f>
        <v>1281.3113060274702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(IF(B105="Vestdanmark",Skovbrug!$C$22-(Skovbrug!$C$22)*(1-Skovbrug!$C$9)^(C105-Skovbrug!$B$12),Skovbrug!$F$22-(Skovbrug!$F$22)*(1-Skovbrug!$C$9)^(C105-Skovbrug!$B$12)))*VLOOKUP(A105,Skovbrug!$A$13:$D$17,IF('Skovbrug-alder'!C105&lt;=År2,3,4),FALSE)
-IF(C105&gt;2020,SUM(INDEX($C$1:$D$311,MATCH(1,(2020=$C$1:$C$311)*(B105=$B$1:$B$311)*(A105=$A$1:$A$311),0),2):D104),0)</f>
        <v>272.27191927311378</v>
      </c>
      <c r="E105" s="168">
        <f t="shared" ca="1" si="2"/>
        <v>1.9545426702115947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1269.2702679707982</v>
      </c>
      <c r="G105" s="168">
        <f ca="1">IF($C105-G$1&lt;År1,0,F104*(1-VLOOKUP($A105,[1]Hugst!$R$5:$W$9,MATCH(ROUNDUP((G$1)/10,0)*10,[1]Hugst!$R$4:$W$4,0))))</f>
        <v>1268.6839258999375</v>
      </c>
      <c r="H105" s="168">
        <f ca="1">IF($C105-H$1&lt;År1,0,G104*(1-VLOOKUP($A105,[1]Hugst!$R$5:$W$9,MATCH(ROUNDUP((H$1)/10,0)*10,[1]Hugst!$R$4:$W$4,0))))</f>
        <v>1270.0590018792077</v>
      </c>
      <c r="I105" s="168">
        <f ca="1">IF($C105-I$1&lt;År1,0,H104*(1-VLOOKUP($A105,[1]Hugst!$R$5:$W$9,MATCH(ROUNDUP((I$1)/10,0)*10,[1]Hugst!$R$4:$W$4,0))))</f>
        <v>1271.4409877880066</v>
      </c>
      <c r="J105" s="168">
        <f ca="1">IF($C105-J$1&lt;År1,0,I104*(1-VLOOKUP($A105,[1]Hugst!$R$5:$W$9,MATCH(ROUNDUP((J$1)/10,0)*10,[1]Hugst!$R$4:$W$4,0))))</f>
        <v>1272.8299183496242</v>
      </c>
      <c r="K105" s="168">
        <f ca="1">IF($C105-K$1&lt;År1,0,J104*(1-VLOOKUP($A105,[1]Hugst!$R$5:$W$9,MATCH(ROUNDUP((K$1)/10,0)*10,[1]Hugst!$R$4:$W$4,0))))</f>
        <v>1274.2258284617874</v>
      </c>
      <c r="L105" s="168">
        <f ca="1">IF($C105-L$1&lt;År1,0,K104*(1-VLOOKUP($A105,[1]Hugst!$R$5:$W$9,MATCH(ROUNDUP((L$1)/10,0)*10,[1]Hugst!$R$4:$W$4,0))))</f>
        <v>1275.6287531976336</v>
      </c>
      <c r="M105" s="168">
        <f ca="1">IF($C105-M$1&lt;År1,0,L104*(1-VLOOKUP($A105,[1]Hugst!$R$5:$W$9,MATCH(ROUNDUP((M$1)/10,0)*10,[1]Hugst!$R$4:$W$4,0))))</f>
        <v>1277.0387278065366</v>
      </c>
      <c r="N105" s="168">
        <f ca="1">IF($C105-N$1&lt;År1,0,M104*(1-VLOOKUP($A105,[1]Hugst!$R$5:$W$9,MATCH(ROUNDUP((N$1)/10,0)*10,[1]Hugst!$R$4:$W$4,0))))</f>
        <v>1278.4557877149764</v>
      </c>
      <c r="O105" s="168">
        <f ca="1">IF($C105-O$1&lt;År1,0,N104*(1-VLOOKUP($A105,[1]Hugst!$R$5:$W$9,MATCH(ROUNDUP((O$1)/10,0)*10,[1]Hugst!$R$4:$W$4,0))))</f>
        <v>1279.8799685274705</v>
      </c>
      <c r="P105" s="168">
        <f ca="1">IF($C105-P$1&lt;År1,0,O104*(1-VLOOKUP($A105,[1]Hugst!$R$5:$W$9,MATCH(ROUNDUP((P$1)/10,0)*10,[1]Hugst!$R$4:$W$4,0))))</f>
        <v>1279.3567633572588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(IF(B106="Vestdanmark",Skovbrug!$C$22-(Skovbrug!$C$22)*(1-Skovbrug!$C$9)^(C106-Skovbrug!$B$12),Skovbrug!$F$22-(Skovbrug!$F$22)*(1-Skovbrug!$C$9)^(C106-Skovbrug!$B$12)))*VLOOKUP(A106,Skovbrug!$A$13:$D$17,IF('Skovbrug-alder'!C106&lt;=År2,3,4),FALSE)
-IF(C106&gt;2020,SUM(INDEX($C$1:$D$311,MATCH(1,(2020=$C$1:$C$311)*(B106=$B$1:$B$311)*(A106=$A$1:$A$311),0),2):D105),0)</f>
        <v>270.91055967673947</v>
      </c>
      <c r="E106" s="168">
        <f t="shared" ca="1" si="2"/>
        <v>3.9039204384662298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822.08857343031582</v>
      </c>
      <c r="G106" s="168">
        <f ca="1">IF($C106-G$1&lt;År1,0,F105*(1-VLOOKUP($A106,[1]Hugst!$R$5:$W$9,MATCH(ROUNDUP((G$1)/10,0)*10,[1]Hugst!$R$4:$W$4,0))))</f>
        <v>1269.2702679707982</v>
      </c>
      <c r="H106" s="168">
        <f ca="1">IF($C106-H$1&lt;År1,0,G105*(1-VLOOKUP($A106,[1]Hugst!$R$5:$W$9,MATCH(ROUNDUP((H$1)/10,0)*10,[1]Hugst!$R$4:$W$4,0))))</f>
        <v>1268.6839258999375</v>
      </c>
      <c r="I106" s="168">
        <f ca="1">IF($C106-I$1&lt;År1,0,H105*(1-VLOOKUP($A106,[1]Hugst!$R$5:$W$9,MATCH(ROUNDUP((I$1)/10,0)*10,[1]Hugst!$R$4:$W$4,0))))</f>
        <v>1270.0590018792077</v>
      </c>
      <c r="J106" s="168">
        <f ca="1">IF($C106-J$1&lt;År1,0,I105*(1-VLOOKUP($A106,[1]Hugst!$R$5:$W$9,MATCH(ROUNDUP((J$1)/10,0)*10,[1]Hugst!$R$4:$W$4,0))))</f>
        <v>1271.4409877880066</v>
      </c>
      <c r="K106" s="168">
        <f ca="1">IF($C106-K$1&lt;År1,0,J105*(1-VLOOKUP($A106,[1]Hugst!$R$5:$W$9,MATCH(ROUNDUP((K$1)/10,0)*10,[1]Hugst!$R$4:$W$4,0))))</f>
        <v>1272.8299183496242</v>
      </c>
      <c r="L106" s="168">
        <f ca="1">IF($C106-L$1&lt;År1,0,K105*(1-VLOOKUP($A106,[1]Hugst!$R$5:$W$9,MATCH(ROUNDUP((L$1)/10,0)*10,[1]Hugst!$R$4:$W$4,0))))</f>
        <v>1274.2258284617874</v>
      </c>
      <c r="M106" s="168">
        <f ca="1">IF($C106-M$1&lt;År1,0,L105*(1-VLOOKUP($A106,[1]Hugst!$R$5:$W$9,MATCH(ROUNDUP((M$1)/10,0)*10,[1]Hugst!$R$4:$W$4,0))))</f>
        <v>1275.6287531976336</v>
      </c>
      <c r="N106" s="168">
        <f ca="1">IF($C106-N$1&lt;År1,0,M105*(1-VLOOKUP($A106,[1]Hugst!$R$5:$W$9,MATCH(ROUNDUP((N$1)/10,0)*10,[1]Hugst!$R$4:$W$4,0))))</f>
        <v>1277.0387278065366</v>
      </c>
      <c r="O106" s="168">
        <f ca="1">IF($C106-O$1&lt;År1,0,N105*(1-VLOOKUP($A106,[1]Hugst!$R$5:$W$9,MATCH(ROUNDUP((O$1)/10,0)*10,[1]Hugst!$R$4:$W$4,0))))</f>
        <v>1278.4557877149764</v>
      </c>
      <c r="P106" s="168">
        <f ca="1">IF($C106-P$1&lt;År1,0,O105*(1-VLOOKUP($A106,[1]Hugst!$R$5:$W$9,MATCH(ROUNDUP((P$1)/10,0)*10,[1]Hugst!$R$4:$W$4,0))))</f>
        <v>1277.9276092534456</v>
      </c>
      <c r="Q106" s="168">
        <f ca="1">IF($C106-Q$1&lt;År1,0,P105*(1-VLOOKUP($A106,[1]Hugst!$R$5:$W$9,MATCH(ROUNDUP((Q$1)/10,0)*10,[1]Hugst!$R$4:$W$4,0))))</f>
        <v>1277.4052021928155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(IF(B107="Vestdanmark",Skovbrug!$C$22-(Skovbrug!$C$22)*(1-Skovbrug!$C$9)^(C107-Skovbrug!$B$12),Skovbrug!$F$22-(Skovbrug!$F$22)*(1-Skovbrug!$C$9)^(C107-Skovbrug!$B$12)))*VLOOKUP(A107,Skovbrug!$A$13:$D$17,IF('Skovbrug-alder'!C107&lt;=År2,3,4),FALSE)
-IF(C107&gt;2020,SUM(INDEX($C$1:$D$311,MATCH(1,(2020=$C$1:$C$311)*(B107=$B$1:$B$311)*(A107=$A$1:$A$311),0),2):D106),0)</f>
        <v>269.55600687836159</v>
      </c>
      <c r="E107" s="168">
        <f t="shared" ca="1" si="2"/>
        <v>5.8481521004159731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822.67825229388768</v>
      </c>
      <c r="G107" s="168">
        <f ca="1">IF($C107-G$1&lt;År1,0,F106*(1-VLOOKUP($A107,[1]Hugst!$R$5:$W$9,MATCH(ROUNDUP((G$1)/10,0)*10,[1]Hugst!$R$4:$W$4,0))))</f>
        <v>822.08857343031582</v>
      </c>
      <c r="H107" s="168">
        <f ca="1">IF($C107-H$1&lt;År1,0,G106*(1-VLOOKUP($A107,[1]Hugst!$R$5:$W$9,MATCH(ROUNDUP((H$1)/10,0)*10,[1]Hugst!$R$4:$W$4,0))))</f>
        <v>1269.2702679707982</v>
      </c>
      <c r="I107" s="168">
        <f ca="1">IF($C107-I$1&lt;År1,0,H106*(1-VLOOKUP($A107,[1]Hugst!$R$5:$W$9,MATCH(ROUNDUP((I$1)/10,0)*10,[1]Hugst!$R$4:$W$4,0))))</f>
        <v>1268.6839258999375</v>
      </c>
      <c r="J107" s="168">
        <f ca="1">IF($C107-J$1&lt;År1,0,I106*(1-VLOOKUP($A107,[1]Hugst!$R$5:$W$9,MATCH(ROUNDUP((J$1)/10,0)*10,[1]Hugst!$R$4:$W$4,0))))</f>
        <v>1270.0590018792077</v>
      </c>
      <c r="K107" s="168">
        <f ca="1">IF($C107-K$1&lt;År1,0,J106*(1-VLOOKUP($A107,[1]Hugst!$R$5:$W$9,MATCH(ROUNDUP((K$1)/10,0)*10,[1]Hugst!$R$4:$W$4,0))))</f>
        <v>1271.4409877880066</v>
      </c>
      <c r="L107" s="168">
        <f ca="1">IF($C107-L$1&lt;År1,0,K106*(1-VLOOKUP($A107,[1]Hugst!$R$5:$W$9,MATCH(ROUNDUP((L$1)/10,0)*10,[1]Hugst!$R$4:$W$4,0))))</f>
        <v>1272.8299183496242</v>
      </c>
      <c r="M107" s="168">
        <f ca="1">IF($C107-M$1&lt;År1,0,L106*(1-VLOOKUP($A107,[1]Hugst!$R$5:$W$9,MATCH(ROUNDUP((M$1)/10,0)*10,[1]Hugst!$R$4:$W$4,0))))</f>
        <v>1274.2258284617874</v>
      </c>
      <c r="N107" s="168">
        <f ca="1">IF($C107-N$1&lt;År1,0,M106*(1-VLOOKUP($A107,[1]Hugst!$R$5:$W$9,MATCH(ROUNDUP((N$1)/10,0)*10,[1]Hugst!$R$4:$W$4,0))))</f>
        <v>1275.6287531976336</v>
      </c>
      <c r="O107" s="168">
        <f ca="1">IF($C107-O$1&lt;År1,0,N106*(1-VLOOKUP($A107,[1]Hugst!$R$5:$W$9,MATCH(ROUNDUP((O$1)/10,0)*10,[1]Hugst!$R$4:$W$4,0))))</f>
        <v>1277.0387278065366</v>
      </c>
      <c r="P107" s="168">
        <f ca="1">IF($C107-P$1&lt;År1,0,O106*(1-VLOOKUP($A107,[1]Hugst!$R$5:$W$9,MATCH(ROUNDUP((P$1)/10,0)*10,[1]Hugst!$R$4:$W$4,0))))</f>
        <v>1276.5056009201569</v>
      </c>
      <c r="Q107" s="168">
        <f ca="1">IF($C107-Q$1&lt;År1,0,P106*(1-VLOOKUP($A107,[1]Hugst!$R$5:$W$9,MATCH(ROUNDUP((Q$1)/10,0)*10,[1]Hugst!$R$4:$W$4,0))))</f>
        <v>1275.9782281545843</v>
      </c>
      <c r="R107" s="168">
        <f ca="1">IF($C107-R$1&lt;År1,0,Q106*(1-VLOOKUP($A107,[1]Hugst!$R$5:$W$9,MATCH(ROUNDUP((R$1)/10,0)*10,[1]Hugst!$R$4:$W$4,0))))</f>
        <v>1275.4566179860806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(IF(B108="Vestdanmark",Skovbrug!$C$22-(Skovbrug!$C$22)*(1-Skovbrug!$C$9)^(C108-Skovbrug!$B$12),Skovbrug!$F$22-(Skovbrug!$F$22)*(1-Skovbrug!$C$9)^(C108-Skovbrug!$B$12)))*VLOOKUP(A108,Skovbrug!$A$13:$D$17,IF('Skovbrug-alder'!C108&lt;=År2,3,4),FALSE)
-IF(C108&gt;2020,SUM(INDEX($C$1:$D$311,MATCH(1,(2020=$C$1:$C$311)*(B108=$B$1:$B$311)*(A108=$A$1:$A$311),0),2):D107),0)</f>
        <v>268.20822684396762</v>
      </c>
      <c r="E108" s="168">
        <f t="shared" ca="1" si="2"/>
        <v>7.7872563684450142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823.26957652752276</v>
      </c>
      <c r="G108" s="168">
        <f ca="1">IF($C108-G$1&lt;År1,0,F107*(1-VLOOKUP($A108,[1]Hugst!$R$5:$W$9,MATCH(ROUNDUP((G$1)/10,0)*10,[1]Hugst!$R$4:$W$4,0))))</f>
        <v>822.67825229388768</v>
      </c>
      <c r="H108" s="168">
        <f ca="1">IF($C108-H$1&lt;År1,0,G107*(1-VLOOKUP($A108,[1]Hugst!$R$5:$W$9,MATCH(ROUNDUP((H$1)/10,0)*10,[1]Hugst!$R$4:$W$4,0))))</f>
        <v>822.08857343031582</v>
      </c>
      <c r="I108" s="168">
        <f ca="1">IF($C108-I$1&lt;År1,0,H107*(1-VLOOKUP($A108,[1]Hugst!$R$5:$W$9,MATCH(ROUNDUP((I$1)/10,0)*10,[1]Hugst!$R$4:$W$4,0))))</f>
        <v>1269.2702679707982</v>
      </c>
      <c r="J108" s="168">
        <f ca="1">IF($C108-J$1&lt;År1,0,I107*(1-VLOOKUP($A108,[1]Hugst!$R$5:$W$9,MATCH(ROUNDUP((J$1)/10,0)*10,[1]Hugst!$R$4:$W$4,0))))</f>
        <v>1268.6839258999375</v>
      </c>
      <c r="K108" s="168">
        <f ca="1">IF($C108-K$1&lt;År1,0,J107*(1-VLOOKUP($A108,[1]Hugst!$R$5:$W$9,MATCH(ROUNDUP((K$1)/10,0)*10,[1]Hugst!$R$4:$W$4,0))))</f>
        <v>1270.0590018792077</v>
      </c>
      <c r="L108" s="168">
        <f ca="1">IF($C108-L$1&lt;År1,0,K107*(1-VLOOKUP($A108,[1]Hugst!$R$5:$W$9,MATCH(ROUNDUP((L$1)/10,0)*10,[1]Hugst!$R$4:$W$4,0))))</f>
        <v>1271.4409877880066</v>
      </c>
      <c r="M108" s="168">
        <f ca="1">IF($C108-M$1&lt;År1,0,L107*(1-VLOOKUP($A108,[1]Hugst!$R$5:$W$9,MATCH(ROUNDUP((M$1)/10,0)*10,[1]Hugst!$R$4:$W$4,0))))</f>
        <v>1272.8299183496242</v>
      </c>
      <c r="N108" s="168">
        <f ca="1">IF($C108-N$1&lt;År1,0,M107*(1-VLOOKUP($A108,[1]Hugst!$R$5:$W$9,MATCH(ROUNDUP((N$1)/10,0)*10,[1]Hugst!$R$4:$W$4,0))))</f>
        <v>1274.2258284617874</v>
      </c>
      <c r="O108" s="168">
        <f ca="1">IF($C108-O$1&lt;År1,0,N107*(1-VLOOKUP($A108,[1]Hugst!$R$5:$W$9,MATCH(ROUNDUP((O$1)/10,0)*10,[1]Hugst!$R$4:$W$4,0))))</f>
        <v>1275.6287531976336</v>
      </c>
      <c r="P108" s="168">
        <f ca="1">IF($C108-P$1&lt;År1,0,O107*(1-VLOOKUP($A108,[1]Hugst!$R$5:$W$9,MATCH(ROUNDUP((P$1)/10,0)*10,[1]Hugst!$R$4:$W$4,0))))</f>
        <v>1275.0907026285265</v>
      </c>
      <c r="Q108" s="168">
        <f ca="1">IF($C108-Q$1&lt;År1,0,P107*(1-VLOOKUP($A108,[1]Hugst!$R$5:$W$9,MATCH(ROUNDUP((Q$1)/10,0)*10,[1]Hugst!$R$4:$W$4,0))))</f>
        <v>1274.5583889865497</v>
      </c>
      <c r="R108" s="168">
        <f ca="1">IF($C108-R$1&lt;År1,0,Q107*(1-VLOOKUP($A108,[1]Hugst!$R$5:$W$9,MATCH(ROUNDUP((R$1)/10,0)*10,[1]Hugst!$R$4:$W$4,0))))</f>
        <v>1274.0318206879078</v>
      </c>
      <c r="S108" s="168">
        <f ca="1">IF($C108-S$1&lt;År1,0,R107*(1-VLOOKUP($A108,[1]Hugst!$R$5:$W$9,MATCH(ROUNDUP((S$1)/10,0)*10,[1]Hugst!$R$4:$W$4,0))))</f>
        <v>1273.5110061959322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(IF(B109="Vestdanmark",Skovbrug!$C$22-(Skovbrug!$C$22)*(1-Skovbrug!$C$9)^(C109-Skovbrug!$B$12),Skovbrug!$F$22-(Skovbrug!$F$22)*(1-Skovbrug!$C$9)^(C109-Skovbrug!$B$12)))*VLOOKUP(A109,Skovbrug!$A$13:$D$17,IF('Skovbrug-alder'!C109&lt;=År2,3,4),FALSE)
-IF(C109&gt;2020,SUM(INDEX($C$1:$D$311,MATCH(1,(2020=$C$1:$C$311)*(B109=$B$1:$B$311)*(A109=$A$1:$A$311),0),2):D108),0)</f>
        <v>266.86718570974699</v>
      </c>
      <c r="E109" s="168">
        <f t="shared" ca="1" si="2"/>
        <v>9.7212518720807566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823.86253089693787</v>
      </c>
      <c r="G109" s="168">
        <f ca="1">IF($C109-G$1&lt;År1,0,F108*(1-VLOOKUP($A109,[1]Hugst!$R$5:$W$9,MATCH(ROUNDUP((G$1)/10,0)*10,[1]Hugst!$R$4:$W$4,0))))</f>
        <v>823.26957652752276</v>
      </c>
      <c r="H109" s="168">
        <f ca="1">IF($C109-H$1&lt;År1,0,G108*(1-VLOOKUP($A109,[1]Hugst!$R$5:$W$9,MATCH(ROUNDUP((H$1)/10,0)*10,[1]Hugst!$R$4:$W$4,0))))</f>
        <v>822.67825229388768</v>
      </c>
      <c r="I109" s="168">
        <f ca="1">IF($C109-I$1&lt;År1,0,H108*(1-VLOOKUP($A109,[1]Hugst!$R$5:$W$9,MATCH(ROUNDUP((I$1)/10,0)*10,[1]Hugst!$R$4:$W$4,0))))</f>
        <v>822.08857343031582</v>
      </c>
      <c r="J109" s="168">
        <f ca="1">IF($C109-J$1&lt;År1,0,I108*(1-VLOOKUP($A109,[1]Hugst!$R$5:$W$9,MATCH(ROUNDUP((J$1)/10,0)*10,[1]Hugst!$R$4:$W$4,0))))</f>
        <v>1269.2702679707982</v>
      </c>
      <c r="K109" s="168">
        <f ca="1">IF($C109-K$1&lt;År1,0,J108*(1-VLOOKUP($A109,[1]Hugst!$R$5:$W$9,MATCH(ROUNDUP((K$1)/10,0)*10,[1]Hugst!$R$4:$W$4,0))))</f>
        <v>1268.6839258999375</v>
      </c>
      <c r="L109" s="168">
        <f ca="1">IF($C109-L$1&lt;År1,0,K108*(1-VLOOKUP($A109,[1]Hugst!$R$5:$W$9,MATCH(ROUNDUP((L$1)/10,0)*10,[1]Hugst!$R$4:$W$4,0))))</f>
        <v>1270.0590018792077</v>
      </c>
      <c r="M109" s="168">
        <f ca="1">IF($C109-M$1&lt;År1,0,L108*(1-VLOOKUP($A109,[1]Hugst!$R$5:$W$9,MATCH(ROUNDUP((M$1)/10,0)*10,[1]Hugst!$R$4:$W$4,0))))</f>
        <v>1271.4409877880066</v>
      </c>
      <c r="N109" s="168">
        <f ca="1">IF($C109-N$1&lt;År1,0,M108*(1-VLOOKUP($A109,[1]Hugst!$R$5:$W$9,MATCH(ROUNDUP((N$1)/10,0)*10,[1]Hugst!$R$4:$W$4,0))))</f>
        <v>1272.8299183496242</v>
      </c>
      <c r="O109" s="168">
        <f ca="1">IF($C109-O$1&lt;År1,0,N108*(1-VLOOKUP($A109,[1]Hugst!$R$5:$W$9,MATCH(ROUNDUP((O$1)/10,0)*10,[1]Hugst!$R$4:$W$4,0))))</f>
        <v>1274.2258284617874</v>
      </c>
      <c r="P109" s="168">
        <f ca="1">IF($C109-P$1&lt;År1,0,O108*(1-VLOOKUP($A109,[1]Hugst!$R$5:$W$9,MATCH(ROUNDUP((P$1)/10,0)*10,[1]Hugst!$R$4:$W$4,0))))</f>
        <v>1273.682878828349</v>
      </c>
      <c r="Q109" s="168">
        <f ca="1">IF($C109-Q$1&lt;År1,0,P108*(1-VLOOKUP($A109,[1]Hugst!$R$5:$W$9,MATCH(ROUNDUP((Q$1)/10,0)*10,[1]Hugst!$R$4:$W$4,0))))</f>
        <v>1273.1456490143473</v>
      </c>
      <c r="R109" s="168">
        <f ca="1">IF($C109-R$1&lt;År1,0,Q108*(1-VLOOKUP($A109,[1]Hugst!$R$5:$W$9,MATCH(ROUNDUP((R$1)/10,0)*10,[1]Hugst!$R$4:$W$4,0))))</f>
        <v>1272.6141473762311</v>
      </c>
      <c r="S109" s="168">
        <f ca="1">IF($C109-S$1&lt;År1,0,R108*(1-VLOOKUP($A109,[1]Hugst!$R$5:$W$9,MATCH(ROUNDUP((S$1)/10,0)*10,[1]Hugst!$R$4:$W$4,0))))</f>
        <v>1272.0883823173669</v>
      </c>
      <c r="T109" s="168">
        <f ca="1">IF($C109-T$1&lt;År1,0,S108*(1-VLOOKUP($A109,[1]Hugst!$R$5:$W$9,MATCH(ROUNDUP((T$1)/10,0)*10,[1]Hugst!$R$4:$W$4,0))))</f>
        <v>1271.5683622881756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(IF(B110="Vestdanmark",Skovbrug!$C$22-(Skovbrug!$C$22)*(1-Skovbrug!$C$9)^(C110-Skovbrug!$B$12),Skovbrug!$F$22-(Skovbrug!$F$22)*(1-Skovbrug!$C$9)^(C110-Skovbrug!$B$12)))*VLOOKUP(A110,Skovbrug!$A$13:$D$17,IF('Skovbrug-alder'!C110&lt;=År2,3,4),FALSE)
-IF(C110&gt;2020,SUM(INDEX($C$1:$D$311,MATCH(1,(2020=$C$1:$C$311)*(B110=$B$1:$B$311)*(A110=$A$1:$A$311),0),2):D109),0)</f>
        <v>265.53284978120791</v>
      </c>
      <c r="E110" s="168">
        <f t="shared" ca="1" si="2"/>
        <v>11.650157158401271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824.45710025471931</v>
      </c>
      <c r="G110" s="168">
        <f ca="1">IF($C110-G$1&lt;År1,0,F109*(1-VLOOKUP($A110,[1]Hugst!$R$5:$W$9,MATCH(ROUNDUP((G$1)/10,0)*10,[1]Hugst!$R$4:$W$4,0))))</f>
        <v>823.86253089693787</v>
      </c>
      <c r="H110" s="168">
        <f ca="1">IF($C110-H$1&lt;År1,0,G109*(1-VLOOKUP($A110,[1]Hugst!$R$5:$W$9,MATCH(ROUNDUP((H$1)/10,0)*10,[1]Hugst!$R$4:$W$4,0))))</f>
        <v>823.26957652752276</v>
      </c>
      <c r="I110" s="168">
        <f ca="1">IF($C110-I$1&lt;År1,0,H109*(1-VLOOKUP($A110,[1]Hugst!$R$5:$W$9,MATCH(ROUNDUP((I$1)/10,0)*10,[1]Hugst!$R$4:$W$4,0))))</f>
        <v>822.67825229388768</v>
      </c>
      <c r="J110" s="168">
        <f ca="1">IF($C110-J$1&lt;År1,0,I109*(1-VLOOKUP($A110,[1]Hugst!$R$5:$W$9,MATCH(ROUNDUP((J$1)/10,0)*10,[1]Hugst!$R$4:$W$4,0))))</f>
        <v>822.08857343031582</v>
      </c>
      <c r="K110" s="168">
        <f ca="1">IF($C110-K$1&lt;År1,0,J109*(1-VLOOKUP($A110,[1]Hugst!$R$5:$W$9,MATCH(ROUNDUP((K$1)/10,0)*10,[1]Hugst!$R$4:$W$4,0))))</f>
        <v>1269.2702679707982</v>
      </c>
      <c r="L110" s="168">
        <f ca="1">IF($C110-L$1&lt;År1,0,K109*(1-VLOOKUP($A110,[1]Hugst!$R$5:$W$9,MATCH(ROUNDUP((L$1)/10,0)*10,[1]Hugst!$R$4:$W$4,0))))</f>
        <v>1268.6839258999375</v>
      </c>
      <c r="M110" s="168">
        <f ca="1">IF($C110-M$1&lt;År1,0,L109*(1-VLOOKUP($A110,[1]Hugst!$R$5:$W$9,MATCH(ROUNDUP((M$1)/10,0)*10,[1]Hugst!$R$4:$W$4,0))))</f>
        <v>1270.0590018792077</v>
      </c>
      <c r="N110" s="168">
        <f ca="1">IF($C110-N$1&lt;År1,0,M109*(1-VLOOKUP($A110,[1]Hugst!$R$5:$W$9,MATCH(ROUNDUP((N$1)/10,0)*10,[1]Hugst!$R$4:$W$4,0))))</f>
        <v>1271.4409877880066</v>
      </c>
      <c r="O110" s="168">
        <f ca="1">IF($C110-O$1&lt;År1,0,N109*(1-VLOOKUP($A110,[1]Hugst!$R$5:$W$9,MATCH(ROUNDUP((O$1)/10,0)*10,[1]Hugst!$R$4:$W$4,0))))</f>
        <v>1272.8299183496242</v>
      </c>
      <c r="P110" s="168">
        <f ca="1">IF($C110-P$1&lt;År1,0,O109*(1-VLOOKUP($A110,[1]Hugst!$R$5:$W$9,MATCH(ROUNDUP((P$1)/10,0)*10,[1]Hugst!$R$4:$W$4,0))))</f>
        <v>1272.2820941471846</v>
      </c>
      <c r="Q110" s="168">
        <f ca="1">IF($C110-Q$1&lt;År1,0,P109*(1-VLOOKUP($A110,[1]Hugst!$R$5:$W$9,MATCH(ROUNDUP((Q$1)/10,0)*10,[1]Hugst!$R$4:$W$4,0))))</f>
        <v>1271.7399727420006</v>
      </c>
      <c r="R110" s="168">
        <f ca="1">IF($C110-R$1&lt;År1,0,Q109*(1-VLOOKUP($A110,[1]Hugst!$R$5:$W$9,MATCH(ROUNDUP((R$1)/10,0)*10,[1]Hugst!$R$4:$W$4,0))))</f>
        <v>1271.203562431105</v>
      </c>
      <c r="S110" s="168">
        <f ca="1">IF($C110-S$1&lt;År1,0,R109*(1-VLOOKUP($A110,[1]Hugst!$R$5:$W$9,MATCH(ROUNDUP((S$1)/10,0)*10,[1]Hugst!$R$4:$W$4,0))))</f>
        <v>1270.6728715581996</v>
      </c>
      <c r="T110" s="168">
        <f ca="1">IF($C110-T$1&lt;År1,0,S109*(1-VLOOKUP($A110,[1]Hugst!$R$5:$W$9,MATCH(ROUNDUP((T$1)/10,0)*10,[1]Hugst!$R$4:$W$4,0))))</f>
        <v>1270.1479085138319</v>
      </c>
      <c r="U110" s="168">
        <f ca="1">IF($C110-U$1&lt;År1,0,T109*(1-VLOOKUP($A110,[1]Hugst!$R$5:$W$9,MATCH(ROUNDUP((U$1)/10,0)*10,[1]Hugst!$R$4:$W$4,0))))</f>
        <v>1269.6286817355326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(IF(B111="Vestdanmark",Skovbrug!$C$22-(Skovbrug!$C$22)*(1-Skovbrug!$C$9)^(C111-Skovbrug!$B$12),Skovbrug!$F$22-(Skovbrug!$F$22)*(1-Skovbrug!$C$9)^(C111-Skovbrug!$B$12)))*VLOOKUP(A111,Skovbrug!$A$13:$D$17,IF('Skovbrug-alder'!C111&lt;=År2,3,4),FALSE)
-IF(C111&gt;2020,SUM(INDEX($C$1:$D$311,MATCH(1,(2020=$C$1:$C$311)*(B111=$B$1:$B$311)*(A111=$A$1:$A$311),0),2):D110),0)</f>
        <v>264.20518553228976</v>
      </c>
      <c r="E111" s="168">
        <f t="shared" ca="1" si="2"/>
        <v>13.573990692424559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825.05326953982444</v>
      </c>
      <c r="G111" s="168">
        <f ca="1">IF($C111-G$1&lt;År1,0,F110*(1-VLOOKUP($A111,[1]Hugst!$R$5:$W$9,MATCH(ROUNDUP((G$1)/10,0)*10,[1]Hugst!$R$4:$W$4,0))))</f>
        <v>824.45710025471931</v>
      </c>
      <c r="H111" s="168">
        <f ca="1">IF($C111-H$1&lt;År1,0,G110*(1-VLOOKUP($A111,[1]Hugst!$R$5:$W$9,MATCH(ROUNDUP((H$1)/10,0)*10,[1]Hugst!$R$4:$W$4,0))))</f>
        <v>823.86253089693787</v>
      </c>
      <c r="I111" s="168">
        <f ca="1">IF($C111-I$1&lt;År1,0,H110*(1-VLOOKUP($A111,[1]Hugst!$R$5:$W$9,MATCH(ROUNDUP((I$1)/10,0)*10,[1]Hugst!$R$4:$W$4,0))))</f>
        <v>823.26957652752276</v>
      </c>
      <c r="J111" s="168">
        <f ca="1">IF($C111-J$1&lt;År1,0,I110*(1-VLOOKUP($A111,[1]Hugst!$R$5:$W$9,MATCH(ROUNDUP((J$1)/10,0)*10,[1]Hugst!$R$4:$W$4,0))))</f>
        <v>822.67825229388768</v>
      </c>
      <c r="K111" s="168">
        <f ca="1">IF($C111-K$1&lt;År1,0,J110*(1-VLOOKUP($A111,[1]Hugst!$R$5:$W$9,MATCH(ROUNDUP((K$1)/10,0)*10,[1]Hugst!$R$4:$W$4,0))))</f>
        <v>822.08857343031582</v>
      </c>
      <c r="L111" s="168">
        <f ca="1">IF($C111-L$1&lt;År1,0,K110*(1-VLOOKUP($A111,[1]Hugst!$R$5:$W$9,MATCH(ROUNDUP((L$1)/10,0)*10,[1]Hugst!$R$4:$W$4,0))))</f>
        <v>1269.2702679707982</v>
      </c>
      <c r="M111" s="168">
        <f ca="1">IF($C111-M$1&lt;År1,0,L110*(1-VLOOKUP($A111,[1]Hugst!$R$5:$W$9,MATCH(ROUNDUP((M$1)/10,0)*10,[1]Hugst!$R$4:$W$4,0))))</f>
        <v>1268.6839258999375</v>
      </c>
      <c r="N111" s="168">
        <f ca="1">IF($C111-N$1&lt;År1,0,M110*(1-VLOOKUP($A111,[1]Hugst!$R$5:$W$9,MATCH(ROUNDUP((N$1)/10,0)*10,[1]Hugst!$R$4:$W$4,0))))</f>
        <v>1270.0590018792077</v>
      </c>
      <c r="O111" s="168">
        <f ca="1">IF($C111-O$1&lt;År1,0,N110*(1-VLOOKUP($A111,[1]Hugst!$R$5:$W$9,MATCH(ROUNDUP((O$1)/10,0)*10,[1]Hugst!$R$4:$W$4,0))))</f>
        <v>1271.4409877880066</v>
      </c>
      <c r="P111" s="168">
        <f ca="1">IF($C111-P$1&lt;År1,0,O110*(1-VLOOKUP($A111,[1]Hugst!$R$5:$W$9,MATCH(ROUNDUP((P$1)/10,0)*10,[1]Hugst!$R$4:$W$4,0))))</f>
        <v>1270.8883133894299</v>
      </c>
      <c r="Q111" s="168">
        <f ca="1">IF($C111-Q$1&lt;År1,0,P110*(1-VLOOKUP($A111,[1]Hugst!$R$5:$W$9,MATCH(ROUNDUP((Q$1)/10,0)*10,[1]Hugst!$R$4:$W$4,0))))</f>
        <v>1270.3413248510278</v>
      </c>
      <c r="R111" s="168">
        <f ca="1">IF($C111-R$1&lt;År1,0,Q110*(1-VLOOKUP($A111,[1]Hugst!$R$5:$W$9,MATCH(ROUNDUP((R$1)/10,0)*10,[1]Hugst!$R$4:$W$4,0))))</f>
        <v>1269.8000304106993</v>
      </c>
      <c r="S111" s="168">
        <f ca="1">IF($C111-S$1&lt;År1,0,R110*(1-VLOOKUP($A111,[1]Hugst!$R$5:$W$9,MATCH(ROUNDUP((S$1)/10,0)*10,[1]Hugst!$R$4:$W$4,0))))</f>
        <v>1269.2644383528202</v>
      </c>
      <c r="T111" s="168">
        <f ca="1">IF($C111-T$1&lt;År1,0,S110*(1-VLOOKUP($A111,[1]Hugst!$R$5:$W$9,MATCH(ROUNDUP((T$1)/10,0)*10,[1]Hugst!$R$4:$W$4,0))))</f>
        <v>1268.7345570083651</v>
      </c>
      <c r="U111" s="168">
        <f ca="1">IF($C111-U$1&lt;År1,0,T110*(1-VLOOKUP($A111,[1]Hugst!$R$5:$W$9,MATCH(ROUNDUP((U$1)/10,0)*10,[1]Hugst!$R$4:$W$4,0))))</f>
        <v>1268.210394755082</v>
      </c>
      <c r="V111" s="168">
        <f ca="1">IF($C111-V$1&lt;År1,0,U110*(1-VLOOKUP($A111,[1]Hugst!$R$5:$W$9,MATCH(ROUNDUP((V$1)/10,0)*10,[1]Hugst!$R$4:$W$4,0))))</f>
        <v>1267.6919600176309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(IF(B112="Vestdanmark",Skovbrug!$C$22-(Skovbrug!$C$22)*(1-Skovbrug!$C$9)^(C112-Skovbrug!$B$12),Skovbrug!$F$22-(Skovbrug!$F$22)*(1-Skovbrug!$C$9)^(C112-Skovbrug!$B$12)))*VLOOKUP(A112,Skovbrug!$A$13:$D$17,IF('Skovbrug-alder'!C112&lt;=År2,3,4),FALSE)
-IF(C112&gt;2020,SUM(INDEX($C$1:$D$311,MATCH(1,(2020=$C$1:$C$311)*(B112=$B$1:$B$311)*(A112=$A$1:$A$311),0),2):D111),0)</f>
        <v>262.88415960463499</v>
      </c>
      <c r="E112" s="168">
        <f t="shared" ca="1" si="2"/>
        <v>15.492770857479627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825.65102377722474</v>
      </c>
      <c r="G112" s="168">
        <f ca="1">IF($C112-G$1&lt;År1,0,F111*(1-VLOOKUP($A112,[1]Hugst!$R$5:$W$9,MATCH(ROUNDUP((G$1)/10,0)*10,[1]Hugst!$R$4:$W$4,0))))</f>
        <v>825.05326953982444</v>
      </c>
      <c r="H112" s="168">
        <f ca="1">IF($C112-H$1&lt;År1,0,G111*(1-VLOOKUP($A112,[1]Hugst!$R$5:$W$9,MATCH(ROUNDUP((H$1)/10,0)*10,[1]Hugst!$R$4:$W$4,0))))</f>
        <v>824.45710025471931</v>
      </c>
      <c r="I112" s="168">
        <f ca="1">IF($C112-I$1&lt;År1,0,H111*(1-VLOOKUP($A112,[1]Hugst!$R$5:$W$9,MATCH(ROUNDUP((I$1)/10,0)*10,[1]Hugst!$R$4:$W$4,0))))</f>
        <v>823.86253089693787</v>
      </c>
      <c r="J112" s="168">
        <f ca="1">IF($C112-J$1&lt;År1,0,I111*(1-VLOOKUP($A112,[1]Hugst!$R$5:$W$9,MATCH(ROUNDUP((J$1)/10,0)*10,[1]Hugst!$R$4:$W$4,0))))</f>
        <v>823.26957652752276</v>
      </c>
      <c r="K112" s="168">
        <f ca="1">IF($C112-K$1&lt;År1,0,J111*(1-VLOOKUP($A112,[1]Hugst!$R$5:$W$9,MATCH(ROUNDUP((K$1)/10,0)*10,[1]Hugst!$R$4:$W$4,0))))</f>
        <v>822.67825229388768</v>
      </c>
      <c r="L112" s="168">
        <f ca="1">IF($C112-L$1&lt;År1,0,K111*(1-VLOOKUP($A112,[1]Hugst!$R$5:$W$9,MATCH(ROUNDUP((L$1)/10,0)*10,[1]Hugst!$R$4:$W$4,0))))</f>
        <v>822.08857343031582</v>
      </c>
      <c r="M112" s="168">
        <f ca="1">IF($C112-M$1&lt;År1,0,L111*(1-VLOOKUP($A112,[1]Hugst!$R$5:$W$9,MATCH(ROUNDUP((M$1)/10,0)*10,[1]Hugst!$R$4:$W$4,0))))</f>
        <v>1269.2702679707982</v>
      </c>
      <c r="N112" s="168">
        <f ca="1">IF($C112-N$1&lt;År1,0,M111*(1-VLOOKUP($A112,[1]Hugst!$R$5:$W$9,MATCH(ROUNDUP((N$1)/10,0)*10,[1]Hugst!$R$4:$W$4,0))))</f>
        <v>1268.6839258999375</v>
      </c>
      <c r="O112" s="168">
        <f ca="1">IF($C112-O$1&lt;År1,0,N111*(1-VLOOKUP($A112,[1]Hugst!$R$5:$W$9,MATCH(ROUNDUP((O$1)/10,0)*10,[1]Hugst!$R$4:$W$4,0))))</f>
        <v>1270.0590018792077</v>
      </c>
      <c r="P112" s="168">
        <f ca="1">IF($C112-P$1&lt;År1,0,O111*(1-VLOOKUP($A112,[1]Hugst!$R$5:$W$9,MATCH(ROUNDUP((P$1)/10,0)*10,[1]Hugst!$R$4:$W$4,0))))</f>
        <v>1269.5015015354486</v>
      </c>
      <c r="Q112" s="168">
        <f ca="1">IF($C112-Q$1&lt;År1,0,P111*(1-VLOOKUP($A112,[1]Hugst!$R$5:$W$9,MATCH(ROUNDUP((Q$1)/10,0)*10,[1]Hugst!$R$4:$W$4,0))))</f>
        <v>1268.9496701995138</v>
      </c>
      <c r="R112" s="168">
        <f ca="1">IF($C112-R$1&lt;År1,0,Q111*(1-VLOOKUP($A112,[1]Hugst!$R$5:$W$9,MATCH(ROUNDUP((R$1)/10,0)*10,[1]Hugst!$R$4:$W$4,0))))</f>
        <v>1268.4035160504075</v>
      </c>
      <c r="S112" s="168">
        <f ca="1">IF($C112-S$1&lt;År1,0,R111*(1-VLOOKUP($A112,[1]Hugst!$R$5:$W$9,MATCH(ROUNDUP((S$1)/10,0)*10,[1]Hugst!$R$4:$W$4,0))))</f>
        <v>1267.8630473134626</v>
      </c>
      <c r="T112" s="168">
        <f ca="1">IF($C112-T$1&lt;År1,0,S111*(1-VLOOKUP($A112,[1]Hugst!$R$5:$W$9,MATCH(ROUNDUP((T$1)/10,0)*10,[1]Hugst!$R$4:$W$4,0))))</f>
        <v>1267.3282722604176</v>
      </c>
      <c r="U112" s="168">
        <f ca="1">IF($C112-U$1&lt;År1,0,T111*(1-VLOOKUP($A112,[1]Hugst!$R$5:$W$9,MATCH(ROUNDUP((U$1)/10,0)*10,[1]Hugst!$R$4:$W$4,0))))</f>
        <v>1266.7991992095388</v>
      </c>
      <c r="V112" s="168">
        <f ca="1">IF($C112-V$1&lt;År1,0,U111*(1-VLOOKUP($A112,[1]Hugst!$R$5:$W$9,MATCH(ROUNDUP((V$1)/10,0)*10,[1]Hugst!$R$4:$W$4,0))))</f>
        <v>1266.2758365257946</v>
      </c>
      <c r="W112" s="168">
        <f ca="1">IF($C112-W$1&lt;År1,0,V111*(1-VLOOKUP($A112,[1]Hugst!$R$5:$W$9,MATCH(ROUNDUP((W$1)/10,0)*10,[1]Hugst!$R$4:$W$4,0))))</f>
        <v>1265.7581926209939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(IF(B113="Vestdanmark",Skovbrug!$C$22-(Skovbrug!$C$22)*(1-Skovbrug!$C$9)^(C113-Skovbrug!$B$12),Skovbrug!$F$22-(Skovbrug!$F$22)*(1-Skovbrug!$C$9)^(C113-Skovbrug!$B$12)))*VLOOKUP(A113,Skovbrug!$A$13:$D$17,IF('Skovbrug-alder'!C113&lt;=År2,3,4),FALSE)
-IF(C113&gt;2020,SUM(INDEX($C$1:$D$311,MATCH(1,(2020=$C$1:$C$311)*(B113=$B$1:$B$311)*(A113=$A$1:$A$311),0),2):D112),0)</f>
        <v>261.56973880661553</v>
      </c>
      <c r="E113" s="168">
        <f t="shared" ca="1" si="2"/>
        <v>17.406515955655777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826.25034807738143</v>
      </c>
      <c r="G113" s="168">
        <f ca="1">IF($C113-G$1&lt;År1,0,F112*(1-VLOOKUP($A113,[1]Hugst!$R$5:$W$9,MATCH(ROUNDUP((G$1)/10,0)*10,[1]Hugst!$R$4:$W$4,0))))</f>
        <v>825.65102377722474</v>
      </c>
      <c r="H113" s="168">
        <f ca="1">IF($C113-H$1&lt;År1,0,G112*(1-VLOOKUP($A113,[1]Hugst!$R$5:$W$9,MATCH(ROUNDUP((H$1)/10,0)*10,[1]Hugst!$R$4:$W$4,0))))</f>
        <v>825.05326953982444</v>
      </c>
      <c r="I113" s="168">
        <f ca="1">IF($C113-I$1&lt;År1,0,H112*(1-VLOOKUP($A113,[1]Hugst!$R$5:$W$9,MATCH(ROUNDUP((I$1)/10,0)*10,[1]Hugst!$R$4:$W$4,0))))</f>
        <v>824.45710025471931</v>
      </c>
      <c r="J113" s="168">
        <f ca="1">IF($C113-J$1&lt;År1,0,I112*(1-VLOOKUP($A113,[1]Hugst!$R$5:$W$9,MATCH(ROUNDUP((J$1)/10,0)*10,[1]Hugst!$R$4:$W$4,0))))</f>
        <v>823.86253089693787</v>
      </c>
      <c r="K113" s="168">
        <f ca="1">IF($C113-K$1&lt;År1,0,J112*(1-VLOOKUP($A113,[1]Hugst!$R$5:$W$9,MATCH(ROUNDUP((K$1)/10,0)*10,[1]Hugst!$R$4:$W$4,0))))</f>
        <v>823.26957652752276</v>
      </c>
      <c r="L113" s="168">
        <f ca="1">IF($C113-L$1&lt;År1,0,K112*(1-VLOOKUP($A113,[1]Hugst!$R$5:$W$9,MATCH(ROUNDUP((L$1)/10,0)*10,[1]Hugst!$R$4:$W$4,0))))</f>
        <v>822.67825229388768</v>
      </c>
      <c r="M113" s="168">
        <f ca="1">IF($C113-M$1&lt;År1,0,L112*(1-VLOOKUP($A113,[1]Hugst!$R$5:$W$9,MATCH(ROUNDUP((M$1)/10,0)*10,[1]Hugst!$R$4:$W$4,0))))</f>
        <v>822.08857343031582</v>
      </c>
      <c r="N113" s="168">
        <f ca="1">IF($C113-N$1&lt;År1,0,M112*(1-VLOOKUP($A113,[1]Hugst!$R$5:$W$9,MATCH(ROUNDUP((N$1)/10,0)*10,[1]Hugst!$R$4:$W$4,0))))</f>
        <v>1269.2702679707982</v>
      </c>
      <c r="O113" s="168">
        <f ca="1">IF($C113-O$1&lt;År1,0,N112*(1-VLOOKUP($A113,[1]Hugst!$R$5:$W$9,MATCH(ROUNDUP((O$1)/10,0)*10,[1]Hugst!$R$4:$W$4,0))))</f>
        <v>1268.6839258999375</v>
      </c>
      <c r="P113" s="168">
        <f ca="1">IF($C113-P$1&lt;År1,0,O112*(1-VLOOKUP($A113,[1]Hugst!$R$5:$W$9,MATCH(ROUNDUP((P$1)/10,0)*10,[1]Hugst!$R$4:$W$4,0))))</f>
        <v>1268.121623740748</v>
      </c>
      <c r="Q113" s="168">
        <f ca="1">IF($C113-Q$1&lt;År1,0,P112*(1-VLOOKUP($A113,[1]Hugst!$R$5:$W$9,MATCH(ROUNDUP((Q$1)/10,0)*10,[1]Hugst!$R$4:$W$4,0))))</f>
        <v>1267.5649738212419</v>
      </c>
      <c r="R113" s="168">
        <f ca="1">IF($C113-R$1&lt;År1,0,Q112*(1-VLOOKUP($A113,[1]Hugst!$R$5:$W$9,MATCH(ROUNDUP((R$1)/10,0)*10,[1]Hugst!$R$4:$W$4,0))))</f>
        <v>1267.0139842619212</v>
      </c>
      <c r="S113" s="168">
        <f ca="1">IF($C113-S$1&lt;År1,0,R112*(1-VLOOKUP($A113,[1]Hugst!$R$5:$W$9,MATCH(ROUNDUP((S$1)/10,0)*10,[1]Hugst!$R$4:$W$4,0))))</f>
        <v>1266.4686632293135</v>
      </c>
      <c r="T113" s="168">
        <f ca="1">IF($C113-T$1&lt;År1,0,S112*(1-VLOOKUP($A113,[1]Hugst!$R$5:$W$9,MATCH(ROUNDUP((T$1)/10,0)*10,[1]Hugst!$R$4:$W$4,0))))</f>
        <v>1265.9290189362048</v>
      </c>
      <c r="U113" s="168">
        <f ca="1">IF($C113-U$1&lt;År1,0,T112*(1-VLOOKUP($A113,[1]Hugst!$R$5:$W$9,MATCH(ROUNDUP((U$1)/10,0)*10,[1]Hugst!$R$4:$W$4,0))))</f>
        <v>1265.3950596417153</v>
      </c>
      <c r="V113" s="168">
        <f ca="1">IF($C113-V$1&lt;År1,0,U112*(1-VLOOKUP($A113,[1]Hugst!$R$5:$W$9,MATCH(ROUNDUP((V$1)/10,0)*10,[1]Hugst!$R$4:$W$4,0))))</f>
        <v>1264.8667936514225</v>
      </c>
      <c r="W113" s="168">
        <f ca="1">IF($C113-W$1&lt;År1,0,V112*(1-VLOOKUP($A113,[1]Hugst!$R$5:$W$9,MATCH(ROUNDUP((W$1)/10,0)*10,[1]Hugst!$R$4:$W$4,0))))</f>
        <v>1264.3442293175349</v>
      </c>
      <c r="X113" s="168">
        <f ca="1">IF($C113-X$1&lt;År1,0,W112*(1-VLOOKUP($A113,[1]Hugst!$R$5:$W$9,MATCH(ROUNDUP((X$1)/10,0)*10,[1]Hugst!$R$4:$W$4,0))))</f>
        <v>1263.8273750390297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(IF(B114="Vestdanmark",Skovbrug!$C$22-(Skovbrug!$C$22)*(1-Skovbrug!$C$9)^(C114-Skovbrug!$B$12),Skovbrug!$F$22-(Skovbrug!$F$22)*(1-Skovbrug!$C$9)^(C114-Skovbrug!$B$12)))*VLOOKUP(A114,Skovbrug!$A$13:$D$17,IF('Skovbrug-alder'!C114&lt;=År2,3,4),FALSE)
-IF(C114&gt;2020,SUM(INDEX($C$1:$D$311,MATCH(1,(2020=$C$1:$C$311)*(B114=$B$1:$B$311)*(A114=$A$1:$A$311),0),2):D113),0)</f>
        <v>260.2618901125752</v>
      </c>
      <c r="E114" s="168">
        <f t="shared" ca="1" si="2"/>
        <v>19.315244208115473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826.8512276358008</v>
      </c>
      <c r="G114" s="168">
        <f ca="1">IF($C114-G$1&lt;År1,0,F113*(1-VLOOKUP($A114,[1]Hugst!$R$5:$W$9,MATCH(ROUNDUP((G$1)/10,0)*10,[1]Hugst!$R$4:$W$4,0))))</f>
        <v>826.25034807738143</v>
      </c>
      <c r="H114" s="168">
        <f ca="1">IF($C114-H$1&lt;År1,0,G113*(1-VLOOKUP($A114,[1]Hugst!$R$5:$W$9,MATCH(ROUNDUP((H$1)/10,0)*10,[1]Hugst!$R$4:$W$4,0))))</f>
        <v>825.65102377722474</v>
      </c>
      <c r="I114" s="168">
        <f ca="1">IF($C114-I$1&lt;År1,0,H113*(1-VLOOKUP($A114,[1]Hugst!$R$5:$W$9,MATCH(ROUNDUP((I$1)/10,0)*10,[1]Hugst!$R$4:$W$4,0))))</f>
        <v>825.05326953982444</v>
      </c>
      <c r="J114" s="168">
        <f ca="1">IF($C114-J$1&lt;År1,0,I113*(1-VLOOKUP($A114,[1]Hugst!$R$5:$W$9,MATCH(ROUNDUP((J$1)/10,0)*10,[1]Hugst!$R$4:$W$4,0))))</f>
        <v>824.45710025471931</v>
      </c>
      <c r="K114" s="168">
        <f ca="1">IF($C114-K$1&lt;År1,0,J113*(1-VLOOKUP($A114,[1]Hugst!$R$5:$W$9,MATCH(ROUNDUP((K$1)/10,0)*10,[1]Hugst!$R$4:$W$4,0))))</f>
        <v>823.86253089693787</v>
      </c>
      <c r="L114" s="168">
        <f ca="1">IF($C114-L$1&lt;År1,0,K113*(1-VLOOKUP($A114,[1]Hugst!$R$5:$W$9,MATCH(ROUNDUP((L$1)/10,0)*10,[1]Hugst!$R$4:$W$4,0))))</f>
        <v>823.26957652752276</v>
      </c>
      <c r="M114" s="168">
        <f ca="1">IF($C114-M$1&lt;År1,0,L113*(1-VLOOKUP($A114,[1]Hugst!$R$5:$W$9,MATCH(ROUNDUP((M$1)/10,0)*10,[1]Hugst!$R$4:$W$4,0))))</f>
        <v>822.67825229388768</v>
      </c>
      <c r="N114" s="168">
        <f ca="1">IF($C114-N$1&lt;År1,0,M113*(1-VLOOKUP($A114,[1]Hugst!$R$5:$W$9,MATCH(ROUNDUP((N$1)/10,0)*10,[1]Hugst!$R$4:$W$4,0))))</f>
        <v>822.08857343031582</v>
      </c>
      <c r="O114" s="168">
        <f ca="1">IF($C114-O$1&lt;År1,0,N113*(1-VLOOKUP($A114,[1]Hugst!$R$5:$W$9,MATCH(ROUNDUP((O$1)/10,0)*10,[1]Hugst!$R$4:$W$4,0))))</f>
        <v>1269.2702679707982</v>
      </c>
      <c r="P114" s="168">
        <f ca="1">IF($C114-P$1&lt;År1,0,O113*(1-VLOOKUP($A114,[1]Hugst!$R$5:$W$9,MATCH(ROUNDUP((P$1)/10,0)*10,[1]Hugst!$R$4:$W$4,0))))</f>
        <v>1266.7486453350054</v>
      </c>
      <c r="Q114" s="168">
        <f ca="1">IF($C114-Q$1&lt;År1,0,P113*(1-VLOOKUP($A114,[1]Hugst!$R$5:$W$9,MATCH(ROUNDUP((Q$1)/10,0)*10,[1]Hugst!$R$4:$W$4,0))))</f>
        <v>1266.1872009248723</v>
      </c>
      <c r="R114" s="168">
        <f ca="1">IF($C114-R$1&lt;År1,0,Q113*(1-VLOOKUP($A114,[1]Hugst!$R$5:$W$9,MATCH(ROUNDUP((R$1)/10,0)*10,[1]Hugst!$R$4:$W$4,0))))</f>
        <v>1265.6314001323619</v>
      </c>
      <c r="S114" s="168">
        <f ca="1">IF($C114-S$1&lt;År1,0,R113*(1-VLOOKUP($A114,[1]Hugst!$R$5:$W$9,MATCH(ROUNDUP((S$1)/10,0)*10,[1]Hugst!$R$4:$W$4,0))))</f>
        <v>1265.0812510655894</v>
      </c>
      <c r="T114" s="168">
        <f ca="1">IF($C114-T$1&lt;År1,0,S113*(1-VLOOKUP($A114,[1]Hugst!$R$5:$W$9,MATCH(ROUNDUP((T$1)/10,0)*10,[1]Hugst!$R$4:$W$4,0))))</f>
        <v>1264.5367618786247</v>
      </c>
      <c r="U114" s="168">
        <f ca="1">IF($C114-U$1&lt;År1,0,T113*(1-VLOOKUP($A114,[1]Hugst!$R$5:$W$9,MATCH(ROUNDUP((U$1)/10,0)*10,[1]Hugst!$R$4:$W$4,0))))</f>
        <v>1263.9979407717258</v>
      </c>
      <c r="V114" s="168">
        <f ca="1">IF($C114-V$1&lt;År1,0,U113*(1-VLOOKUP($A114,[1]Hugst!$R$5:$W$9,MATCH(ROUNDUP((V$1)/10,0)*10,[1]Hugst!$R$4:$W$4,0))))</f>
        <v>1263.4647959914143</v>
      </c>
      <c r="W114" s="168">
        <f ca="1">IF($C114-W$1&lt;År1,0,V113*(1-VLOOKUP($A114,[1]Hugst!$R$5:$W$9,MATCH(ROUNDUP((W$1)/10,0)*10,[1]Hugst!$R$4:$W$4,0))))</f>
        <v>1262.9373358305984</v>
      </c>
      <c r="X114" s="168">
        <f ca="1">IF($C114-X$1&lt;År1,0,W113*(1-VLOOKUP($A114,[1]Hugst!$R$5:$W$9,MATCH(ROUNDUP((X$1)/10,0)*10,[1]Hugst!$R$4:$W$4,0))))</f>
        <v>1262.4155686287454</v>
      </c>
      <c r="Y114" s="168">
        <f ca="1">IF($C114-Y$1&lt;År1,0,X113*(1-VLOOKUP($A114,[1]Hugst!$R$5:$W$9,MATCH(ROUNDUP((Y$1)/10,0)*10,[1]Hugst!$R$4:$W$4,0))))</f>
        <v>1261.8995027720209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(IF(B115="Vestdanmark",Skovbrug!$C$22-(Skovbrug!$C$22)*(1-Skovbrug!$C$9)^(C115-Skovbrug!$B$12),Skovbrug!$F$22-(Skovbrug!$F$22)*(1-Skovbrug!$C$9)^(C115-Skovbrug!$B$12)))*VLOOKUP(A115,Skovbrug!$A$13:$D$17,IF('Skovbrug-alder'!C115&lt;=År2,3,4),FALSE)
-IF(C115&gt;2020,SUM(INDEX($C$1:$D$311,MATCH(1,(2020=$C$1:$C$311)*(B115=$B$1:$B$311)*(A115=$A$1:$A$311),0),2):D114),0)</f>
        <v>258.96058066201022</v>
      </c>
      <c r="E115" s="168">
        <f t="shared" ca="1" si="2"/>
        <v>21.489306850871799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827.72398082799214</v>
      </c>
      <c r="G115" s="168">
        <f ca="1">IF($C115-G$1&lt;År1,0,F114*(1-VLOOKUP($A115,[1]Hugst!$R$5:$W$9,MATCH(ROUNDUP((G$1)/10,0)*10,[1]Hugst!$R$4:$W$4,0))))</f>
        <v>826.8512276358008</v>
      </c>
      <c r="H115" s="168">
        <f ca="1">IF($C115-H$1&lt;År1,0,G114*(1-VLOOKUP($A115,[1]Hugst!$R$5:$W$9,MATCH(ROUNDUP((H$1)/10,0)*10,[1]Hugst!$R$4:$W$4,0))))</f>
        <v>826.25034807738143</v>
      </c>
      <c r="I115" s="168">
        <f ca="1">IF($C115-I$1&lt;År1,0,H114*(1-VLOOKUP($A115,[1]Hugst!$R$5:$W$9,MATCH(ROUNDUP((I$1)/10,0)*10,[1]Hugst!$R$4:$W$4,0))))</f>
        <v>825.65102377722474</v>
      </c>
      <c r="J115" s="168">
        <f ca="1">IF($C115-J$1&lt;År1,0,I114*(1-VLOOKUP($A115,[1]Hugst!$R$5:$W$9,MATCH(ROUNDUP((J$1)/10,0)*10,[1]Hugst!$R$4:$W$4,0))))</f>
        <v>825.05326953982444</v>
      </c>
      <c r="K115" s="168">
        <f ca="1">IF($C115-K$1&lt;År1,0,J114*(1-VLOOKUP($A115,[1]Hugst!$R$5:$W$9,MATCH(ROUNDUP((K$1)/10,0)*10,[1]Hugst!$R$4:$W$4,0))))</f>
        <v>824.45710025471931</v>
      </c>
      <c r="L115" s="168">
        <f ca="1">IF($C115-L$1&lt;År1,0,K114*(1-VLOOKUP($A115,[1]Hugst!$R$5:$W$9,MATCH(ROUNDUP((L$1)/10,0)*10,[1]Hugst!$R$4:$W$4,0))))</f>
        <v>823.86253089693787</v>
      </c>
      <c r="M115" s="168">
        <f ca="1">IF($C115-M$1&lt;År1,0,L114*(1-VLOOKUP($A115,[1]Hugst!$R$5:$W$9,MATCH(ROUNDUP((M$1)/10,0)*10,[1]Hugst!$R$4:$W$4,0))))</f>
        <v>823.26957652752276</v>
      </c>
      <c r="N115" s="168">
        <f ca="1">IF($C115-N$1&lt;År1,0,M114*(1-VLOOKUP($A115,[1]Hugst!$R$5:$W$9,MATCH(ROUNDUP((N$1)/10,0)*10,[1]Hugst!$R$4:$W$4,0))))</f>
        <v>822.67825229388768</v>
      </c>
      <c r="O115" s="168">
        <f ca="1">IF($C115-O$1&lt;År1,0,N114*(1-VLOOKUP($A115,[1]Hugst!$R$5:$W$9,MATCH(ROUNDUP((O$1)/10,0)*10,[1]Hugst!$R$4:$W$4,0))))</f>
        <v>822.08857343031582</v>
      </c>
      <c r="P115" s="168">
        <f ca="1">IF($C115-P$1&lt;År1,0,O114*(1-VLOOKUP($A115,[1]Hugst!$R$5:$W$9,MATCH(ROUNDUP((P$1)/10,0)*10,[1]Hugst!$R$4:$W$4,0))))</f>
        <v>1267.3340929857579</v>
      </c>
      <c r="Q115" s="168">
        <f ca="1">IF($C115-Q$1&lt;År1,0,P114*(1-VLOOKUP($A115,[1]Hugst!$R$5:$W$9,MATCH(ROUNDUP((Q$1)/10,0)*10,[1]Hugst!$R$4:$W$4,0))))</f>
        <v>1264.8163168929689</v>
      </c>
      <c r="R115" s="168">
        <f ca="1">IF($C115-R$1&lt;År1,0,Q114*(1-VLOOKUP($A115,[1]Hugst!$R$5:$W$9,MATCH(ROUNDUP((R$1)/10,0)*10,[1]Hugst!$R$4:$W$4,0))))</f>
        <v>1264.2557289234614</v>
      </c>
      <c r="S115" s="168">
        <f ca="1">IF($C115-S$1&lt;År1,0,R114*(1-VLOOKUP($A115,[1]Hugst!$R$5:$W$9,MATCH(ROUNDUP((S$1)/10,0)*10,[1]Hugst!$R$4:$W$4,0))))</f>
        <v>1263.7007759626686</v>
      </c>
      <c r="T115" s="168">
        <f ca="1">IF($C115-T$1&lt;År1,0,S114*(1-VLOOKUP($A115,[1]Hugst!$R$5:$W$9,MATCH(ROUNDUP((T$1)/10,0)*10,[1]Hugst!$R$4:$W$4,0))))</f>
        <v>1263.1514661063368</v>
      </c>
      <c r="U115" s="168">
        <f ca="1">IF($C115-U$1&lt;År1,0,T114*(1-VLOOKUP($A115,[1]Hugst!$R$5:$W$9,MATCH(ROUNDUP((U$1)/10,0)*10,[1]Hugst!$R$4:$W$4,0))))</f>
        <v>1262.6078074960978</v>
      </c>
      <c r="V115" s="168">
        <f ca="1">IF($C115-V$1&lt;År1,0,U114*(1-VLOOKUP($A115,[1]Hugst!$R$5:$W$9,MATCH(ROUNDUP((V$1)/10,0)*10,[1]Hugst!$R$4:$W$4,0))))</f>
        <v>1262.069808319701</v>
      </c>
      <c r="W115" s="168">
        <f ca="1">IF($C115-W$1&lt;År1,0,V114*(1-VLOOKUP($A115,[1]Hugst!$R$5:$W$9,MATCH(ROUNDUP((W$1)/10,0)*10,[1]Hugst!$R$4:$W$4,0))))</f>
        <v>1261.5374768110885</v>
      </c>
      <c r="X115" s="168">
        <f ca="1">IF($C115-X$1&lt;År1,0,W114*(1-VLOOKUP($A115,[1]Hugst!$R$5:$W$9,MATCH(ROUNDUP((X$1)/10,0)*10,[1]Hugst!$R$4:$W$4,0))))</f>
        <v>1261.0108212505177</v>
      </c>
      <c r="Y115" s="168">
        <f ca="1">IF($C115-Y$1&lt;År1,0,X114*(1-VLOOKUP($A115,[1]Hugst!$R$5:$W$9,MATCH(ROUNDUP((Y$1)/10,0)*10,[1]Hugst!$R$4:$W$4,0))))</f>
        <v>1260.4898499647354</v>
      </c>
      <c r="Z115" s="168">
        <f ca="1">IF($C115-Z$1&lt;År1,0,Y114*(1-VLOOKUP($A115,[1]Hugst!$R$5:$W$9,MATCH(ROUNDUP((Z$1)/10,0)*10,[1]Hugst!$R$4:$W$4,0))))</f>
        <v>1259.7072197375442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(IF(B116="Vestdanmark",Skovbrug!$C$22-(Skovbrug!$C$22)*(1-Skovbrug!$C$9)^(C116-Skovbrug!$B$12),Skovbrug!$F$22-(Skovbrug!$F$22)*(1-Skovbrug!$C$9)^(C116-Skovbrug!$B$12)))*VLOOKUP(A116,Skovbrug!$A$13:$D$17,IF('Skovbrug-alder'!C116&lt;=År2,3,4),FALSE)
-IF(C116&gt;2020,SUM(INDEX($C$1:$D$311,MATCH(1,(2020=$C$1:$C$311)*(B116=$B$1:$B$311)*(A116=$A$1:$A$311),0),2):D115),0)</f>
        <v>257.66577775870064</v>
      </c>
      <c r="E116" s="168">
        <f t="shared" ca="1" si="2"/>
        <v>22.977148436966672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827.91701951077744</v>
      </c>
      <c r="G116" s="168">
        <f ca="1">IF($C116-G$1&lt;År1,0,F115*(1-VLOOKUP($A116,[1]Hugst!$R$5:$W$9,MATCH(ROUNDUP((G$1)/10,0)*10,[1]Hugst!$R$4:$W$4,0))))</f>
        <v>827.72398082799214</v>
      </c>
      <c r="H116" s="168">
        <f ca="1">IF($C116-H$1&lt;År1,0,G115*(1-VLOOKUP($A116,[1]Hugst!$R$5:$W$9,MATCH(ROUNDUP((H$1)/10,0)*10,[1]Hugst!$R$4:$W$4,0))))</f>
        <v>826.8512276358008</v>
      </c>
      <c r="I116" s="168">
        <f ca="1">IF($C116-I$1&lt;År1,0,H115*(1-VLOOKUP($A116,[1]Hugst!$R$5:$W$9,MATCH(ROUNDUP((I$1)/10,0)*10,[1]Hugst!$R$4:$W$4,0))))</f>
        <v>826.25034807738143</v>
      </c>
      <c r="J116" s="168">
        <f ca="1">IF($C116-J$1&lt;År1,0,I115*(1-VLOOKUP($A116,[1]Hugst!$R$5:$W$9,MATCH(ROUNDUP((J$1)/10,0)*10,[1]Hugst!$R$4:$W$4,0))))</f>
        <v>825.65102377722474</v>
      </c>
      <c r="K116" s="168">
        <f ca="1">IF($C116-K$1&lt;År1,0,J115*(1-VLOOKUP($A116,[1]Hugst!$R$5:$W$9,MATCH(ROUNDUP((K$1)/10,0)*10,[1]Hugst!$R$4:$W$4,0))))</f>
        <v>825.05326953982444</v>
      </c>
      <c r="L116" s="168">
        <f ca="1">IF($C116-L$1&lt;År1,0,K115*(1-VLOOKUP($A116,[1]Hugst!$R$5:$W$9,MATCH(ROUNDUP((L$1)/10,0)*10,[1]Hugst!$R$4:$W$4,0))))</f>
        <v>824.45710025471931</v>
      </c>
      <c r="M116" s="168">
        <f ca="1">IF($C116-M$1&lt;År1,0,L115*(1-VLOOKUP($A116,[1]Hugst!$R$5:$W$9,MATCH(ROUNDUP((M$1)/10,0)*10,[1]Hugst!$R$4:$W$4,0))))</f>
        <v>823.86253089693787</v>
      </c>
      <c r="N116" s="168">
        <f ca="1">IF($C116-N$1&lt;År1,0,M115*(1-VLOOKUP($A116,[1]Hugst!$R$5:$W$9,MATCH(ROUNDUP((N$1)/10,0)*10,[1]Hugst!$R$4:$W$4,0))))</f>
        <v>823.26957652752276</v>
      </c>
      <c r="O116" s="168">
        <f ca="1">IF($C116-O$1&lt;År1,0,N115*(1-VLOOKUP($A116,[1]Hugst!$R$5:$W$9,MATCH(ROUNDUP((O$1)/10,0)*10,[1]Hugst!$R$4:$W$4,0))))</f>
        <v>822.67825229388768</v>
      </c>
      <c r="P116" s="168">
        <f ca="1">IF($C116-P$1&lt;År1,0,O115*(1-VLOOKUP($A116,[1]Hugst!$R$5:$W$9,MATCH(ROUNDUP((P$1)/10,0)*10,[1]Hugst!$R$4:$W$4,0))))</f>
        <v>820.83454001321866</v>
      </c>
      <c r="Q116" s="168">
        <f ca="1">IF($C116-Q$1&lt;År1,0,P115*(1-VLOOKUP($A116,[1]Hugst!$R$5:$W$9,MATCH(ROUNDUP((Q$1)/10,0)*10,[1]Hugst!$R$4:$W$4,0))))</f>
        <v>1265.4008714879831</v>
      </c>
      <c r="R116" s="168">
        <f ca="1">IF($C116-R$1&lt;År1,0,Q115*(1-VLOOKUP($A116,[1]Hugst!$R$5:$W$9,MATCH(ROUNDUP((R$1)/10,0)*10,[1]Hugst!$R$4:$W$4,0))))</f>
        <v>1262.8869360705896</v>
      </c>
      <c r="S116" s="168">
        <f ca="1">IF($C116-S$1&lt;År1,0,R115*(1-VLOOKUP($A116,[1]Hugst!$R$5:$W$9,MATCH(ROUNDUP((S$1)/10,0)*10,[1]Hugst!$R$4:$W$4,0))))</f>
        <v>1262.3272032352731</v>
      </c>
      <c r="T116" s="168">
        <f ca="1">IF($C116-T$1&lt;År1,0,S115*(1-VLOOKUP($A116,[1]Hugst!$R$5:$W$9,MATCH(ROUNDUP((T$1)/10,0)*10,[1]Hugst!$R$4:$W$4,0))))</f>
        <v>1261.7730968128949</v>
      </c>
      <c r="U116" s="168">
        <f ca="1">IF($C116-U$1&lt;År1,0,T115*(1-VLOOKUP($A116,[1]Hugst!$R$5:$W$9,MATCH(ROUNDUP((U$1)/10,0)*10,[1]Hugst!$R$4:$W$4,0))))</f>
        <v>1261.2246248868526</v>
      </c>
      <c r="V116" s="168">
        <f ca="1">IF($C116-V$1&lt;År1,0,U115*(1-VLOOKUP($A116,[1]Hugst!$R$5:$W$9,MATCH(ROUNDUP((V$1)/10,0)*10,[1]Hugst!$R$4:$W$4,0))))</f>
        <v>1260.681795586358</v>
      </c>
      <c r="W116" s="168">
        <f ca="1">IF($C116-W$1&lt;År1,0,V115*(1-VLOOKUP($A116,[1]Hugst!$R$5:$W$9,MATCH(ROUNDUP((W$1)/10,0)*10,[1]Hugst!$R$4:$W$4,0))))</f>
        <v>1260.1446170866709</v>
      </c>
      <c r="X116" s="168">
        <f ca="1">IF($C116-X$1&lt;År1,0,W115*(1-VLOOKUP($A116,[1]Hugst!$R$5:$W$9,MATCH(ROUNDUP((X$1)/10,0)*10,[1]Hugst!$R$4:$W$4,0))))</f>
        <v>1259.6130976091731</v>
      </c>
      <c r="Y116" s="168">
        <f ca="1">IF($C116-Y$1&lt;År1,0,X115*(1-VLOOKUP($A116,[1]Hugst!$R$5:$W$9,MATCH(ROUNDUP((Y$1)/10,0)*10,[1]Hugst!$R$4:$W$4,0))))</f>
        <v>1259.0872454214914</v>
      </c>
      <c r="Z116" s="168">
        <f ca="1">IF($C116-Z$1&lt;År1,0,Y115*(1-VLOOKUP($A116,[1]Hugst!$R$5:$W$9,MATCH(ROUNDUP((Z$1)/10,0)*10,[1]Hugst!$R$4:$W$4,0))))</f>
        <v>1258.3000159033559</v>
      </c>
      <c r="AA116" s="168">
        <f ca="1">IF($C116-AA$1&lt;År1,0,Z115*(1-VLOOKUP($A116,[1]Hugst!$R$5:$W$9,MATCH(ROUNDUP((AA$1)/10,0)*10,[1]Hugst!$R$4:$W$4,0))))</f>
        <v>1257.5187453303729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(IF(B117="Vestdanmark",Skovbrug!$C$22-(Skovbrug!$C$22)*(1-Skovbrug!$C$9)^(C117-Skovbrug!$B$12),Skovbrug!$F$22-(Skovbrug!$F$22)*(1-Skovbrug!$C$9)^(C117-Skovbrug!$B$12)))*VLOOKUP(A117,Skovbrug!$A$13:$D$17,IF('Skovbrug-alder'!C117&lt;=År2,3,4),FALSE)
-IF(C117&gt;2020,SUM(INDEX($C$1:$D$311,MATCH(1,(2020=$C$1:$C$311)*(B117=$B$1:$B$311)*(A117=$A$1:$A$311),0),2):D116),0)</f>
        <v>256.37744886991914</v>
      </c>
      <c r="E117" s="168">
        <f t="shared" ca="1" si="2"/>
        <v>24.462859641345858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828.11440182637511</v>
      </c>
      <c r="G117" s="168">
        <f ca="1">IF($C117-G$1&lt;År1,0,F116*(1-VLOOKUP($A117,[1]Hugst!$R$5:$W$9,MATCH(ROUNDUP((G$1)/10,0)*10,[1]Hugst!$R$4:$W$4,0))))</f>
        <v>827.91701951077744</v>
      </c>
      <c r="H117" s="168">
        <f ca="1">IF($C117-H$1&lt;År1,0,G116*(1-VLOOKUP($A117,[1]Hugst!$R$5:$W$9,MATCH(ROUNDUP((H$1)/10,0)*10,[1]Hugst!$R$4:$W$4,0))))</f>
        <v>827.72398082799214</v>
      </c>
      <c r="I117" s="168">
        <f ca="1">IF($C117-I$1&lt;År1,0,H116*(1-VLOOKUP($A117,[1]Hugst!$R$5:$W$9,MATCH(ROUNDUP((I$1)/10,0)*10,[1]Hugst!$R$4:$W$4,0))))</f>
        <v>826.8512276358008</v>
      </c>
      <c r="J117" s="168">
        <f ca="1">IF($C117-J$1&lt;År1,0,I116*(1-VLOOKUP($A117,[1]Hugst!$R$5:$W$9,MATCH(ROUNDUP((J$1)/10,0)*10,[1]Hugst!$R$4:$W$4,0))))</f>
        <v>826.25034807738143</v>
      </c>
      <c r="K117" s="168">
        <f ca="1">IF($C117-K$1&lt;År1,0,J116*(1-VLOOKUP($A117,[1]Hugst!$R$5:$W$9,MATCH(ROUNDUP((K$1)/10,0)*10,[1]Hugst!$R$4:$W$4,0))))</f>
        <v>825.65102377722474</v>
      </c>
      <c r="L117" s="168">
        <f ca="1">IF($C117-L$1&lt;År1,0,K116*(1-VLOOKUP($A117,[1]Hugst!$R$5:$W$9,MATCH(ROUNDUP((L$1)/10,0)*10,[1]Hugst!$R$4:$W$4,0))))</f>
        <v>825.05326953982444</v>
      </c>
      <c r="M117" s="168">
        <f ca="1">IF($C117-M$1&lt;År1,0,L116*(1-VLOOKUP($A117,[1]Hugst!$R$5:$W$9,MATCH(ROUNDUP((M$1)/10,0)*10,[1]Hugst!$R$4:$W$4,0))))</f>
        <v>824.45710025471931</v>
      </c>
      <c r="N117" s="168">
        <f ca="1">IF($C117-N$1&lt;År1,0,M116*(1-VLOOKUP($A117,[1]Hugst!$R$5:$W$9,MATCH(ROUNDUP((N$1)/10,0)*10,[1]Hugst!$R$4:$W$4,0))))</f>
        <v>823.86253089693787</v>
      </c>
      <c r="O117" s="168">
        <f ca="1">IF($C117-O$1&lt;År1,0,N116*(1-VLOOKUP($A117,[1]Hugst!$R$5:$W$9,MATCH(ROUNDUP((O$1)/10,0)*10,[1]Hugst!$R$4:$W$4,0))))</f>
        <v>823.26957652752276</v>
      </c>
      <c r="P117" s="168">
        <f ca="1">IF($C117-P$1&lt;År1,0,O116*(1-VLOOKUP($A117,[1]Hugst!$R$5:$W$9,MATCH(ROUNDUP((P$1)/10,0)*10,[1]Hugst!$R$4:$W$4,0))))</f>
        <v>821.42331936665971</v>
      </c>
      <c r="Q117" s="168">
        <f ca="1">IF($C117-Q$1&lt;År1,0,P116*(1-VLOOKUP($A117,[1]Hugst!$R$5:$W$9,MATCH(ROUNDUP((Q$1)/10,0)*10,[1]Hugst!$R$4:$W$4,0))))</f>
        <v>819.58241952845276</v>
      </c>
      <c r="R117" s="168">
        <f ca="1">IF($C117-R$1&lt;År1,0,Q116*(1-VLOOKUP($A117,[1]Hugst!$R$5:$W$9,MATCH(ROUNDUP((R$1)/10,0)*10,[1]Hugst!$R$4:$W$4,0))))</f>
        <v>1263.470598972154</v>
      </c>
      <c r="S117" s="168">
        <f ca="1">IF($C117-S$1&lt;År1,0,R116*(1-VLOOKUP($A117,[1]Hugst!$R$5:$W$9,MATCH(ROUNDUP((S$1)/10,0)*10,[1]Hugst!$R$4:$W$4,0))))</f>
        <v>1260.9604983714989</v>
      </c>
      <c r="T117" s="168">
        <f ca="1">IF($C117-T$1&lt;År1,0,S116*(1-VLOOKUP($A117,[1]Hugst!$R$5:$W$9,MATCH(ROUNDUP((T$1)/10,0)*10,[1]Hugst!$R$4:$W$4,0))))</f>
        <v>1260.4016193659311</v>
      </c>
      <c r="U117" s="168">
        <f ca="1">IF($C117-U$1&lt;År1,0,T116*(1-VLOOKUP($A117,[1]Hugst!$R$5:$W$9,MATCH(ROUNDUP((U$1)/10,0)*10,[1]Hugst!$R$4:$W$4,0))))</f>
        <v>1259.8483581906378</v>
      </c>
      <c r="V117" s="168">
        <f ca="1">IF($C117-V$1&lt;År1,0,U116*(1-VLOOKUP($A117,[1]Hugst!$R$5:$W$9,MATCH(ROUNDUP((V$1)/10,0)*10,[1]Hugst!$R$4:$W$4,0))))</f>
        <v>1259.300722916686</v>
      </c>
      <c r="W117" s="168">
        <f ca="1">IF($C117-W$1&lt;År1,0,V116*(1-VLOOKUP($A117,[1]Hugst!$R$5:$W$9,MATCH(ROUNDUP((W$1)/10,0)*10,[1]Hugst!$R$4:$W$4,0))))</f>
        <v>1258.7587216608872</v>
      </c>
      <c r="X117" s="168">
        <f ca="1">IF($C117-X$1&lt;År1,0,W116*(1-VLOOKUP($A117,[1]Hugst!$R$5:$W$9,MATCH(ROUNDUP((X$1)/10,0)*10,[1]Hugst!$R$4:$W$4,0))))</f>
        <v>1258.2223625860302</v>
      </c>
      <c r="Y117" s="168">
        <f ca="1">IF($C117-Y$1&lt;År1,0,X116*(1-VLOOKUP($A117,[1]Hugst!$R$5:$W$9,MATCH(ROUNDUP((Y$1)/10,0)*10,[1]Hugst!$R$4:$W$4,0))))</f>
        <v>1257.6916539009558</v>
      </c>
      <c r="Z117" s="168">
        <f ca="1">IF($C117-Z$1&lt;År1,0,Y116*(1-VLOOKUP($A117,[1]Hugst!$R$5:$W$9,MATCH(ROUNDUP((Z$1)/10,0)*10,[1]Hugst!$R$4:$W$4,0))))</f>
        <v>1256.8998480883438</v>
      </c>
      <c r="AA117" s="168">
        <f ca="1">IF($C117-AA$1&lt;År1,0,Z116*(1-VLOOKUP($A117,[1]Hugst!$R$5:$W$9,MATCH(ROUNDUP((AA$1)/10,0)*10,[1]Hugst!$R$4:$W$4,0))))</f>
        <v>1256.1139862147102</v>
      </c>
      <c r="AB117" s="168">
        <f ca="1">IF($C117-AB$1&lt;År1,0,AA116*(1-VLOOKUP($A117,[1]Hugst!$R$5:$W$9,MATCH(ROUNDUP((AB$1)/10,0)*10,[1]Hugst!$R$4:$W$4,0))))</f>
        <v>1255.3340729338242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(IF(B118="Vestdanmark",Skovbrug!$C$22-(Skovbrug!$C$22)*(1-Skovbrug!$C$9)^(C118-Skovbrug!$B$12),Skovbrug!$F$22-(Skovbrug!$F$22)*(1-Skovbrug!$C$9)^(C118-Skovbrug!$B$12)))*VLOOKUP(A118,Skovbrug!$A$13:$D$17,IF('Skovbrug-alder'!C118&lt;=År2,3,4),FALSE)
-IF(C118&gt;2020,SUM(INDEX($C$1:$D$311,MATCH(1,(2020=$C$1:$C$311)*(B118=$B$1:$B$311)*(A118=$A$1:$A$311),0),2):D117),0)</f>
        <v>255.095561625556</v>
      </c>
      <c r="E118" s="168">
        <f t="shared" ca="1" si="2"/>
        <v>25.946449030343501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828.31610397100962</v>
      </c>
      <c r="G118" s="168">
        <f ca="1">IF($C118-G$1&lt;År1,0,F117*(1-VLOOKUP($A118,[1]Hugst!$R$5:$W$9,MATCH(ROUNDUP((G$1)/10,0)*10,[1]Hugst!$R$4:$W$4,0))))</f>
        <v>828.11440182637511</v>
      </c>
      <c r="H118" s="168">
        <f ca="1">IF($C118-H$1&lt;År1,0,G117*(1-VLOOKUP($A118,[1]Hugst!$R$5:$W$9,MATCH(ROUNDUP((H$1)/10,0)*10,[1]Hugst!$R$4:$W$4,0))))</f>
        <v>827.91701951077744</v>
      </c>
      <c r="I118" s="168">
        <f ca="1">IF($C118-I$1&lt;År1,0,H117*(1-VLOOKUP($A118,[1]Hugst!$R$5:$W$9,MATCH(ROUNDUP((I$1)/10,0)*10,[1]Hugst!$R$4:$W$4,0))))</f>
        <v>827.72398082799214</v>
      </c>
      <c r="J118" s="168">
        <f ca="1">IF($C118-J$1&lt;År1,0,I117*(1-VLOOKUP($A118,[1]Hugst!$R$5:$W$9,MATCH(ROUNDUP((J$1)/10,0)*10,[1]Hugst!$R$4:$W$4,0))))</f>
        <v>826.8512276358008</v>
      </c>
      <c r="K118" s="168">
        <f ca="1">IF($C118-K$1&lt;År1,0,J117*(1-VLOOKUP($A118,[1]Hugst!$R$5:$W$9,MATCH(ROUNDUP((K$1)/10,0)*10,[1]Hugst!$R$4:$W$4,0))))</f>
        <v>826.25034807738143</v>
      </c>
      <c r="L118" s="168">
        <f ca="1">IF($C118-L$1&lt;År1,0,K117*(1-VLOOKUP($A118,[1]Hugst!$R$5:$W$9,MATCH(ROUNDUP((L$1)/10,0)*10,[1]Hugst!$R$4:$W$4,0))))</f>
        <v>825.65102377722474</v>
      </c>
      <c r="M118" s="168">
        <f ca="1">IF($C118-M$1&lt;År1,0,L117*(1-VLOOKUP($A118,[1]Hugst!$R$5:$W$9,MATCH(ROUNDUP((M$1)/10,0)*10,[1]Hugst!$R$4:$W$4,0))))</f>
        <v>825.05326953982444</v>
      </c>
      <c r="N118" s="168">
        <f ca="1">IF($C118-N$1&lt;År1,0,M117*(1-VLOOKUP($A118,[1]Hugst!$R$5:$W$9,MATCH(ROUNDUP((N$1)/10,0)*10,[1]Hugst!$R$4:$W$4,0))))</f>
        <v>824.45710025471931</v>
      </c>
      <c r="O118" s="168">
        <f ca="1">IF($C118-O$1&lt;År1,0,N117*(1-VLOOKUP($A118,[1]Hugst!$R$5:$W$9,MATCH(ROUNDUP((O$1)/10,0)*10,[1]Hugst!$R$4:$W$4,0))))</f>
        <v>823.86253089693787</v>
      </c>
      <c r="P118" s="168">
        <f ca="1">IF($C118-P$1&lt;År1,0,O117*(1-VLOOKUP($A118,[1]Hugst!$R$5:$W$9,MATCH(ROUNDUP((P$1)/10,0)*10,[1]Hugst!$R$4:$W$4,0))))</f>
        <v>822.01374158027738</v>
      </c>
      <c r="Q118" s="168">
        <f ca="1">IF($C118-Q$1&lt;År1,0,P117*(1-VLOOKUP($A118,[1]Hugst!$R$5:$W$9,MATCH(ROUNDUP((Q$1)/10,0)*10,[1]Hugst!$R$4:$W$4,0))))</f>
        <v>820.17030074389697</v>
      </c>
      <c r="R118" s="168">
        <f ca="1">IF($C118-R$1&lt;År1,0,Q117*(1-VLOOKUP($A118,[1]Hugst!$R$5:$W$9,MATCH(ROUNDUP((R$1)/10,0)*10,[1]Hugst!$R$4:$W$4,0))))</f>
        <v>818.33220905798555</v>
      </c>
      <c r="S118" s="168">
        <f ca="1">IF($C118-S$1&lt;År1,0,R117*(1-VLOOKUP($A118,[1]Hugst!$R$5:$W$9,MATCH(ROUNDUP((S$1)/10,0)*10,[1]Hugst!$R$4:$W$4,0))))</f>
        <v>1261.5432709398235</v>
      </c>
      <c r="T118" s="168">
        <f ca="1">IF($C118-T$1&lt;År1,0,S117*(1-VLOOKUP($A118,[1]Hugst!$R$5:$W$9,MATCH(ROUNDUP((T$1)/10,0)*10,[1]Hugst!$R$4:$W$4,0))))</f>
        <v>1259.0369993061865</v>
      </c>
      <c r="U118" s="168">
        <f ca="1">IF($C118-U$1&lt;År1,0,T117*(1-VLOOKUP($A118,[1]Hugst!$R$5:$W$9,MATCH(ROUNDUP((U$1)/10,0)*10,[1]Hugst!$R$4:$W$4,0))))</f>
        <v>1258.4789728279152</v>
      </c>
      <c r="V118" s="168">
        <f ca="1">IF($C118-V$1&lt;År1,0,U117*(1-VLOOKUP($A118,[1]Hugst!$R$5:$W$9,MATCH(ROUNDUP((V$1)/10,0)*10,[1]Hugst!$R$4:$W$4,0))))</f>
        <v>1257.9265556103469</v>
      </c>
      <c r="W118" s="168">
        <f ca="1">IF($C118-W$1&lt;År1,0,V117*(1-VLOOKUP($A118,[1]Hugst!$R$5:$W$9,MATCH(ROUNDUP((W$1)/10,0)*10,[1]Hugst!$R$4:$W$4,0))))</f>
        <v>1257.3797557122368</v>
      </c>
      <c r="X118" s="168">
        <f ca="1">IF($C118-X$1&lt;År1,0,W117*(1-VLOOKUP($A118,[1]Hugst!$R$5:$W$9,MATCH(ROUNDUP((X$1)/10,0)*10,[1]Hugst!$R$4:$W$4,0))))</f>
        <v>1256.8385812380145</v>
      </c>
      <c r="Y118" s="168">
        <f ca="1">IF($C118-Y$1&lt;År1,0,X117*(1-VLOOKUP($A118,[1]Hugst!$R$5:$W$9,MATCH(ROUNDUP((Y$1)/10,0)*10,[1]Hugst!$R$4:$W$4,0))))</f>
        <v>1256.3030403380176</v>
      </c>
      <c r="Z118" s="168">
        <f ca="1">IF($C118-Z$1&lt;År1,0,Y117*(1-VLOOKUP($A118,[1]Hugst!$R$5:$W$9,MATCH(ROUNDUP((Z$1)/10,0)*10,[1]Hugst!$R$4:$W$4,0))))</f>
        <v>1255.5066811123991</v>
      </c>
      <c r="AA118" s="168">
        <f ca="1">IF($C118-AA$1&lt;År1,0,Z117*(1-VLOOKUP($A118,[1]Hugst!$R$5:$W$9,MATCH(ROUNDUP((AA$1)/10,0)*10,[1]Hugst!$R$4:$W$4,0))))</f>
        <v>1254.716250894631</v>
      </c>
      <c r="AB118" s="168">
        <f ca="1">IF($C118-AB$1&lt;År1,0,AA117*(1-VLOOKUP($A118,[1]Hugst!$R$5:$W$9,MATCH(ROUNDUP((AB$1)/10,0)*10,[1]Hugst!$R$4:$W$4,0))))</f>
        <v>1253.9317542895067</v>
      </c>
      <c r="AC118" s="168">
        <f ca="1">IF($C118-AC$1&lt;År1,0,AB117*(1-VLOOKUP($A118,[1]Hugst!$R$5:$W$9,MATCH(ROUNDUP((AC$1)/10,0)*10,[1]Hugst!$R$4:$W$4,0))))</f>
        <v>1253.1531959427105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(IF(B119="Vestdanmark",Skovbrug!$C$22-(Skovbrug!$C$22)*(1-Skovbrug!$C$9)^(C119-Skovbrug!$B$12),Skovbrug!$F$22-(Skovbrug!$F$22)*(1-Skovbrug!$C$9)^(C119-Skovbrug!$B$12)))*VLOOKUP(A119,Skovbrug!$A$13:$D$17,IF('Skovbrug-alder'!C119&lt;=År2,3,4),FALSE)
-IF(C119&gt;2020,SUM(INDEX($C$1:$D$311,MATCH(1,(2020=$C$1:$C$311)*(B119=$B$1:$B$311)*(A119=$A$1:$A$311),0),2):D118),0)</f>
        <v>253.82008381743344</v>
      </c>
      <c r="E119" s="168">
        <f t="shared" ca="1" si="2"/>
        <v>27.427925121635781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828.52210225417934</v>
      </c>
      <c r="G119" s="168">
        <f ca="1">IF($C119-G$1&lt;År1,0,F118*(1-VLOOKUP($A119,[1]Hugst!$R$5:$W$9,MATCH(ROUNDUP((G$1)/10,0)*10,[1]Hugst!$R$4:$W$4,0))))</f>
        <v>828.31610397100962</v>
      </c>
      <c r="H119" s="168">
        <f ca="1">IF($C119-H$1&lt;År1,0,G118*(1-VLOOKUP($A119,[1]Hugst!$R$5:$W$9,MATCH(ROUNDUP((H$1)/10,0)*10,[1]Hugst!$R$4:$W$4,0))))</f>
        <v>828.11440182637511</v>
      </c>
      <c r="I119" s="168">
        <f ca="1">IF($C119-I$1&lt;År1,0,H118*(1-VLOOKUP($A119,[1]Hugst!$R$5:$W$9,MATCH(ROUNDUP((I$1)/10,0)*10,[1]Hugst!$R$4:$W$4,0))))</f>
        <v>827.91701951077744</v>
      </c>
      <c r="J119" s="168">
        <f ca="1">IF($C119-J$1&lt;År1,0,I118*(1-VLOOKUP($A119,[1]Hugst!$R$5:$W$9,MATCH(ROUNDUP((J$1)/10,0)*10,[1]Hugst!$R$4:$W$4,0))))</f>
        <v>827.72398082799214</v>
      </c>
      <c r="K119" s="168">
        <f ca="1">IF($C119-K$1&lt;År1,0,J118*(1-VLOOKUP($A119,[1]Hugst!$R$5:$W$9,MATCH(ROUNDUP((K$1)/10,0)*10,[1]Hugst!$R$4:$W$4,0))))</f>
        <v>826.8512276358008</v>
      </c>
      <c r="L119" s="168">
        <f ca="1">IF($C119-L$1&lt;År1,0,K118*(1-VLOOKUP($A119,[1]Hugst!$R$5:$W$9,MATCH(ROUNDUP((L$1)/10,0)*10,[1]Hugst!$R$4:$W$4,0))))</f>
        <v>826.25034807738143</v>
      </c>
      <c r="M119" s="168">
        <f ca="1">IF($C119-M$1&lt;År1,0,L118*(1-VLOOKUP($A119,[1]Hugst!$R$5:$W$9,MATCH(ROUNDUP((M$1)/10,0)*10,[1]Hugst!$R$4:$W$4,0))))</f>
        <v>825.65102377722474</v>
      </c>
      <c r="N119" s="168">
        <f ca="1">IF($C119-N$1&lt;År1,0,M118*(1-VLOOKUP($A119,[1]Hugst!$R$5:$W$9,MATCH(ROUNDUP((N$1)/10,0)*10,[1]Hugst!$R$4:$W$4,0))))</f>
        <v>825.05326953982444</v>
      </c>
      <c r="O119" s="168">
        <f ca="1">IF($C119-O$1&lt;År1,0,N118*(1-VLOOKUP($A119,[1]Hugst!$R$5:$W$9,MATCH(ROUNDUP((O$1)/10,0)*10,[1]Hugst!$R$4:$W$4,0))))</f>
        <v>824.45710025471931</v>
      </c>
      <c r="P119" s="168">
        <f ca="1">IF($C119-P$1&lt;År1,0,O118*(1-VLOOKUP($A119,[1]Hugst!$R$5:$W$9,MATCH(ROUNDUP((P$1)/10,0)*10,[1]Hugst!$R$4:$W$4,0))))</f>
        <v>822.60579144302721</v>
      </c>
      <c r="Q119" s="168">
        <f ca="1">IF($C119-Q$1&lt;År1,0,P118*(1-VLOOKUP($A119,[1]Hugst!$R$5:$W$9,MATCH(ROUNDUP((Q$1)/10,0)*10,[1]Hugst!$R$4:$W$4,0))))</f>
        <v>820.75982231345995</v>
      </c>
      <c r="R119" s="168">
        <f ca="1">IF($C119-R$1&lt;År1,0,Q118*(1-VLOOKUP($A119,[1]Hugst!$R$5:$W$9,MATCH(ROUNDUP((R$1)/10,0)*10,[1]Hugst!$R$4:$W$4,0))))</f>
        <v>818.91919350547403</v>
      </c>
      <c r="S119" s="168">
        <f ca="1">IF($C119-S$1&lt;År1,0,R118*(1-VLOOKUP($A119,[1]Hugst!$R$5:$W$9,MATCH(ROUNDUP((S$1)/10,0)*10,[1]Hugst!$R$4:$W$4,0))))</f>
        <v>817.08390568823609</v>
      </c>
      <c r="T119" s="168">
        <f ca="1">IF($C119-T$1&lt;År1,0,S118*(1-VLOOKUP($A119,[1]Hugst!$R$5:$W$9,MATCH(ROUNDUP((T$1)/10,0)*10,[1]Hugst!$R$4:$W$4,0))))</f>
        <v>1259.6188828994068</v>
      </c>
      <c r="U119" s="168">
        <f ca="1">IF($C119-U$1&lt;År1,0,T118*(1-VLOOKUP($A119,[1]Hugst!$R$5:$W$9,MATCH(ROUNDUP((U$1)/10,0)*10,[1]Hugst!$R$4:$W$4,0))))</f>
        <v>1257.1164343919907</v>
      </c>
      <c r="V119" s="168">
        <f ca="1">IF($C119-V$1&lt;År1,0,U118*(1-VLOOKUP($A119,[1]Hugst!$R$5:$W$9,MATCH(ROUNDUP((V$1)/10,0)*10,[1]Hugst!$R$4:$W$4,0))))</f>
        <v>1256.5592591405505</v>
      </c>
      <c r="W119" s="168">
        <f ca="1">IF($C119-W$1&lt;År1,0,V118*(1-VLOOKUP($A119,[1]Hugst!$R$5:$W$9,MATCH(ROUNDUP((W$1)/10,0)*10,[1]Hugst!$R$4:$W$4,0))))</f>
        <v>1256.007684593314</v>
      </c>
      <c r="X119" s="168">
        <f ca="1">IF($C119-X$1&lt;År1,0,W118*(1-VLOOKUP($A119,[1]Hugst!$R$5:$W$9,MATCH(ROUNDUP((X$1)/10,0)*10,[1]Hugst!$R$4:$W$4,0))))</f>
        <v>1255.4617187967435</v>
      </c>
      <c r="Y119" s="168">
        <f ca="1">IF($C119-Y$1&lt;År1,0,X118*(1-VLOOKUP($A119,[1]Hugst!$R$5:$W$9,MATCH(ROUNDUP((Y$1)/10,0)*10,[1]Hugst!$R$4:$W$4,0))))</f>
        <v>1254.9213698429057</v>
      </c>
      <c r="Z119" s="168">
        <f ca="1">IF($C119-Z$1&lt;År1,0,Y118*(1-VLOOKUP($A119,[1]Hugst!$R$5:$W$9,MATCH(ROUNDUP((Z$1)/10,0)*10,[1]Hugst!$R$4:$W$4,0))))</f>
        <v>1254.1204799713287</v>
      </c>
      <c r="AA119" s="168">
        <f ca="1">IF($C119-AA$1&lt;År1,0,Z118*(1-VLOOKUP($A119,[1]Hugst!$R$5:$W$9,MATCH(ROUNDUP((AA$1)/10,0)*10,[1]Hugst!$R$4:$W$4,0))))</f>
        <v>1253.3255042511444</v>
      </c>
      <c r="AB119" s="168">
        <f ca="1">IF($C119-AB$1&lt;År1,0,AA118*(1-VLOOKUP($A119,[1]Hugst!$R$5:$W$9,MATCH(ROUNDUP((AB$1)/10,0)*10,[1]Hugst!$R$4:$W$4,0))))</f>
        <v>1252.5364472384158</v>
      </c>
      <c r="AC119" s="168">
        <f ca="1">IF($C119-AC$1&lt;År1,0,AB118*(1-VLOOKUP($A119,[1]Hugst!$R$5:$W$9,MATCH(ROUNDUP((AC$1)/10,0)*10,[1]Hugst!$R$4:$W$4,0))))</f>
        <v>1251.7533135299359</v>
      </c>
      <c r="AD119" s="168">
        <f ca="1">IF($C119-AD$1&lt;År1,0,AC118*(1-VLOOKUP($A119,[1]Hugst!$R$5:$W$9,MATCH(ROUNDUP((AD$1)/10,0)*10,[1]Hugst!$R$4:$W$4,0))))</f>
        <v>1250.9761077633184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(IF(B120="Vestdanmark",Skovbrug!$C$22-(Skovbrug!$C$22)*(1-Skovbrug!$C$9)^(C120-Skovbrug!$B$12),Skovbrug!$F$22-(Skovbrug!$F$22)*(1-Skovbrug!$C$9)^(C120-Skovbrug!$B$12)))*VLOOKUP(A120,Skovbrug!$A$13:$D$17,IF('Skovbrug-alder'!C120&lt;=År2,3,4),FALSE)
-IF(C120&gt;2020,SUM(INDEX($C$1:$D$311,MATCH(1,(2020=$C$1:$C$311)*(B120=$B$1:$B$311)*(A120=$A$1:$A$311),0),2):D119),0)</f>
        <v>252.55098339834058</v>
      </c>
      <c r="E120" s="168">
        <f t="shared" ca="1" si="2"/>
        <v>28.907296384553774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828.73237309800447</v>
      </c>
      <c r="G120" s="168">
        <f ca="1">IF($C120-G$1&lt;År1,0,F119*(1-VLOOKUP($A120,[1]Hugst!$R$5:$W$9,MATCH(ROUNDUP((G$1)/10,0)*10,[1]Hugst!$R$4:$W$4,0))))</f>
        <v>828.52210225417934</v>
      </c>
      <c r="H120" s="168">
        <f ca="1">IF($C120-H$1&lt;År1,0,G119*(1-VLOOKUP($A120,[1]Hugst!$R$5:$W$9,MATCH(ROUNDUP((H$1)/10,0)*10,[1]Hugst!$R$4:$W$4,0))))</f>
        <v>828.31610397100962</v>
      </c>
      <c r="I120" s="168">
        <f ca="1">IF($C120-I$1&lt;År1,0,H119*(1-VLOOKUP($A120,[1]Hugst!$R$5:$W$9,MATCH(ROUNDUP((I$1)/10,0)*10,[1]Hugst!$R$4:$W$4,0))))</f>
        <v>828.11440182637511</v>
      </c>
      <c r="J120" s="168">
        <f ca="1">IF($C120-J$1&lt;År1,0,I119*(1-VLOOKUP($A120,[1]Hugst!$R$5:$W$9,MATCH(ROUNDUP((J$1)/10,0)*10,[1]Hugst!$R$4:$W$4,0))))</f>
        <v>827.91701951077744</v>
      </c>
      <c r="K120" s="168">
        <f ca="1">IF($C120-K$1&lt;År1,0,J119*(1-VLOOKUP($A120,[1]Hugst!$R$5:$W$9,MATCH(ROUNDUP((K$1)/10,0)*10,[1]Hugst!$R$4:$W$4,0))))</f>
        <v>827.72398082799214</v>
      </c>
      <c r="L120" s="168">
        <f ca="1">IF($C120-L$1&lt;År1,0,K119*(1-VLOOKUP($A120,[1]Hugst!$R$5:$W$9,MATCH(ROUNDUP((L$1)/10,0)*10,[1]Hugst!$R$4:$W$4,0))))</f>
        <v>826.8512276358008</v>
      </c>
      <c r="M120" s="168">
        <f ca="1">IF($C120-M$1&lt;År1,0,L119*(1-VLOOKUP($A120,[1]Hugst!$R$5:$W$9,MATCH(ROUNDUP((M$1)/10,0)*10,[1]Hugst!$R$4:$W$4,0))))</f>
        <v>826.25034807738143</v>
      </c>
      <c r="N120" s="168">
        <f ca="1">IF($C120-N$1&lt;År1,0,M119*(1-VLOOKUP($A120,[1]Hugst!$R$5:$W$9,MATCH(ROUNDUP((N$1)/10,0)*10,[1]Hugst!$R$4:$W$4,0))))</f>
        <v>825.65102377722474</v>
      </c>
      <c r="O120" s="168">
        <f ca="1">IF($C120-O$1&lt;År1,0,N119*(1-VLOOKUP($A120,[1]Hugst!$R$5:$W$9,MATCH(ROUNDUP((O$1)/10,0)*10,[1]Hugst!$R$4:$W$4,0))))</f>
        <v>825.05326953982444</v>
      </c>
      <c r="P120" s="168">
        <f ca="1">IF($C120-P$1&lt;År1,0,O119*(1-VLOOKUP($A120,[1]Hugst!$R$5:$W$9,MATCH(ROUNDUP((P$1)/10,0)*10,[1]Hugst!$R$4:$W$4,0))))</f>
        <v>823.1994538306019</v>
      </c>
      <c r="Q120" s="168">
        <f ca="1">IF($C120-Q$1&lt;År1,0,P119*(1-VLOOKUP($A120,[1]Hugst!$R$5:$W$9,MATCH(ROUNDUP((Q$1)/10,0)*10,[1]Hugst!$R$4:$W$4,0))))</f>
        <v>821.35096904930049</v>
      </c>
      <c r="R120" s="168">
        <f ca="1">IF($C120-R$1&lt;År1,0,Q119*(1-VLOOKUP($A120,[1]Hugst!$R$5:$W$9,MATCH(ROUNDUP((R$1)/10,0)*10,[1]Hugst!$R$4:$W$4,0))))</f>
        <v>819.50781580484613</v>
      </c>
      <c r="S120" s="168">
        <f ca="1">IF($C120-S$1&lt;År1,0,R119*(1-VLOOKUP($A120,[1]Hugst!$R$5:$W$9,MATCH(ROUNDUP((S$1)/10,0)*10,[1]Hugst!$R$4:$W$4,0))))</f>
        <v>817.66999473571991</v>
      </c>
      <c r="T120" s="168">
        <f ca="1">IF($C120-T$1&lt;År1,0,S119*(1-VLOOKUP($A120,[1]Hugst!$R$5:$W$9,MATCH(ROUNDUP((T$1)/10,0)*10,[1]Hugst!$R$4:$W$4,0))))</f>
        <v>815.83750651006756</v>
      </c>
      <c r="U120" s="168">
        <f ca="1">IF($C120-U$1&lt;År1,0,T119*(1-VLOOKUP($A120,[1]Hugst!$R$5:$W$9,MATCH(ROUNDUP((U$1)/10,0)*10,[1]Hugst!$R$4:$W$4,0))))</f>
        <v>1257.6974303661705</v>
      </c>
      <c r="V120" s="168">
        <f ca="1">IF($C120-V$1&lt;År1,0,U119*(1-VLOOKUP($A120,[1]Hugst!$R$5:$W$9,MATCH(ROUNDUP((V$1)/10,0)*10,[1]Hugst!$R$4:$W$4,0))))</f>
        <v>1255.1987991530875</v>
      </c>
      <c r="W120" s="168">
        <f ca="1">IF($C120-W$1&lt;År1,0,V119*(1-VLOOKUP($A120,[1]Hugst!$R$5:$W$9,MATCH(ROUNDUP((W$1)/10,0)*10,[1]Hugst!$R$4:$W$4,0))))</f>
        <v>1254.642473829997</v>
      </c>
      <c r="X120" s="168">
        <f ca="1">IF($C120-X$1&lt;År1,0,W119*(1-VLOOKUP($A120,[1]Hugst!$R$5:$W$9,MATCH(ROUNDUP((X$1)/10,0)*10,[1]Hugst!$R$4:$W$4,0))))</f>
        <v>1254.0917406676631</v>
      </c>
      <c r="Y120" s="168">
        <f ca="1">IF($C120-Y$1&lt;År1,0,X119*(1-VLOOKUP($A120,[1]Hugst!$R$5:$W$9,MATCH(ROUNDUP((Y$1)/10,0)*10,[1]Hugst!$R$4:$W$4,0))))</f>
        <v>1253.5466077002739</v>
      </c>
      <c r="Z120" s="168">
        <f ca="1">IF($C120-Z$1&lt;År1,0,Y119*(1-VLOOKUP($A120,[1]Hugst!$R$5:$W$9,MATCH(ROUNDUP((Z$1)/10,0)*10,[1]Hugst!$R$4:$W$4,0))))</f>
        <v>1252.7412098359753</v>
      </c>
      <c r="AA120" s="168">
        <f ca="1">IF($C120-AA$1&lt;År1,0,Z119*(1-VLOOKUP($A120,[1]Hugst!$R$5:$W$9,MATCH(ROUNDUP((AA$1)/10,0)*10,[1]Hugst!$R$4:$W$4,0))))</f>
        <v>1251.9417113408699</v>
      </c>
      <c r="AB120" s="168">
        <f ca="1">IF($C120-AB$1&lt;År1,0,AA119*(1-VLOOKUP($A120,[1]Hugst!$R$5:$W$9,MATCH(ROUNDUP((AB$1)/10,0)*10,[1]Hugst!$R$4:$W$4,0))))</f>
        <v>1251.1481167225725</v>
      </c>
      <c r="AC120" s="168">
        <f ca="1">IF($C120-AC$1&lt;År1,0,AB119*(1-VLOOKUP($A120,[1]Hugst!$R$5:$W$9,MATCH(ROUNDUP((AC$1)/10,0)*10,[1]Hugst!$R$4:$W$4,0))))</f>
        <v>1250.3604305292304</v>
      </c>
      <c r="AD120" s="168">
        <f ca="1">IF($C120-AD$1&lt;År1,0,AC119*(1-VLOOKUP($A120,[1]Hugst!$R$5:$W$9,MATCH(ROUNDUP((AD$1)/10,0)*10,[1]Hugst!$R$4:$W$4,0))))</f>
        <v>1249.5786573496507</v>
      </c>
      <c r="AE120" s="168">
        <f ca="1">IF($C120-AE$1&lt;År1,0,AD119*(1-VLOOKUP($A120,[1]Hugst!$R$5:$W$9,MATCH(ROUNDUP((AE$1)/10,0)*10,[1]Hugst!$R$4:$W$4,0))))</f>
        <v>1248.8028018133905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(IF(B121="Vestdanmark",Skovbrug!$C$22-(Skovbrug!$C$22)*(1-Skovbrug!$C$9)^(C121-Skovbrug!$B$12),Skovbrug!$F$22-(Skovbrug!$F$22)*(1-Skovbrug!$C$9)^(C121-Skovbrug!$B$12)))*VLOOKUP(A121,Skovbrug!$A$13:$D$17,IF('Skovbrug-alder'!C121&lt;=År2,3,4),FALSE)
-IF(C121&gt;2020,SUM(INDEX($C$1:$D$311,MATCH(1,(2020=$C$1:$C$311)*(B121=$B$1:$B$311)*(A121=$A$1:$A$311),0),2):D120),0)</f>
        <v>251.28822848136315</v>
      </c>
      <c r="E121" s="168">
        <f t="shared" ca="1" si="2"/>
        <v>30.384571240367222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828.94689303684049</v>
      </c>
      <c r="G121" s="168">
        <f ca="1">IF($C121-G$1&lt;År1,0,F120*(1-VLOOKUP($A121,[1]Hugst!$R$5:$W$9,MATCH(ROUNDUP((G$1)/10,0)*10,[1]Hugst!$R$4:$W$4,0))))</f>
        <v>828.73237309800447</v>
      </c>
      <c r="H121" s="168">
        <f ca="1">IF($C121-H$1&lt;År1,0,G120*(1-VLOOKUP($A121,[1]Hugst!$R$5:$W$9,MATCH(ROUNDUP((H$1)/10,0)*10,[1]Hugst!$R$4:$W$4,0))))</f>
        <v>828.52210225417934</v>
      </c>
      <c r="I121" s="168">
        <f ca="1">IF($C121-I$1&lt;År1,0,H120*(1-VLOOKUP($A121,[1]Hugst!$R$5:$W$9,MATCH(ROUNDUP((I$1)/10,0)*10,[1]Hugst!$R$4:$W$4,0))))</f>
        <v>828.31610397100962</v>
      </c>
      <c r="J121" s="168">
        <f ca="1">IF($C121-J$1&lt;År1,0,I120*(1-VLOOKUP($A121,[1]Hugst!$R$5:$W$9,MATCH(ROUNDUP((J$1)/10,0)*10,[1]Hugst!$R$4:$W$4,0))))</f>
        <v>828.11440182637511</v>
      </c>
      <c r="K121" s="168">
        <f ca="1">IF($C121-K$1&lt;År1,0,J120*(1-VLOOKUP($A121,[1]Hugst!$R$5:$W$9,MATCH(ROUNDUP((K$1)/10,0)*10,[1]Hugst!$R$4:$W$4,0))))</f>
        <v>827.91701951077744</v>
      </c>
      <c r="L121" s="168">
        <f ca="1">IF($C121-L$1&lt;År1,0,K120*(1-VLOOKUP($A121,[1]Hugst!$R$5:$W$9,MATCH(ROUNDUP((L$1)/10,0)*10,[1]Hugst!$R$4:$W$4,0))))</f>
        <v>827.72398082799214</v>
      </c>
      <c r="M121" s="168">
        <f ca="1">IF($C121-M$1&lt;År1,0,L120*(1-VLOOKUP($A121,[1]Hugst!$R$5:$W$9,MATCH(ROUNDUP((M$1)/10,0)*10,[1]Hugst!$R$4:$W$4,0))))</f>
        <v>826.8512276358008</v>
      </c>
      <c r="N121" s="168">
        <f ca="1">IF($C121-N$1&lt;År1,0,M120*(1-VLOOKUP($A121,[1]Hugst!$R$5:$W$9,MATCH(ROUNDUP((N$1)/10,0)*10,[1]Hugst!$R$4:$W$4,0))))</f>
        <v>826.25034807738143</v>
      </c>
      <c r="O121" s="168">
        <f ca="1">IF($C121-O$1&lt;År1,0,N120*(1-VLOOKUP($A121,[1]Hugst!$R$5:$W$9,MATCH(ROUNDUP((O$1)/10,0)*10,[1]Hugst!$R$4:$W$4,0))))</f>
        <v>825.65102377722474</v>
      </c>
      <c r="P121" s="168">
        <f ca="1">IF($C121-P$1&lt;År1,0,O120*(1-VLOOKUP($A121,[1]Hugst!$R$5:$W$9,MATCH(ROUNDUP((P$1)/10,0)*10,[1]Hugst!$R$4:$W$4,0))))</f>
        <v>823.7947137049332</v>
      </c>
      <c r="Q121" s="168">
        <f ca="1">IF($C121-Q$1&lt;År1,0,P120*(1-VLOOKUP($A121,[1]Hugst!$R$5:$W$9,MATCH(ROUNDUP((Q$1)/10,0)*10,[1]Hugst!$R$4:$W$4,0))))</f>
        <v>821.94372585018232</v>
      </c>
      <c r="R121" s="168">
        <f ca="1">IF($C121-R$1&lt;År1,0,Q120*(1-VLOOKUP($A121,[1]Hugst!$R$5:$W$9,MATCH(ROUNDUP((R$1)/10,0)*10,[1]Hugst!$R$4:$W$4,0))))</f>
        <v>820.09806079142868</v>
      </c>
      <c r="S121" s="168">
        <f ca="1">IF($C121-S$1&lt;År1,0,R120*(1-VLOOKUP($A121,[1]Hugst!$R$5:$W$9,MATCH(ROUNDUP((S$1)/10,0)*10,[1]Hugst!$R$4:$W$4,0))))</f>
        <v>818.25771913666927</v>
      </c>
      <c r="T121" s="168">
        <f ca="1">IF($C121-T$1&lt;År1,0,S120*(1-VLOOKUP($A121,[1]Hugst!$R$5:$W$9,MATCH(ROUNDUP((T$1)/10,0)*10,[1]Hugst!$R$4:$W$4,0))))</f>
        <v>816.42270152341121</v>
      </c>
      <c r="U121" s="168">
        <f ca="1">IF($C121-U$1&lt;År1,0,T120*(1-VLOOKUP($A121,[1]Hugst!$R$5:$W$9,MATCH(ROUNDUP((U$1)/10,0)*10,[1]Hugst!$R$4:$W$4,0))))</f>
        <v>814.59300861878103</v>
      </c>
      <c r="V121" s="168">
        <f ca="1">IF($C121-V$1&lt;År1,0,U120*(1-VLOOKUP($A121,[1]Hugst!$R$5:$W$9,MATCH(ROUNDUP((V$1)/10,0)*10,[1]Hugst!$R$4:$W$4,0))))</f>
        <v>1255.7789088622221</v>
      </c>
      <c r="W121" s="168">
        <f ca="1">IF($C121-W$1&lt;År1,0,V120*(1-VLOOKUP($A121,[1]Hugst!$R$5:$W$9,MATCH(ROUNDUP((W$1)/10,0)*10,[1]Hugst!$R$4:$W$4,0))))</f>
        <v>1253.284089120481</v>
      </c>
      <c r="X121" s="168">
        <f ca="1">IF($C121-X$1&lt;År1,0,W120*(1-VLOOKUP($A121,[1]Hugst!$R$5:$W$9,MATCH(ROUNDUP((X$1)/10,0)*10,[1]Hugst!$R$4:$W$4,0))))</f>
        <v>1252.7286124292393</v>
      </c>
      <c r="Y121" s="168">
        <f ca="1">IF($C121-Y$1&lt;År1,0,X120*(1-VLOOKUP($A121,[1]Hugst!$R$5:$W$9,MATCH(ROUNDUP((Y$1)/10,0)*10,[1]Hugst!$R$4:$W$4,0))))</f>
        <v>1252.1787193683394</v>
      </c>
      <c r="Z121" s="168">
        <f ca="1">IF($C121-Z$1&lt;År1,0,Y120*(1-VLOOKUP($A121,[1]Hugst!$R$5:$W$9,MATCH(ROUNDUP((Z$1)/10,0)*10,[1]Hugst!$R$4:$W$4,0))))</f>
        <v>1251.3688360513029</v>
      </c>
      <c r="AA121" s="168">
        <f ca="1">IF($C121-AA$1&lt;År1,0,Z120*(1-VLOOKUP($A121,[1]Hugst!$R$5:$W$9,MATCH(ROUNDUP((AA$1)/10,0)*10,[1]Hugst!$R$4:$W$4,0))))</f>
        <v>1250.5648373951585</v>
      </c>
      <c r="AB121" s="168">
        <f ca="1">IF($C121-AB$1&lt;År1,0,AA120*(1-VLOOKUP($A121,[1]Hugst!$R$5:$W$9,MATCH(ROUNDUP((AB$1)/10,0)*10,[1]Hugst!$R$4:$W$4,0))))</f>
        <v>1249.766727859303</v>
      </c>
      <c r="AC121" s="168">
        <f ca="1">IF($C121-AC$1&lt;År1,0,AB120*(1-VLOOKUP($A121,[1]Hugst!$R$5:$W$9,MATCH(ROUNDUP((AC$1)/10,0)*10,[1]Hugst!$R$4:$W$4,0))))</f>
        <v>1248.9745119435204</v>
      </c>
      <c r="AD121" s="168">
        <f ca="1">IF($C121-AD$1&lt;År1,0,AC120*(1-VLOOKUP($A121,[1]Hugst!$R$5:$W$9,MATCH(ROUNDUP((AD$1)/10,0)*10,[1]Hugst!$R$4:$W$4,0))))</f>
        <v>1248.1881941880567</v>
      </c>
      <c r="AE121" s="168">
        <f ca="1">IF($C121-AE$1&lt;År1,0,AD120*(1-VLOOKUP($A121,[1]Hugst!$R$5:$W$9,MATCH(ROUNDUP((AE$1)/10,0)*10,[1]Hugst!$R$4:$W$4,0))))</f>
        <v>1247.4077791737466</v>
      </c>
      <c r="AF121" s="168">
        <f ca="1">IF($C121-AF$1&lt;År1,0,AE120*(1-VLOOKUP($A121,[1]Hugst!$R$5:$W$9,MATCH(ROUNDUP((AF$1)/10,0)*10,[1]Hugst!$R$4:$W$4,0))))</f>
        <v>1246.6332715221045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(IF(B122="Vestdanmark",Skovbrug!$C$22-(Skovbrug!$C$22)*(1-Skovbrug!$C$9)^(C122-Skovbrug!$B$12),Skovbrug!$F$22-(Skovbrug!$F$22)*(1-Skovbrug!$C$9)^(C122-Skovbrug!$B$12)))*VLOOKUP(A122,Skovbrug!$A$13:$D$17,IF('Skovbrug-alder'!C122&lt;=År2,3,4),FALSE)
-IF(C122&gt;2020,SUM(INDEX($C$1:$D$311,MATCH(1,(2020=$C$1:$C$311)*(B122=$B$1:$B$311)*(A122=$A$1:$A$311),0),2):D121),0)</f>
        <v>250.03178733893583</v>
      </c>
      <c r="E122" s="168">
        <f t="shared" ca="1" si="2"/>
        <v>31.859758062502806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829.16563871654876</v>
      </c>
      <c r="G122" s="168">
        <f ca="1">IF($C122-G$1&lt;År1,0,F121*(1-VLOOKUP($A122,[1]Hugst!$R$5:$W$9,MATCH(ROUNDUP((G$1)/10,0)*10,[1]Hugst!$R$4:$W$4,0))))</f>
        <v>828.94689303684049</v>
      </c>
      <c r="H122" s="168">
        <f ca="1">IF($C122-H$1&lt;År1,0,G121*(1-VLOOKUP($A122,[1]Hugst!$R$5:$W$9,MATCH(ROUNDUP((H$1)/10,0)*10,[1]Hugst!$R$4:$W$4,0))))</f>
        <v>828.73237309800447</v>
      </c>
      <c r="I122" s="168">
        <f ca="1">IF($C122-I$1&lt;År1,0,H121*(1-VLOOKUP($A122,[1]Hugst!$R$5:$W$9,MATCH(ROUNDUP((I$1)/10,0)*10,[1]Hugst!$R$4:$W$4,0))))</f>
        <v>828.52210225417934</v>
      </c>
      <c r="J122" s="168">
        <f ca="1">IF($C122-J$1&lt;År1,0,I121*(1-VLOOKUP($A122,[1]Hugst!$R$5:$W$9,MATCH(ROUNDUP((J$1)/10,0)*10,[1]Hugst!$R$4:$W$4,0))))</f>
        <v>828.31610397100962</v>
      </c>
      <c r="K122" s="168">
        <f ca="1">IF($C122-K$1&lt;År1,0,J121*(1-VLOOKUP($A122,[1]Hugst!$R$5:$W$9,MATCH(ROUNDUP((K$1)/10,0)*10,[1]Hugst!$R$4:$W$4,0))))</f>
        <v>828.11440182637511</v>
      </c>
      <c r="L122" s="168">
        <f ca="1">IF($C122-L$1&lt;År1,0,K121*(1-VLOOKUP($A122,[1]Hugst!$R$5:$W$9,MATCH(ROUNDUP((L$1)/10,0)*10,[1]Hugst!$R$4:$W$4,0))))</f>
        <v>827.91701951077744</v>
      </c>
      <c r="M122" s="168">
        <f ca="1">IF($C122-M$1&lt;År1,0,L121*(1-VLOOKUP($A122,[1]Hugst!$R$5:$W$9,MATCH(ROUNDUP((M$1)/10,0)*10,[1]Hugst!$R$4:$W$4,0))))</f>
        <v>827.72398082799214</v>
      </c>
      <c r="N122" s="168">
        <f ca="1">IF($C122-N$1&lt;År1,0,M121*(1-VLOOKUP($A122,[1]Hugst!$R$5:$W$9,MATCH(ROUNDUP((N$1)/10,0)*10,[1]Hugst!$R$4:$W$4,0))))</f>
        <v>826.8512276358008</v>
      </c>
      <c r="O122" s="168">
        <f ca="1">IF($C122-O$1&lt;År1,0,N121*(1-VLOOKUP($A122,[1]Hugst!$R$5:$W$9,MATCH(ROUNDUP((O$1)/10,0)*10,[1]Hugst!$R$4:$W$4,0))))</f>
        <v>826.25034807738143</v>
      </c>
      <c r="P122" s="168">
        <f ca="1">IF($C122-P$1&lt;År1,0,O121*(1-VLOOKUP($A122,[1]Hugst!$R$5:$W$9,MATCH(ROUNDUP((P$1)/10,0)*10,[1]Hugst!$R$4:$W$4,0))))</f>
        <v>824.39155611383569</v>
      </c>
      <c r="Q122" s="168">
        <f ca="1">IF($C122-Q$1&lt;År1,0,P121*(1-VLOOKUP($A122,[1]Hugst!$R$5:$W$9,MATCH(ROUNDUP((Q$1)/10,0)*10,[1]Hugst!$R$4:$W$4,0))))</f>
        <v>822.53807770097649</v>
      </c>
      <c r="R122" s="168">
        <f ca="1">IF($C122-R$1&lt;År1,0,Q121*(1-VLOOKUP($A122,[1]Hugst!$R$5:$W$9,MATCH(ROUNDUP((R$1)/10,0)*10,[1]Hugst!$R$4:$W$4,0))))</f>
        <v>820.68991338702097</v>
      </c>
      <c r="S122" s="168">
        <f ca="1">IF($C122-S$1&lt;År1,0,R121*(1-VLOOKUP($A122,[1]Hugst!$R$5:$W$9,MATCH(ROUNDUP((S$1)/10,0)*10,[1]Hugst!$R$4:$W$4,0))))</f>
        <v>818.84706374954339</v>
      </c>
      <c r="T122" s="168">
        <f ca="1">IF($C122-T$1&lt;År1,0,S121*(1-VLOOKUP($A122,[1]Hugst!$R$5:$W$9,MATCH(ROUNDUP((T$1)/10,0)*10,[1]Hugst!$R$4:$W$4,0))))</f>
        <v>817.0095293956133</v>
      </c>
      <c r="U122" s="168">
        <f ca="1">IF($C122-U$1&lt;År1,0,T121*(1-VLOOKUP($A122,[1]Hugst!$R$5:$W$9,MATCH(ROUNDUP((U$1)/10,0)*10,[1]Hugst!$R$4:$W$4,0))))</f>
        <v>815.17731096176533</v>
      </c>
      <c r="V122" s="168">
        <f ca="1">IF($C122-V$1&lt;År1,0,U121*(1-VLOOKUP($A122,[1]Hugst!$R$5:$W$9,MATCH(ROUNDUP((V$1)/10,0)*10,[1]Hugst!$R$4:$W$4,0))))</f>
        <v>813.35040911410829</v>
      </c>
      <c r="W122" s="168">
        <f ca="1">IF($C122-W$1&lt;År1,0,V121*(1-VLOOKUP($A122,[1]Hugst!$R$5:$W$9,MATCH(ROUNDUP((W$1)/10,0)*10,[1]Hugst!$R$4:$W$4,0))))</f>
        <v>1253.8633139165001</v>
      </c>
      <c r="X122" s="168">
        <f ca="1">IF($C122-X$1&lt;År1,0,W121*(1-VLOOKUP($A122,[1]Hugst!$R$5:$W$9,MATCH(ROUNDUP((X$1)/10,0)*10,[1]Hugst!$R$4:$W$4,0))))</f>
        <v>1251.372299831992</v>
      </c>
      <c r="Y122" s="168">
        <f ca="1">IF($C122-Y$1&lt;År1,0,X121*(1-VLOOKUP($A122,[1]Hugst!$R$5:$W$9,MATCH(ROUNDUP((Y$1)/10,0)*10,[1]Hugst!$R$4:$W$4,0))))</f>
        <v>1250.817670478076</v>
      </c>
      <c r="Z122" s="168">
        <f ca="1">IF($C122-Z$1&lt;År1,0,Y121*(1-VLOOKUP($A122,[1]Hugst!$R$5:$W$9,MATCH(ROUNDUP((Z$1)/10,0)*10,[1]Hugst!$R$4:$W$4,0))))</f>
        <v>1250.0033241355384</v>
      </c>
      <c r="AA122" s="168">
        <f ca="1">IF($C122-AA$1&lt;År1,0,Z121*(1-VLOOKUP($A122,[1]Hugst!$R$5:$W$9,MATCH(ROUNDUP((AA$1)/10,0)*10,[1]Hugst!$R$4:$W$4,0))))</f>
        <v>1249.1948478191798</v>
      </c>
      <c r="AB122" s="168">
        <f ca="1">IF($C122-AB$1&lt;År1,0,AA121*(1-VLOOKUP($A122,[1]Hugst!$R$5:$W$9,MATCH(ROUNDUP((AB$1)/10,0)*10,[1]Hugst!$R$4:$W$4,0))))</f>
        <v>1248.3922459403618</v>
      </c>
      <c r="AC122" s="168">
        <f ca="1">IF($C122-AC$1&lt;År1,0,AB121*(1-VLOOKUP($A122,[1]Hugst!$R$5:$W$9,MATCH(ROUNDUP((AC$1)/10,0)*10,[1]Hugst!$R$4:$W$4,0))))</f>
        <v>1247.5955229507338</v>
      </c>
      <c r="AD122" s="168">
        <f ca="1">IF($C122-AD$1&lt;År1,0,AC121*(1-VLOOKUP($A122,[1]Hugst!$R$5:$W$9,MATCH(ROUNDUP((AD$1)/10,0)*10,[1]Hugst!$R$4:$W$4,0))))</f>
        <v>1246.8046833422625</v>
      </c>
      <c r="AE122" s="168">
        <f ca="1">IF($C122-AE$1&lt;År1,0,AD121*(1-VLOOKUP($A122,[1]Hugst!$R$5:$W$9,MATCH(ROUNDUP((AE$1)/10,0)*10,[1]Hugst!$R$4:$W$4,0))))</f>
        <v>1246.0197316473063</v>
      </c>
      <c r="AF122" s="168">
        <f ca="1">IF($C122-AF$1&lt;År1,0,AE121*(1-VLOOKUP($A122,[1]Hugst!$R$5:$W$9,MATCH(ROUNDUP((AF$1)/10,0)*10,[1]Hugst!$R$4:$W$4,0))))</f>
        <v>1245.2406724387413</v>
      </c>
      <c r="AG122" s="168">
        <f ca="1">IF($C122-AG$1&lt;År1,0,AF121*(1-VLOOKUP($A122,[1]Hugst!$R$5:$W$9,MATCH(ROUNDUP((AG$1)/10,0)*10,[1]Hugst!$R$4:$W$4,0))))</f>
        <v>1244.4675103300533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(IF(B123="Vestdanmark",Skovbrug!$C$22-(Skovbrug!$C$22)*(1-Skovbrug!$C$9)^(C123-Skovbrug!$B$12),Skovbrug!$F$22-(Skovbrug!$F$22)*(1-Skovbrug!$C$9)^(C123-Skovbrug!$B$12)))*VLOOKUP(A123,Skovbrug!$A$13:$D$17,IF('Skovbrug-alder'!C123&lt;=År2,3,4),FALSE)
-IF(C123&gt;2020,SUM(INDEX($C$1:$D$311,MATCH(1,(2020=$C$1:$C$311)*(B123=$B$1:$B$311)*(A123=$A$1:$A$311),0),2):D122),0)</f>
        <v>248.78162840224832</v>
      </c>
      <c r="E123" s="168">
        <f t="shared" ca="1" si="2"/>
        <v>33.332865176842461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829.3885868942009</v>
      </c>
      <c r="G123" s="168">
        <f ca="1">IF($C123-G$1&lt;År1,0,F122*(1-VLOOKUP($A123,[1]Hugst!$R$5:$W$9,MATCH(ROUNDUP((G$1)/10,0)*10,[1]Hugst!$R$4:$W$4,0))))</f>
        <v>829.16563871654876</v>
      </c>
      <c r="H123" s="168">
        <f ca="1">IF($C123-H$1&lt;År1,0,G122*(1-VLOOKUP($A123,[1]Hugst!$R$5:$W$9,MATCH(ROUNDUP((H$1)/10,0)*10,[1]Hugst!$R$4:$W$4,0))))</f>
        <v>828.94689303684049</v>
      </c>
      <c r="I123" s="168">
        <f ca="1">IF($C123-I$1&lt;År1,0,H122*(1-VLOOKUP($A123,[1]Hugst!$R$5:$W$9,MATCH(ROUNDUP((I$1)/10,0)*10,[1]Hugst!$R$4:$W$4,0))))</f>
        <v>828.73237309800447</v>
      </c>
      <c r="J123" s="168">
        <f ca="1">IF($C123-J$1&lt;År1,0,I122*(1-VLOOKUP($A123,[1]Hugst!$R$5:$W$9,MATCH(ROUNDUP((J$1)/10,0)*10,[1]Hugst!$R$4:$W$4,0))))</f>
        <v>828.52210225417934</v>
      </c>
      <c r="K123" s="168">
        <f ca="1">IF($C123-K$1&lt;År1,0,J122*(1-VLOOKUP($A123,[1]Hugst!$R$5:$W$9,MATCH(ROUNDUP((K$1)/10,0)*10,[1]Hugst!$R$4:$W$4,0))))</f>
        <v>828.31610397100962</v>
      </c>
      <c r="L123" s="168">
        <f ca="1">IF($C123-L$1&lt;År1,0,K122*(1-VLOOKUP($A123,[1]Hugst!$R$5:$W$9,MATCH(ROUNDUP((L$1)/10,0)*10,[1]Hugst!$R$4:$W$4,0))))</f>
        <v>828.11440182637511</v>
      </c>
      <c r="M123" s="168">
        <f ca="1">IF($C123-M$1&lt;År1,0,L122*(1-VLOOKUP($A123,[1]Hugst!$R$5:$W$9,MATCH(ROUNDUP((M$1)/10,0)*10,[1]Hugst!$R$4:$W$4,0))))</f>
        <v>827.91701951077744</v>
      </c>
      <c r="N123" s="168">
        <f ca="1">IF($C123-N$1&lt;År1,0,M122*(1-VLOOKUP($A123,[1]Hugst!$R$5:$W$9,MATCH(ROUNDUP((N$1)/10,0)*10,[1]Hugst!$R$4:$W$4,0))))</f>
        <v>827.72398082799214</v>
      </c>
      <c r="O123" s="168">
        <f ca="1">IF($C123-O$1&lt;År1,0,N122*(1-VLOOKUP($A123,[1]Hugst!$R$5:$W$9,MATCH(ROUNDUP((O$1)/10,0)*10,[1]Hugst!$R$4:$W$4,0))))</f>
        <v>826.8512276358008</v>
      </c>
      <c r="P123" s="168">
        <f ca="1">IF($C123-P$1&lt;År1,0,O122*(1-VLOOKUP($A123,[1]Hugst!$R$5:$W$9,MATCH(ROUNDUP((P$1)/10,0)*10,[1]Hugst!$R$4:$W$4,0))))</f>
        <v>824.98996619048376</v>
      </c>
      <c r="Q123" s="168">
        <f ca="1">IF($C123-Q$1&lt;År1,0,P122*(1-VLOOKUP($A123,[1]Hugst!$R$5:$W$9,MATCH(ROUNDUP((Q$1)/10,0)*10,[1]Hugst!$R$4:$W$4,0))))</f>
        <v>823.13400967230609</v>
      </c>
      <c r="R123" s="168">
        <f ca="1">IF($C123-R$1&lt;År1,0,Q122*(1-VLOOKUP($A123,[1]Hugst!$R$5:$W$9,MATCH(ROUNDUP((R$1)/10,0)*10,[1]Hugst!$R$4:$W$4,0))))</f>
        <v>821.28335859939875</v>
      </c>
      <c r="S123" s="168">
        <f ca="1">IF($C123-S$1&lt;År1,0,R122*(1-VLOOKUP($A123,[1]Hugst!$R$5:$W$9,MATCH(ROUNDUP((S$1)/10,0)*10,[1]Hugst!$R$4:$W$4,0))))</f>
        <v>819.43801351914249</v>
      </c>
      <c r="T123" s="168">
        <f ca="1">IF($C123-T$1&lt;År1,0,S122*(1-VLOOKUP($A123,[1]Hugst!$R$5:$W$9,MATCH(ROUNDUP((T$1)/10,0)*10,[1]Hugst!$R$4:$W$4,0))))</f>
        <v>817.59797500823049</v>
      </c>
      <c r="U123" s="168">
        <f ca="1">IF($C123-U$1&lt;År1,0,T122*(1-VLOOKUP($A123,[1]Hugst!$R$5:$W$9,MATCH(ROUNDUP((U$1)/10,0)*10,[1]Hugst!$R$4:$W$4,0))))</f>
        <v>815.76324367280642</v>
      </c>
      <c r="V123" s="168">
        <f ca="1">IF($C123-V$1&lt;År1,0,U122*(1-VLOOKUP($A123,[1]Hugst!$R$5:$W$9,MATCH(ROUNDUP((V$1)/10,0)*10,[1]Hugst!$R$4:$W$4,0))))</f>
        <v>813.93382014843382</v>
      </c>
      <c r="W123" s="168">
        <f ca="1">IF($C123-W$1&lt;År1,0,V122*(1-VLOOKUP($A123,[1]Hugst!$R$5:$W$9,MATCH(ROUNDUP((W$1)/10,0)*10,[1]Hugst!$R$4:$W$4,0))))</f>
        <v>812.10970510020536</v>
      </c>
      <c r="X123" s="168">
        <f ca="1">IF($C123-X$1&lt;År1,0,W122*(1-VLOOKUP($A123,[1]Hugst!$R$5:$W$9,MATCH(ROUNDUP((X$1)/10,0)*10,[1]Hugst!$R$4:$W$4,0))))</f>
        <v>1251.950641064763</v>
      </c>
      <c r="Y123" s="168">
        <f ca="1">IF($C123-Y$1&lt;År1,0,X122*(1-VLOOKUP($A123,[1]Hugst!$R$5:$W$9,MATCH(ROUNDUP((Y$1)/10,0)*10,[1]Hugst!$R$4:$W$4,0))))</f>
        <v>1249.4634268322482</v>
      </c>
      <c r="Z123" s="168">
        <f ca="1">IF($C123-Z$1&lt;År1,0,Y122*(1-VLOOKUP($A123,[1]Hugst!$R$5:$W$9,MATCH(ROUNDUP((Z$1)/10,0)*10,[1]Hugst!$R$4:$W$4,0))))</f>
        <v>1248.6446397793641</v>
      </c>
      <c r="AA123" s="168">
        <f ca="1">IF($C123-AA$1&lt;År1,0,Z122*(1-VLOOKUP($A123,[1]Hugst!$R$5:$W$9,MATCH(ROUNDUP((AA$1)/10,0)*10,[1]Hugst!$R$4:$W$4,0))))</f>
        <v>1247.8317081910657</v>
      </c>
      <c r="AB123" s="168">
        <f ca="1">IF($C123-AB$1&lt;År1,0,AA122*(1-VLOOKUP($A123,[1]Hugst!$R$5:$W$9,MATCH(ROUNDUP((AB$1)/10,0)*10,[1]Hugst!$R$4:$W$4,0))))</f>
        <v>1247.0246364310194</v>
      </c>
      <c r="AC123" s="168">
        <f ca="1">IF($C123-AC$1&lt;År1,0,AB122*(1-VLOOKUP($A123,[1]Hugst!$R$5:$W$9,MATCH(ROUNDUP((AC$1)/10,0)*10,[1]Hugst!$R$4:$W$4,0))))</f>
        <v>1246.2234289029229</v>
      </c>
      <c r="AD123" s="168">
        <f ca="1">IF($C123-AD$1&lt;År1,0,AC122*(1-VLOOKUP($A123,[1]Hugst!$R$5:$W$9,MATCH(ROUNDUP((AD$1)/10,0)*10,[1]Hugst!$R$4:$W$4,0))))</f>
        <v>1245.4280900506922</v>
      </c>
      <c r="AE123" s="168">
        <f ca="1">IF($C123-AE$1&lt;År1,0,AD122*(1-VLOOKUP($A123,[1]Hugst!$R$5:$W$9,MATCH(ROUNDUP((AE$1)/10,0)*10,[1]Hugst!$R$4:$W$4,0))))</f>
        <v>1244.6386243584898</v>
      </c>
      <c r="AF123" s="168">
        <f ca="1">IF($C123-AF$1&lt;År1,0,AE122*(1-VLOOKUP($A123,[1]Hugst!$R$5:$W$9,MATCH(ROUNDUP((AF$1)/10,0)*10,[1]Hugst!$R$4:$W$4,0))))</f>
        <v>1243.8550363508004</v>
      </c>
      <c r="AG123" s="168">
        <f ca="1">IF($C123-AG$1&lt;År1,0,AF122*(1-VLOOKUP($A123,[1]Hugst!$R$5:$W$9,MATCH(ROUNDUP((AG$1)/10,0)*10,[1]Hugst!$R$4:$W$4,0))))</f>
        <v>1243.0773305925552</v>
      </c>
      <c r="AH123" s="168">
        <f ca="1">IF($C123-AH$1&lt;År1,0,AG122*(1-VLOOKUP($A123,[1]Hugst!$R$5:$W$9,MATCH(ROUNDUP((AH$1)/10,0)*10,[1]Hugst!$R$4:$W$4,0))))</f>
        <v>1242.3055116892256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(IF(B124="Vestdanmark",Skovbrug!$C$22-(Skovbrug!$C$22)*(1-Skovbrug!$C$9)^(C124-Skovbrug!$B$12),Skovbrug!$F$22-(Skovbrug!$F$22)*(1-Skovbrug!$C$9)^(C124-Skovbrug!$B$12)))*VLOOKUP(A124,Skovbrug!$A$13:$D$17,IF('Skovbrug-alder'!C124&lt;=År2,3,4),FALSE)
-IF(C124&gt;2020,SUM(INDEX($C$1:$D$311,MATCH(1,(2020=$C$1:$C$311)*(B124=$B$1:$B$311)*(A124=$A$1:$A$311),0),2):D123),0)</f>
        <v>247.5377202602449</v>
      </c>
      <c r="E124" s="168">
        <f t="shared" ca="1" si="2"/>
        <v>34.803900861956208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829.61571443731123</v>
      </c>
      <c r="G124" s="168">
        <f ca="1">IF($C124-G$1&lt;År1,0,F123*(1-VLOOKUP($A124,[1]Hugst!$R$5:$W$9,MATCH(ROUNDUP((G$1)/10,0)*10,[1]Hugst!$R$4:$W$4,0))))</f>
        <v>829.3885868942009</v>
      </c>
      <c r="H124" s="168">
        <f ca="1">IF($C124-H$1&lt;År1,0,G123*(1-VLOOKUP($A124,[1]Hugst!$R$5:$W$9,MATCH(ROUNDUP((H$1)/10,0)*10,[1]Hugst!$R$4:$W$4,0))))</f>
        <v>829.16563871654876</v>
      </c>
      <c r="I124" s="168">
        <f ca="1">IF($C124-I$1&lt;År1,0,H123*(1-VLOOKUP($A124,[1]Hugst!$R$5:$W$9,MATCH(ROUNDUP((I$1)/10,0)*10,[1]Hugst!$R$4:$W$4,0))))</f>
        <v>828.94689303684049</v>
      </c>
      <c r="J124" s="168">
        <f ca="1">IF($C124-J$1&lt;År1,0,I123*(1-VLOOKUP($A124,[1]Hugst!$R$5:$W$9,MATCH(ROUNDUP((J$1)/10,0)*10,[1]Hugst!$R$4:$W$4,0))))</f>
        <v>828.73237309800447</v>
      </c>
      <c r="K124" s="168">
        <f ca="1">IF($C124-K$1&lt;År1,0,J123*(1-VLOOKUP($A124,[1]Hugst!$R$5:$W$9,MATCH(ROUNDUP((K$1)/10,0)*10,[1]Hugst!$R$4:$W$4,0))))</f>
        <v>828.52210225417934</v>
      </c>
      <c r="L124" s="168">
        <f ca="1">IF($C124-L$1&lt;År1,0,K123*(1-VLOOKUP($A124,[1]Hugst!$R$5:$W$9,MATCH(ROUNDUP((L$1)/10,0)*10,[1]Hugst!$R$4:$W$4,0))))</f>
        <v>828.31610397100962</v>
      </c>
      <c r="M124" s="168">
        <f ca="1">IF($C124-M$1&lt;År1,0,L123*(1-VLOOKUP($A124,[1]Hugst!$R$5:$W$9,MATCH(ROUNDUP((M$1)/10,0)*10,[1]Hugst!$R$4:$W$4,0))))</f>
        <v>828.11440182637511</v>
      </c>
      <c r="N124" s="168">
        <f ca="1">IF($C124-N$1&lt;År1,0,M123*(1-VLOOKUP($A124,[1]Hugst!$R$5:$W$9,MATCH(ROUNDUP((N$1)/10,0)*10,[1]Hugst!$R$4:$W$4,0))))</f>
        <v>827.91701951077744</v>
      </c>
      <c r="O124" s="168">
        <f ca="1">IF($C124-O$1&lt;År1,0,N123*(1-VLOOKUP($A124,[1]Hugst!$R$5:$W$9,MATCH(ROUNDUP((O$1)/10,0)*10,[1]Hugst!$R$4:$W$4,0))))</f>
        <v>827.72398082799214</v>
      </c>
      <c r="P124" s="168">
        <f ca="1">IF($C124-P$1&lt;År1,0,O123*(1-VLOOKUP($A124,[1]Hugst!$R$5:$W$9,MATCH(ROUNDUP((P$1)/10,0)*10,[1]Hugst!$R$4:$W$4,0))))</f>
        <v>825.58992915296653</v>
      </c>
      <c r="Q124" s="168">
        <f ca="1">IF($C124-Q$1&lt;År1,0,P123*(1-VLOOKUP($A124,[1]Hugst!$R$5:$W$9,MATCH(ROUNDUP((Q$1)/10,0)*10,[1]Hugst!$R$4:$W$4,0))))</f>
        <v>823.73150692002366</v>
      </c>
      <c r="R124" s="168">
        <f ca="1">IF($C124-R$1&lt;År1,0,Q123*(1-VLOOKUP($A124,[1]Hugst!$R$5:$W$9,MATCH(ROUNDUP((R$1)/10,0)*10,[1]Hugst!$R$4:$W$4,0))))</f>
        <v>821.87838152195843</v>
      </c>
      <c r="S124" s="168">
        <f ca="1">IF($C124-S$1&lt;År1,0,R123*(1-VLOOKUP($A124,[1]Hugst!$R$5:$W$9,MATCH(ROUNDUP((S$1)/10,0)*10,[1]Hugst!$R$4:$W$4,0))))</f>
        <v>820.03055347611155</v>
      </c>
      <c r="T124" s="168">
        <f ca="1">IF($C124-T$1&lt;År1,0,S123*(1-VLOOKUP($A124,[1]Hugst!$R$5:$W$9,MATCH(ROUNDUP((T$1)/10,0)*10,[1]Hugst!$R$4:$W$4,0))))</f>
        <v>818.18802332902851</v>
      </c>
      <c r="U124" s="168">
        <f ca="1">IF($C124-U$1&lt;År1,0,T123*(1-VLOOKUP($A124,[1]Hugst!$R$5:$W$9,MATCH(ROUNDUP((U$1)/10,0)*10,[1]Hugst!$R$4:$W$4,0))))</f>
        <v>816.35079165652303</v>
      </c>
      <c r="V124" s="168">
        <f ca="1">IF($C124-V$1&lt;År1,0,U123*(1-VLOOKUP($A124,[1]Hugst!$R$5:$W$9,MATCH(ROUNDUP((V$1)/10,0)*10,[1]Hugst!$R$4:$W$4,0))))</f>
        <v>814.51885906381403</v>
      </c>
      <c r="W124" s="168">
        <f ca="1">IF($C124-W$1&lt;År1,0,V123*(1-VLOOKUP($A124,[1]Hugst!$R$5:$W$9,MATCH(ROUNDUP((W$1)/10,0)*10,[1]Hugst!$R$4:$W$4,0))))</f>
        <v>812.69222618549554</v>
      </c>
      <c r="X124" s="168">
        <f ca="1">IF($C124-X$1&lt;År1,0,W123*(1-VLOOKUP($A124,[1]Hugst!$R$5:$W$9,MATCH(ROUNDUP((X$1)/10,0)*10,[1]Hugst!$R$4:$W$4,0))))</f>
        <v>810.87089368564568</v>
      </c>
      <c r="Y124" s="168">
        <f ca="1">IF($C124-Y$1&lt;År1,0,X123*(1-VLOOKUP($A124,[1]Hugst!$R$5:$W$9,MATCH(ROUNDUP((Y$1)/10,0)*10,[1]Hugst!$R$4:$W$4,0))))</f>
        <v>1250.0408858495794</v>
      </c>
      <c r="Z124" s="168">
        <f ca="1">IF($C124-Z$1&lt;År1,0,Y123*(1-VLOOKUP($A124,[1]Hugst!$R$5:$W$9,MATCH(ROUNDUP((Z$1)/10,0)*10,[1]Hugst!$R$4:$W$4,0))))</f>
        <v>1247.2927488449548</v>
      </c>
      <c r="AA124" s="168">
        <f ca="1">IF($C124-AA$1&lt;År1,0,Z123*(1-VLOOKUP($A124,[1]Hugst!$R$5:$W$9,MATCH(ROUNDUP((AA$1)/10,0)*10,[1]Hugst!$R$4:$W$4,0))))</f>
        <v>1246.4753842611033</v>
      </c>
      <c r="AB124" s="168">
        <f ca="1">IF($C124-AB$1&lt;År1,0,AA123*(1-VLOOKUP($A124,[1]Hugst!$R$5:$W$9,MATCH(ROUNDUP((AB$1)/10,0)*10,[1]Hugst!$R$4:$W$4,0))))</f>
        <v>1245.6638649692084</v>
      </c>
      <c r="AC124" s="168">
        <f ca="1">IF($C124-AC$1&lt;År1,0,AB123*(1-VLOOKUP($A124,[1]Hugst!$R$5:$W$9,MATCH(ROUNDUP((AC$1)/10,0)*10,[1]Hugst!$R$4:$W$4,0))))</f>
        <v>1244.8581953253554</v>
      </c>
      <c r="AD124" s="168">
        <f ca="1">IF($C124-AD$1&lt;År1,0,AC123*(1-VLOOKUP($A124,[1]Hugst!$R$5:$W$9,MATCH(ROUNDUP((AD$1)/10,0)*10,[1]Hugst!$R$4:$W$4,0))))</f>
        <v>1244.0583797255915</v>
      </c>
      <c r="AE124" s="168">
        <f ca="1">IF($C124-AE$1&lt;År1,0,AD123*(1-VLOOKUP($A124,[1]Hugst!$R$5:$W$9,MATCH(ROUNDUP((AE$1)/10,0)*10,[1]Hugst!$R$4:$W$4,0))))</f>
        <v>1243.2644226061125</v>
      </c>
      <c r="AF124" s="168">
        <f ca="1">IF($C124-AF$1&lt;År1,0,AE123*(1-VLOOKUP($A124,[1]Hugst!$R$5:$W$9,MATCH(ROUNDUP((AF$1)/10,0)*10,[1]Hugst!$R$4:$W$4,0))))</f>
        <v>1242.4763284432906</v>
      </c>
      <c r="AG124" s="168">
        <f ca="1">IF($C124-AG$1&lt;År1,0,AF123*(1-VLOOKUP($A124,[1]Hugst!$R$5:$W$9,MATCH(ROUNDUP((AG$1)/10,0)*10,[1]Hugst!$R$4:$W$4,0))))</f>
        <v>1241.6941017537504</v>
      </c>
      <c r="AH124" s="168">
        <f ca="1">IF($C124-AH$1&lt;År1,0,AG123*(1-VLOOKUP($A124,[1]Hugst!$R$5:$W$9,MATCH(ROUNDUP((AH$1)/10,0)*10,[1]Hugst!$R$4:$W$4,0))))</f>
        <v>1240.9177470944919</v>
      </c>
      <c r="AI124" s="168">
        <f ca="1">IF($C124-AI$1&lt;År1,0,AH123*(1-VLOOKUP($A124,[1]Hugst!$R$5:$W$9,MATCH(ROUNDUP((AI$1)/10,0)*10,[1]Hugst!$R$4:$W$4,0))))</f>
        <v>1240.1472690629857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(IF(B125="Vestdanmark",Skovbrug!$C$22-(Skovbrug!$C$22)*(1-Skovbrug!$C$9)^(C125-Skovbrug!$B$12),Skovbrug!$F$22-(Skovbrug!$F$22)*(1-Skovbrug!$C$9)^(C125-Skovbrug!$B$12)))*VLOOKUP(A125,Skovbrug!$A$13:$D$17,IF('Skovbrug-alder'!C125&lt;=År2,3,4),FALSE)
-IF(C125&gt;2020,SUM(INDEX($C$1:$D$311,MATCH(1,(2020=$C$1:$C$311)*(B125=$B$1:$B$311)*(A125=$A$1:$A$311),0),2):D124),0)</f>
        <v>246.30003165894323</v>
      </c>
      <c r="E125" s="168">
        <f ca="1">IF(C125=2020,SUM(G125:AJ125),SUM(F124:AJ124)-SUM(G125:AJ125))</f>
        <v>35.222721284473664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828.79684625852701</v>
      </c>
      <c r="G125" s="168">
        <f ca="1">IF($C125-G$1&lt;År1,0,F124*(1-VLOOKUP($A125,[1]Hugst!$R$5:$W$9,MATCH(ROUNDUP((G$1)/10,0)*10,[1]Hugst!$R$4:$W$4,0))))</f>
        <v>829.61571443731123</v>
      </c>
      <c r="H125" s="168">
        <f ca="1">IF($C125-H$1&lt;År1,0,G124*(1-VLOOKUP($A125,[1]Hugst!$R$5:$W$9,MATCH(ROUNDUP((H$1)/10,0)*10,[1]Hugst!$R$4:$W$4,0))))</f>
        <v>829.3885868942009</v>
      </c>
      <c r="I125" s="168">
        <f ca="1">IF($C125-I$1&lt;År1,0,H124*(1-VLOOKUP($A125,[1]Hugst!$R$5:$W$9,MATCH(ROUNDUP((I$1)/10,0)*10,[1]Hugst!$R$4:$W$4,0))))</f>
        <v>829.16563871654876</v>
      </c>
      <c r="J125" s="168">
        <f ca="1">IF($C125-J$1&lt;År1,0,I124*(1-VLOOKUP($A125,[1]Hugst!$R$5:$W$9,MATCH(ROUNDUP((J$1)/10,0)*10,[1]Hugst!$R$4:$W$4,0))))</f>
        <v>828.94689303684049</v>
      </c>
      <c r="K125" s="168">
        <f ca="1">IF($C125-K$1&lt;År1,0,J124*(1-VLOOKUP($A125,[1]Hugst!$R$5:$W$9,MATCH(ROUNDUP((K$1)/10,0)*10,[1]Hugst!$R$4:$W$4,0))))</f>
        <v>828.73237309800447</v>
      </c>
      <c r="L125" s="168">
        <f ca="1">IF($C125-L$1&lt;År1,0,K124*(1-VLOOKUP($A125,[1]Hugst!$R$5:$W$9,MATCH(ROUNDUP((L$1)/10,0)*10,[1]Hugst!$R$4:$W$4,0))))</f>
        <v>828.52210225417934</v>
      </c>
      <c r="M125" s="168">
        <f ca="1">IF($C125-M$1&lt;År1,0,L124*(1-VLOOKUP($A125,[1]Hugst!$R$5:$W$9,MATCH(ROUNDUP((M$1)/10,0)*10,[1]Hugst!$R$4:$W$4,0))))</f>
        <v>828.31610397100962</v>
      </c>
      <c r="N125" s="168">
        <f ca="1">IF($C125-N$1&lt;År1,0,M124*(1-VLOOKUP($A125,[1]Hugst!$R$5:$W$9,MATCH(ROUNDUP((N$1)/10,0)*10,[1]Hugst!$R$4:$W$4,0))))</f>
        <v>828.11440182637511</v>
      </c>
      <c r="O125" s="168">
        <f ca="1">IF($C125-O$1&lt;År1,0,N124*(1-VLOOKUP($A125,[1]Hugst!$R$5:$W$9,MATCH(ROUNDUP((O$1)/10,0)*10,[1]Hugst!$R$4:$W$4,0))))</f>
        <v>827.91701951077744</v>
      </c>
      <c r="P125" s="168">
        <f ca="1">IF($C125-P$1&lt;År1,0,O124*(1-VLOOKUP($A125,[1]Hugst!$R$5:$W$9,MATCH(ROUNDUP((P$1)/10,0)*10,[1]Hugst!$R$4:$W$4,0))))</f>
        <v>826.46135102672906</v>
      </c>
      <c r="Q125" s="168">
        <f ca="1">IF($C125-Q$1&lt;År1,0,P124*(1-VLOOKUP($A125,[1]Hugst!$R$5:$W$9,MATCH(ROUNDUP((Q$1)/10,0)*10,[1]Hugst!$R$4:$W$4,0))))</f>
        <v>824.33055468476709</v>
      </c>
      <c r="R125" s="168">
        <f ca="1">IF($C125-R$1&lt;År1,0,Q124*(1-VLOOKUP($A125,[1]Hugst!$R$5:$W$9,MATCH(ROUNDUP((R$1)/10,0)*10,[1]Hugst!$R$4:$W$4,0))))</f>
        <v>822.47496733319645</v>
      </c>
      <c r="S125" s="168">
        <f ca="1">IF($C125-S$1&lt;År1,0,R124*(1-VLOOKUP($A125,[1]Hugst!$R$5:$W$9,MATCH(ROUNDUP((S$1)/10,0)*10,[1]Hugst!$R$4:$W$4,0))))</f>
        <v>820.62466873658593</v>
      </c>
      <c r="T125" s="168">
        <f ca="1">IF($C125-T$1&lt;År1,0,S124*(1-VLOOKUP($A125,[1]Hugst!$R$5:$W$9,MATCH(ROUNDUP((T$1)/10,0)*10,[1]Hugst!$R$4:$W$4,0))))</f>
        <v>818.77965941148693</v>
      </c>
      <c r="U125" s="168">
        <f ca="1">IF($C125-U$1&lt;År1,0,T124*(1-VLOOKUP($A125,[1]Hugst!$R$5:$W$9,MATCH(ROUNDUP((U$1)/10,0)*10,[1]Hugst!$R$4:$W$4,0))))</f>
        <v>816.93993990361128</v>
      </c>
      <c r="V125" s="168">
        <f ca="1">IF($C125-V$1&lt;År1,0,U124*(1-VLOOKUP($A125,[1]Hugst!$R$5:$W$9,MATCH(ROUNDUP((V$1)/10,0)*10,[1]Hugst!$R$4:$W$4,0))))</f>
        <v>815.10551078789445</v>
      </c>
      <c r="W125" s="168">
        <f ca="1">IF($C125-W$1&lt;År1,0,V124*(1-VLOOKUP($A125,[1]Hugst!$R$5:$W$9,MATCH(ROUNDUP((W$1)/10,0)*10,[1]Hugst!$R$4:$W$4,0))))</f>
        <v>813.27637266863189</v>
      </c>
      <c r="X125" s="168">
        <f ca="1">IF($C125-X$1&lt;År1,0,W124*(1-VLOOKUP($A125,[1]Hugst!$R$5:$W$9,MATCH(ROUNDUP((X$1)/10,0)*10,[1]Hugst!$R$4:$W$4,0))))</f>
        <v>811.45252617944982</v>
      </c>
      <c r="Y125" s="168">
        <f ca="1">IF($C125-Y$1&lt;År1,0,X124*(1-VLOOKUP($A125,[1]Hugst!$R$5:$W$9,MATCH(ROUNDUP((Y$1)/10,0)*10,[1]Hugst!$R$4:$W$4,0))))</f>
        <v>809.63397198341329</v>
      </c>
      <c r="Z125" s="168">
        <f ca="1">IF($C125-Z$1&lt;År1,0,Y124*(1-VLOOKUP($A125,[1]Hugst!$R$5:$W$9,MATCH(ROUNDUP((Z$1)/10,0)*10,[1]Hugst!$R$4:$W$4,0))))</f>
        <v>1247.8692046495864</v>
      </c>
      <c r="AA125" s="168">
        <f ca="1">IF($C125-AA$1&lt;År1,0,Z124*(1-VLOOKUP($A125,[1]Hugst!$R$5:$W$9,MATCH(ROUNDUP((AA$1)/10,0)*10,[1]Hugst!$R$4:$W$4,0))))</f>
        <v>1245.1258419507749</v>
      </c>
      <c r="AB125" s="168">
        <f ca="1">IF($C125-AB$1&lt;År1,0,AA124*(1-VLOOKUP($A125,[1]Hugst!$R$5:$W$9,MATCH(ROUNDUP((AB$1)/10,0)*10,[1]Hugst!$R$4:$W$4,0))))</f>
        <v>1244.3098973647175</v>
      </c>
      <c r="AC125" s="168">
        <f ca="1">IF($C125-AC$1&lt;År1,0,AB124*(1-VLOOKUP($A125,[1]Hugst!$R$5:$W$9,MATCH(ROUNDUP((AC$1)/10,0)*10,[1]Hugst!$R$4:$W$4,0))))</f>
        <v>1243.4997879156601</v>
      </c>
      <c r="AD125" s="168">
        <f ca="1">IF($C125-AD$1&lt;År1,0,AC124*(1-VLOOKUP($A125,[1]Hugst!$R$5:$W$9,MATCH(ROUNDUP((AD$1)/10,0)*10,[1]Hugst!$R$4:$W$4,0))))</f>
        <v>1242.6955179521206</v>
      </c>
      <c r="AE125" s="168">
        <f ca="1">IF($C125-AE$1&lt;År1,0,AD124*(1-VLOOKUP($A125,[1]Hugst!$R$5:$W$9,MATCH(ROUNDUP((AE$1)/10,0)*10,[1]Hugst!$R$4:$W$4,0))))</f>
        <v>1241.8970918625089</v>
      </c>
      <c r="AF125" s="168">
        <f ca="1">IF($C125-AF$1&lt;År1,0,AE124*(1-VLOOKUP($A125,[1]Hugst!$R$5:$W$9,MATCH(ROUNDUP((AF$1)/10,0)*10,[1]Hugst!$R$4:$W$4,0))))</f>
        <v>1241.1045140753138</v>
      </c>
      <c r="AG125" s="168">
        <f ca="1">IF($C125-AG$1&lt;År1,0,AF124*(1-VLOOKUP($A125,[1]Hugst!$R$5:$W$9,MATCH(ROUNDUP((AG$1)/10,0)*10,[1]Hugst!$R$4:$W$4,0))))</f>
        <v>1240.3177890591307</v>
      </c>
      <c r="AH125" s="168">
        <f ca="1">IF($C125-AH$1&lt;År1,0,AG124*(1-VLOOKUP($A125,[1]Hugst!$R$5:$W$9,MATCH(ROUNDUP((AH$1)/10,0)*10,[1]Hugst!$R$4:$W$4,0))))</f>
        <v>1239.5369213227375</v>
      </c>
      <c r="AI125" s="168">
        <f ca="1">IF($C125-AI$1&lt;År1,0,AH124*(1-VLOOKUP($A125,[1]Hugst!$R$5:$W$9,MATCH(ROUNDUP((AI$1)/10,0)*10,[1]Hugst!$R$4:$W$4,0))))</f>
        <v>1238.7619154152176</v>
      </c>
      <c r="AJ125" s="168">
        <f ca="1">IF($C125-AJ$1&lt;År1,0,AI124*(1-VLOOKUP($A125,[1]Hugst!$R$5:$W$9,MATCH(ROUNDUP((AJ$1)/10,0)*10,[1]Hugst!$R$4:$W$4,0))))</f>
        <v>1239.0437481879721</v>
      </c>
      <c r="AL125" s="168">
        <f ca="1">SUM(F125:AJ125)</f>
        <v>30130.757432475282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(IF(B126="Vestdanmark",Skovbrug!$C$22-(Skovbrug!$C$22)*(1-Skovbrug!$C$9)^(C126-Skovbrug!$B$12),Skovbrug!$F$22-(Skovbrug!$F$22)*(1-Skovbrug!$C$9)^(C126-Skovbrug!$B$12)))*VLOOKUP(A126,Skovbrug!$A$13:$D$17,IF('Skovbrug-alder'!C126&lt;=År2,3,4),FALSE)
-IF(C126&gt;2020,SUM(INDEX($C$1:$D$311,MATCH(1,(2020=$C$1:$C$311)*(B126=$B$1:$B$311)*(A126=$A$1:$A$311),0),2):D125),0)</f>
        <v>108.66749999999884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1134.4707134716939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(IF(B127="Vestdanmark",Skovbrug!$C$22-(Skovbrug!$C$22)*(1-Skovbrug!$C$9)^(C127-Skovbrug!$B$12),Skovbrug!$F$22-(Skovbrug!$F$22)*(1-Skovbrug!$C$9)^(C127-Skovbrug!$B$12)))*VLOOKUP(A127,Skovbrug!$A$13:$D$17,IF('Skovbrug-alder'!C127&lt;=År2,3,4),FALSE)
-IF(C127&gt;2020,SUM(INDEX($C$1:$D$311,MATCH(1,(2020=$C$1:$C$311)*(B127=$B$1:$B$311)*(A127=$A$1:$A$311),0),2):D126),0)</f>
        <v>108.12416249999951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1133.9273759716946</v>
      </c>
      <c r="G127" s="168">
        <f ca="1">IF($C127-G$1&lt;År1,0,F126*(1-VLOOKUP($A127,[1]Hugst!$R$5:$W$9,MATCH(ROUNDUP((G$1)/10,0)*10,[1]Hugst!$R$4:$W$4,0))))</f>
        <v>1134.4707134716939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742422.94542732602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(IF(B128="Vestdanmark",Skovbrug!$C$22-(Skovbrug!$C$22)*(1-Skovbrug!$C$9)^(C128-Skovbrug!$B$12),Skovbrug!$F$22-(Skovbrug!$F$22)*(1-Skovbrug!$C$9)^(C128-Skovbrug!$B$12)))*VLOOKUP(A128,Skovbrug!$A$13:$D$17,IF('Skovbrug-alder'!C128&lt;=År2,3,4),FALSE)
-IF(C128&gt;2020,SUM(INDEX($C$1:$D$311,MATCH(1,(2020=$C$1:$C$311)*(B128=$B$1:$B$311)*(A128=$A$1:$A$311),0),2):D127),0)</f>
        <v>107.58354168750233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1133.3867551591973</v>
      </c>
      <c r="G128" s="168">
        <f ca="1">IF($C128-G$1&lt;År1,0,F127*(1-VLOOKUP($A128,[1]Hugst!$R$5:$W$9,MATCH(ROUNDUP((G$1)/10,0)*10,[1]Hugst!$R$4:$W$4,0))))</f>
        <v>1133.9273759716946</v>
      </c>
      <c r="H128" s="168">
        <f ca="1">IF($C128-H$1&lt;År1,0,G127*(1-VLOOKUP($A128,[1]Hugst!$R$5:$W$9,MATCH(ROUNDUP((H$1)/10,0)*10,[1]Hugst!$R$4:$W$4,0))))</f>
        <v>1134.4707134716939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(IF(B129="Vestdanmark",Skovbrug!$C$22-(Skovbrug!$C$22)*(1-Skovbrug!$C$9)^(C129-Skovbrug!$B$12),Skovbrug!$F$22-(Skovbrug!$F$22)*(1-Skovbrug!$C$9)^(C129-Skovbrug!$B$12)))*VLOOKUP(A129,Skovbrug!$A$13:$D$17,IF('Skovbrug-alder'!C129&lt;=År2,3,4),FALSE)
-IF(C129&gt;2020,SUM(INDEX($C$1:$D$311,MATCH(1,(2020=$C$1:$C$311)*(B129=$B$1:$B$311)*(A129=$A$1:$A$311),0),2):D128),0)</f>
        <v>107.04562397905971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1132.8488374507547</v>
      </c>
      <c r="G129" s="168">
        <f ca="1">IF($C129-G$1&lt;År1,0,F128*(1-VLOOKUP($A129,[1]Hugst!$R$5:$W$9,MATCH(ROUNDUP((G$1)/10,0)*10,[1]Hugst!$R$4:$W$4,0))))</f>
        <v>1133.3867551591973</v>
      </c>
      <c r="H129" s="168">
        <f ca="1">IF($C129-H$1&lt;År1,0,G128*(1-VLOOKUP($A129,[1]Hugst!$R$5:$W$9,MATCH(ROUNDUP((H$1)/10,0)*10,[1]Hugst!$R$4:$W$4,0))))</f>
        <v>1133.9273759716946</v>
      </c>
      <c r="I129" s="168">
        <f ca="1">IF($C129-I$1&lt;År1,0,H128*(1-VLOOKUP($A129,[1]Hugst!$R$5:$W$9,MATCH(ROUNDUP((I$1)/10,0)*10,[1]Hugst!$R$4:$W$4,0))))</f>
        <v>1134.4707134716939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(IF(B130="Vestdanmark",Skovbrug!$C$22-(Skovbrug!$C$22)*(1-Skovbrug!$C$9)^(C130-Skovbrug!$B$12),Skovbrug!$F$22-(Skovbrug!$F$22)*(1-Skovbrug!$C$9)^(C130-Skovbrug!$B$12)))*VLOOKUP(A130,Skovbrug!$A$13:$D$17,IF('Skovbrug-alder'!C130&lt;=År2,3,4),FALSE)
-IF(C130&gt;2020,SUM(INDEX($C$1:$D$311,MATCH(1,(2020=$C$1:$C$311)*(B130=$B$1:$B$311)*(A130=$A$1:$A$311),0),2):D129),0)</f>
        <v>106.51039585916732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1132.3136093308624</v>
      </c>
      <c r="G130" s="168">
        <f ca="1">IF($C130-G$1&lt;År1,0,F129*(1-VLOOKUP($A130,[1]Hugst!$R$5:$W$9,MATCH(ROUNDUP((G$1)/10,0)*10,[1]Hugst!$R$4:$W$4,0))))</f>
        <v>1132.8488374507547</v>
      </c>
      <c r="H130" s="168">
        <f ca="1">IF($C130-H$1&lt;År1,0,G129*(1-VLOOKUP($A130,[1]Hugst!$R$5:$W$9,MATCH(ROUNDUP((H$1)/10,0)*10,[1]Hugst!$R$4:$W$4,0))))</f>
        <v>1133.3867551591973</v>
      </c>
      <c r="I130" s="168">
        <f ca="1">IF($C130-I$1&lt;År1,0,H129*(1-VLOOKUP($A130,[1]Hugst!$R$5:$W$9,MATCH(ROUNDUP((I$1)/10,0)*10,[1]Hugst!$R$4:$W$4,0))))</f>
        <v>1133.9273759716946</v>
      </c>
      <c r="J130" s="168">
        <f ca="1">IF($C130-J$1&lt;År1,0,I129*(1-VLOOKUP($A130,[1]Hugst!$R$5:$W$9,MATCH(ROUNDUP((J$1)/10,0)*10,[1]Hugst!$R$4:$W$4,0))))</f>
        <v>1134.4707134716939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(IF(B131="Vestdanmark",Skovbrug!$C$22-(Skovbrug!$C$22)*(1-Skovbrug!$C$9)^(C131-Skovbrug!$B$12),Skovbrug!$F$22-(Skovbrug!$F$22)*(1-Skovbrug!$C$9)^(C131-Skovbrug!$B$12)))*VLOOKUP(A131,Skovbrug!$A$13:$D$17,IF('Skovbrug-alder'!C131&lt;=År2,3,4),FALSE)
-IF(C131&gt;2020,SUM(INDEX($C$1:$D$311,MATCH(1,(2020=$C$1:$C$311)*(B131=$B$1:$B$311)*(A131=$A$1:$A$311),0),2):D130),0)</f>
        <v>105.97784387987053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1131.7810573515656</v>
      </c>
      <c r="G131" s="168">
        <f ca="1">IF($C131-G$1&lt;År1,0,F130*(1-VLOOKUP($A131,[1]Hugst!$R$5:$W$9,MATCH(ROUNDUP((G$1)/10,0)*10,[1]Hugst!$R$4:$W$4,0))))</f>
        <v>1132.3136093308624</v>
      </c>
      <c r="H131" s="168">
        <f ca="1">IF($C131-H$1&lt;År1,0,G130*(1-VLOOKUP($A131,[1]Hugst!$R$5:$W$9,MATCH(ROUNDUP((H$1)/10,0)*10,[1]Hugst!$R$4:$W$4,0))))</f>
        <v>1132.8488374507547</v>
      </c>
      <c r="I131" s="168">
        <f ca="1">IF($C131-I$1&lt;År1,0,H130*(1-VLOOKUP($A131,[1]Hugst!$R$5:$W$9,MATCH(ROUNDUP((I$1)/10,0)*10,[1]Hugst!$R$4:$W$4,0))))</f>
        <v>1133.3867551591973</v>
      </c>
      <c r="J131" s="168">
        <f ca="1">IF($C131-J$1&lt;År1,0,I130*(1-VLOOKUP($A131,[1]Hugst!$R$5:$W$9,MATCH(ROUNDUP((J$1)/10,0)*10,[1]Hugst!$R$4:$W$4,0))))</f>
        <v>1133.9273759716946</v>
      </c>
      <c r="K131" s="168">
        <f ca="1">IF($C131-K$1&lt;År1,0,J130*(1-VLOOKUP($A131,[1]Hugst!$R$5:$W$9,MATCH(ROUNDUP((K$1)/10,0)*10,[1]Hugst!$R$4:$W$4,0))))</f>
        <v>1134.4707134716939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(IF(B132="Vestdanmark",Skovbrug!$C$22-(Skovbrug!$C$22)*(1-Skovbrug!$C$9)^(C132-Skovbrug!$B$12),Skovbrug!$F$22-(Skovbrug!$F$22)*(1-Skovbrug!$C$9)^(C132-Skovbrug!$B$12)))*VLOOKUP(A132,Skovbrug!$A$13:$D$17,IF('Skovbrug-alder'!C132&lt;=År2,3,4),FALSE)
-IF(C132&gt;2020,SUM(INDEX($C$1:$D$311,MATCH(1,(2020=$C$1:$C$311)*(B132=$B$1:$B$311)*(A132=$A$1:$A$311),0),2):D131),0)</f>
        <v>105.44795466047367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1131.2511681321687</v>
      </c>
      <c r="G132" s="168">
        <f ca="1">IF($C132-G$1&lt;År1,0,F131*(1-VLOOKUP($A132,[1]Hugst!$R$5:$W$9,MATCH(ROUNDUP((G$1)/10,0)*10,[1]Hugst!$R$4:$W$4,0))))</f>
        <v>1131.7810573515656</v>
      </c>
      <c r="H132" s="168">
        <f ca="1">IF($C132-H$1&lt;År1,0,G131*(1-VLOOKUP($A132,[1]Hugst!$R$5:$W$9,MATCH(ROUNDUP((H$1)/10,0)*10,[1]Hugst!$R$4:$W$4,0))))</f>
        <v>1132.3136093308624</v>
      </c>
      <c r="I132" s="168">
        <f ca="1">IF($C132-I$1&lt;År1,0,H131*(1-VLOOKUP($A132,[1]Hugst!$R$5:$W$9,MATCH(ROUNDUP((I$1)/10,0)*10,[1]Hugst!$R$4:$W$4,0))))</f>
        <v>1132.8488374507547</v>
      </c>
      <c r="J132" s="168">
        <f ca="1">IF($C132-J$1&lt;År1,0,I131*(1-VLOOKUP($A132,[1]Hugst!$R$5:$W$9,MATCH(ROUNDUP((J$1)/10,0)*10,[1]Hugst!$R$4:$W$4,0))))</f>
        <v>1133.3867551591973</v>
      </c>
      <c r="K132" s="168">
        <f ca="1">IF($C132-K$1&lt;År1,0,J131*(1-VLOOKUP($A132,[1]Hugst!$R$5:$W$9,MATCH(ROUNDUP((K$1)/10,0)*10,[1]Hugst!$R$4:$W$4,0))))</f>
        <v>1133.9273759716946</v>
      </c>
      <c r="L132" s="168">
        <f ca="1">IF($C132-L$1&lt;År1,0,K131*(1-VLOOKUP($A132,[1]Hugst!$R$5:$W$9,MATCH(ROUNDUP((L$1)/10,0)*10,[1]Hugst!$R$4:$W$4,0))))</f>
        <v>1134.4707134716939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(IF(B133="Vestdanmark",Skovbrug!$C$22-(Skovbrug!$C$22)*(1-Skovbrug!$C$9)^(C133-Skovbrug!$B$12),Skovbrug!$F$22-(Skovbrug!$F$22)*(1-Skovbrug!$C$9)^(C133-Skovbrug!$B$12)))*VLOOKUP(A133,Skovbrug!$A$13:$D$17,IF('Skovbrug-alder'!C133&lt;=År2,3,4),FALSE)
-IF(C133&gt;2020,SUM(INDEX($C$1:$D$311,MATCH(1,(2020=$C$1:$C$311)*(B133=$B$1:$B$311)*(A133=$A$1:$A$311),0),2):D132),0)</f>
        <v>104.92071488717045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1130.7239283588656</v>
      </c>
      <c r="G133" s="168">
        <f ca="1">IF($C133-G$1&lt;År1,0,F132*(1-VLOOKUP($A133,[1]Hugst!$R$5:$W$9,MATCH(ROUNDUP((G$1)/10,0)*10,[1]Hugst!$R$4:$W$4,0))))</f>
        <v>1131.2511681321687</v>
      </c>
      <c r="H133" s="168">
        <f ca="1">IF($C133-H$1&lt;År1,0,G132*(1-VLOOKUP($A133,[1]Hugst!$R$5:$W$9,MATCH(ROUNDUP((H$1)/10,0)*10,[1]Hugst!$R$4:$W$4,0))))</f>
        <v>1131.7810573515656</v>
      </c>
      <c r="I133" s="168">
        <f ca="1">IF($C133-I$1&lt;År1,0,H132*(1-VLOOKUP($A133,[1]Hugst!$R$5:$W$9,MATCH(ROUNDUP((I$1)/10,0)*10,[1]Hugst!$R$4:$W$4,0))))</f>
        <v>1132.3136093308624</v>
      </c>
      <c r="J133" s="168">
        <f ca="1">IF($C133-J$1&lt;År1,0,I132*(1-VLOOKUP($A133,[1]Hugst!$R$5:$W$9,MATCH(ROUNDUP((J$1)/10,0)*10,[1]Hugst!$R$4:$W$4,0))))</f>
        <v>1132.8488374507547</v>
      </c>
      <c r="K133" s="168">
        <f ca="1">IF($C133-K$1&lt;År1,0,J132*(1-VLOOKUP($A133,[1]Hugst!$R$5:$W$9,MATCH(ROUNDUP((K$1)/10,0)*10,[1]Hugst!$R$4:$W$4,0))))</f>
        <v>1133.3867551591973</v>
      </c>
      <c r="L133" s="168">
        <f ca="1">IF($C133-L$1&lt;År1,0,K132*(1-VLOOKUP($A133,[1]Hugst!$R$5:$W$9,MATCH(ROUNDUP((L$1)/10,0)*10,[1]Hugst!$R$4:$W$4,0))))</f>
        <v>1133.9273759716946</v>
      </c>
      <c r="M133" s="168">
        <f ca="1">IF($C133-M$1&lt;År1,0,L132*(1-VLOOKUP($A133,[1]Hugst!$R$5:$W$9,MATCH(ROUNDUP((M$1)/10,0)*10,[1]Hugst!$R$4:$W$4,0))))</f>
        <v>1134.4707134716939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(IF(B134="Vestdanmark",Skovbrug!$C$22-(Skovbrug!$C$22)*(1-Skovbrug!$C$9)^(C134-Skovbrug!$B$12),Skovbrug!$F$22-(Skovbrug!$F$22)*(1-Skovbrug!$C$9)^(C134-Skovbrug!$B$12)))*VLOOKUP(A134,Skovbrug!$A$13:$D$17,IF('Skovbrug-alder'!C134&lt;=År2,3,4),FALSE)
-IF(C134&gt;2020,SUM(INDEX($C$1:$D$311,MATCH(1,(2020=$C$1:$C$311)*(B134=$B$1:$B$311)*(A134=$A$1:$A$311),0),2):D133),0)</f>
        <v>104.39611131273261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1130.1993247844275</v>
      </c>
      <c r="G134" s="168">
        <f ca="1">IF($C134-G$1&lt;År1,0,F133*(1-VLOOKUP($A134,[1]Hugst!$R$5:$W$9,MATCH(ROUNDUP((G$1)/10,0)*10,[1]Hugst!$R$4:$W$4,0))))</f>
        <v>1130.7239283588656</v>
      </c>
      <c r="H134" s="168">
        <f ca="1">IF($C134-H$1&lt;År1,0,G133*(1-VLOOKUP($A134,[1]Hugst!$R$5:$W$9,MATCH(ROUNDUP((H$1)/10,0)*10,[1]Hugst!$R$4:$W$4,0))))</f>
        <v>1131.2511681321687</v>
      </c>
      <c r="I134" s="168">
        <f ca="1">IF($C134-I$1&lt;År1,0,H133*(1-VLOOKUP($A134,[1]Hugst!$R$5:$W$9,MATCH(ROUNDUP((I$1)/10,0)*10,[1]Hugst!$R$4:$W$4,0))))</f>
        <v>1131.7810573515656</v>
      </c>
      <c r="J134" s="168">
        <f ca="1">IF($C134-J$1&lt;År1,0,I133*(1-VLOOKUP($A134,[1]Hugst!$R$5:$W$9,MATCH(ROUNDUP((J$1)/10,0)*10,[1]Hugst!$R$4:$W$4,0))))</f>
        <v>1132.3136093308624</v>
      </c>
      <c r="K134" s="168">
        <f ca="1">IF($C134-K$1&lt;År1,0,J133*(1-VLOOKUP($A134,[1]Hugst!$R$5:$W$9,MATCH(ROUNDUP((K$1)/10,0)*10,[1]Hugst!$R$4:$W$4,0))))</f>
        <v>1132.8488374507547</v>
      </c>
      <c r="L134" s="168">
        <f ca="1">IF($C134-L$1&lt;År1,0,K133*(1-VLOOKUP($A134,[1]Hugst!$R$5:$W$9,MATCH(ROUNDUP((L$1)/10,0)*10,[1]Hugst!$R$4:$W$4,0))))</f>
        <v>1133.3867551591973</v>
      </c>
      <c r="M134" s="168">
        <f ca="1">IF($C134-M$1&lt;År1,0,L133*(1-VLOOKUP($A134,[1]Hugst!$R$5:$W$9,MATCH(ROUNDUP((M$1)/10,0)*10,[1]Hugst!$R$4:$W$4,0))))</f>
        <v>1133.9273759716946</v>
      </c>
      <c r="N134" s="168">
        <f ca="1">IF($C134-N$1&lt;År1,0,M133*(1-VLOOKUP($A134,[1]Hugst!$R$5:$W$9,MATCH(ROUNDUP((N$1)/10,0)*10,[1]Hugst!$R$4:$W$4,0))))</f>
        <v>1134.4707134716939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(IF(B135="Vestdanmark",Skovbrug!$C$22-(Skovbrug!$C$22)*(1-Skovbrug!$C$9)^(C135-Skovbrug!$B$12),Skovbrug!$F$22-(Skovbrug!$F$22)*(1-Skovbrug!$C$9)^(C135-Skovbrug!$B$12)))*VLOOKUP(A135,Skovbrug!$A$13:$D$17,IF('Skovbrug-alder'!C135&lt;=År2,3,4),FALSE)
-IF(C135&gt;2020,SUM(INDEX($C$1:$D$311,MATCH(1,(2020=$C$1:$C$311)*(B135=$B$1:$B$311)*(A135=$A$1:$A$311),0),2):D134),0)</f>
        <v>103.87413075616928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1129.6773442278643</v>
      </c>
      <c r="G135" s="168">
        <f ca="1">IF($C135-G$1&lt;År1,0,F134*(1-VLOOKUP($A135,[1]Hugst!$R$5:$W$9,MATCH(ROUNDUP((G$1)/10,0)*10,[1]Hugst!$R$4:$W$4,0))))</f>
        <v>1130.1993247844275</v>
      </c>
      <c r="H135" s="168">
        <f ca="1">IF($C135-H$1&lt;År1,0,G134*(1-VLOOKUP($A135,[1]Hugst!$R$5:$W$9,MATCH(ROUNDUP((H$1)/10,0)*10,[1]Hugst!$R$4:$W$4,0))))</f>
        <v>1130.7239283588656</v>
      </c>
      <c r="I135" s="168">
        <f ca="1">IF($C135-I$1&lt;År1,0,H134*(1-VLOOKUP($A135,[1]Hugst!$R$5:$W$9,MATCH(ROUNDUP((I$1)/10,0)*10,[1]Hugst!$R$4:$W$4,0))))</f>
        <v>1131.2511681321687</v>
      </c>
      <c r="J135" s="168">
        <f ca="1">IF($C135-J$1&lt;År1,0,I134*(1-VLOOKUP($A135,[1]Hugst!$R$5:$W$9,MATCH(ROUNDUP((J$1)/10,0)*10,[1]Hugst!$R$4:$W$4,0))))</f>
        <v>1131.7810573515656</v>
      </c>
      <c r="K135" s="168">
        <f ca="1">IF($C135-K$1&lt;År1,0,J134*(1-VLOOKUP($A135,[1]Hugst!$R$5:$W$9,MATCH(ROUNDUP((K$1)/10,0)*10,[1]Hugst!$R$4:$W$4,0))))</f>
        <v>1132.3136093308624</v>
      </c>
      <c r="L135" s="168">
        <f ca="1">IF($C135-L$1&lt;År1,0,K134*(1-VLOOKUP($A135,[1]Hugst!$R$5:$W$9,MATCH(ROUNDUP((L$1)/10,0)*10,[1]Hugst!$R$4:$W$4,0))))</f>
        <v>1132.8488374507547</v>
      </c>
      <c r="M135" s="168">
        <f ca="1">IF($C135-M$1&lt;År1,0,L134*(1-VLOOKUP($A135,[1]Hugst!$R$5:$W$9,MATCH(ROUNDUP((M$1)/10,0)*10,[1]Hugst!$R$4:$W$4,0))))</f>
        <v>1133.3867551591973</v>
      </c>
      <c r="N135" s="168">
        <f ca="1">IF($C135-N$1&lt;År1,0,M134*(1-VLOOKUP($A135,[1]Hugst!$R$5:$W$9,MATCH(ROUNDUP((N$1)/10,0)*10,[1]Hugst!$R$4:$W$4,0))))</f>
        <v>1133.9273759716946</v>
      </c>
      <c r="O135" s="168">
        <f ca="1">IF($C135-O$1&lt;År1,0,N134*(1-VLOOKUP($A135,[1]Hugst!$R$5:$W$9,MATCH(ROUNDUP((O$1)/10,0)*10,[1]Hugst!$R$4:$W$4,0))))</f>
        <v>1134.4707134716939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(IF(B136="Vestdanmark",Skovbrug!$C$22-(Skovbrug!$C$22)*(1-Skovbrug!$C$9)^(C136-Skovbrug!$B$12),Skovbrug!$F$22-(Skovbrug!$F$22)*(1-Skovbrug!$C$9)^(C136-Skovbrug!$B$12)))*VLOOKUP(A136,Skovbrug!$A$13:$D$17,IF('Skovbrug-alder'!C136&lt;=År2,3,4),FALSE)
-IF(C136&gt;2020,SUM(INDEX($C$1:$D$311,MATCH(1,(2020=$C$1:$C$311)*(B136=$B$1:$B$311)*(A136=$A$1:$A$311),0),2):D135),0)</f>
        <v>103.35476010239222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1129.1579735740872</v>
      </c>
      <c r="G136" s="168">
        <f ca="1">IF($C136-G$1&lt;År1,0,F135*(1-VLOOKUP($A136,[1]Hugst!$R$5:$W$9,MATCH(ROUNDUP((G$1)/10,0)*10,[1]Hugst!$R$4:$W$4,0))))</f>
        <v>1129.6773442278643</v>
      </c>
      <c r="H136" s="168">
        <f ca="1">IF($C136-H$1&lt;År1,0,G135*(1-VLOOKUP($A136,[1]Hugst!$R$5:$W$9,MATCH(ROUNDUP((H$1)/10,0)*10,[1]Hugst!$R$4:$W$4,0))))</f>
        <v>1130.1993247844275</v>
      </c>
      <c r="I136" s="168">
        <f ca="1">IF($C136-I$1&lt;År1,0,H135*(1-VLOOKUP($A136,[1]Hugst!$R$5:$W$9,MATCH(ROUNDUP((I$1)/10,0)*10,[1]Hugst!$R$4:$W$4,0))))</f>
        <v>1130.7239283588656</v>
      </c>
      <c r="J136" s="168">
        <f ca="1">IF($C136-J$1&lt;År1,0,I135*(1-VLOOKUP($A136,[1]Hugst!$R$5:$W$9,MATCH(ROUNDUP((J$1)/10,0)*10,[1]Hugst!$R$4:$W$4,0))))</f>
        <v>1131.2511681321687</v>
      </c>
      <c r="K136" s="168">
        <f ca="1">IF($C136-K$1&lt;År1,0,J135*(1-VLOOKUP($A136,[1]Hugst!$R$5:$W$9,MATCH(ROUNDUP((K$1)/10,0)*10,[1]Hugst!$R$4:$W$4,0))))</f>
        <v>1131.7810573515656</v>
      </c>
      <c r="L136" s="168">
        <f ca="1">IF($C136-L$1&lt;År1,0,K135*(1-VLOOKUP($A136,[1]Hugst!$R$5:$W$9,MATCH(ROUNDUP((L$1)/10,0)*10,[1]Hugst!$R$4:$W$4,0))))</f>
        <v>1132.3136093308624</v>
      </c>
      <c r="M136" s="168">
        <f ca="1">IF($C136-M$1&lt;År1,0,L135*(1-VLOOKUP($A136,[1]Hugst!$R$5:$W$9,MATCH(ROUNDUP((M$1)/10,0)*10,[1]Hugst!$R$4:$W$4,0))))</f>
        <v>1132.8488374507547</v>
      </c>
      <c r="N136" s="168">
        <f ca="1">IF($C136-N$1&lt;År1,0,M135*(1-VLOOKUP($A136,[1]Hugst!$R$5:$W$9,MATCH(ROUNDUP((N$1)/10,0)*10,[1]Hugst!$R$4:$W$4,0))))</f>
        <v>1133.3867551591973</v>
      </c>
      <c r="O136" s="168">
        <f ca="1">IF($C136-O$1&lt;År1,0,N135*(1-VLOOKUP($A136,[1]Hugst!$R$5:$W$9,MATCH(ROUNDUP((O$1)/10,0)*10,[1]Hugst!$R$4:$W$4,0))))</f>
        <v>1133.9273759716946</v>
      </c>
      <c r="P136" s="168">
        <f ca="1">IF($C136-P$1&lt;År1,0,O135*(1-VLOOKUP($A136,[1]Hugst!$R$5:$W$9,MATCH(ROUNDUP((P$1)/10,0)*10,[1]Hugst!$R$4:$W$4,0))))</f>
        <v>1134.4707134716939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(IF(B137="Vestdanmark",Skovbrug!$C$22-(Skovbrug!$C$22)*(1-Skovbrug!$C$9)^(C137-Skovbrug!$B$12),Skovbrug!$F$22-(Skovbrug!$F$22)*(1-Skovbrug!$C$9)^(C137-Skovbrug!$B$12)))*VLOOKUP(A137,Skovbrug!$A$13:$D$17,IF('Skovbrug-alder'!C137&lt;=År2,3,4),FALSE)
-IF(C137&gt;2020,SUM(INDEX($C$1:$D$311,MATCH(1,(2020=$C$1:$C$311)*(B137=$B$1:$B$311)*(A137=$A$1:$A$311),0),2):D136),0)</f>
        <v>102.83798630187539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667.02975371130765</v>
      </c>
      <c r="G137" s="168">
        <f ca="1">IF($C137-G$1&lt;År1,0,F136*(1-VLOOKUP($A137,[1]Hugst!$R$5:$W$9,MATCH(ROUNDUP((G$1)/10,0)*10,[1]Hugst!$R$4:$W$4,0))))</f>
        <v>1129.1579735740872</v>
      </c>
      <c r="H137" s="168">
        <f ca="1">IF($C137-H$1&lt;År1,0,G136*(1-VLOOKUP($A137,[1]Hugst!$R$5:$W$9,MATCH(ROUNDUP((H$1)/10,0)*10,[1]Hugst!$R$4:$W$4,0))))</f>
        <v>1129.6773442278643</v>
      </c>
      <c r="I137" s="168">
        <f ca="1">IF($C137-I$1&lt;År1,0,H136*(1-VLOOKUP($A137,[1]Hugst!$R$5:$W$9,MATCH(ROUNDUP((I$1)/10,0)*10,[1]Hugst!$R$4:$W$4,0))))</f>
        <v>1130.1993247844275</v>
      </c>
      <c r="J137" s="168">
        <f ca="1">IF($C137-J$1&lt;År1,0,I136*(1-VLOOKUP($A137,[1]Hugst!$R$5:$W$9,MATCH(ROUNDUP((J$1)/10,0)*10,[1]Hugst!$R$4:$W$4,0))))</f>
        <v>1130.7239283588656</v>
      </c>
      <c r="K137" s="168">
        <f ca="1">IF($C137-K$1&lt;År1,0,J136*(1-VLOOKUP($A137,[1]Hugst!$R$5:$W$9,MATCH(ROUNDUP((K$1)/10,0)*10,[1]Hugst!$R$4:$W$4,0))))</f>
        <v>1131.2511681321687</v>
      </c>
      <c r="L137" s="168">
        <f ca="1">IF($C137-L$1&lt;År1,0,K136*(1-VLOOKUP($A137,[1]Hugst!$R$5:$W$9,MATCH(ROUNDUP((L$1)/10,0)*10,[1]Hugst!$R$4:$W$4,0))))</f>
        <v>1131.7810573515656</v>
      </c>
      <c r="M137" s="168">
        <f ca="1">IF($C137-M$1&lt;År1,0,L136*(1-VLOOKUP($A137,[1]Hugst!$R$5:$W$9,MATCH(ROUNDUP((M$1)/10,0)*10,[1]Hugst!$R$4:$W$4,0))))</f>
        <v>1132.3136093308624</v>
      </c>
      <c r="N137" s="168">
        <f ca="1">IF($C137-N$1&lt;År1,0,M136*(1-VLOOKUP($A137,[1]Hugst!$R$5:$W$9,MATCH(ROUNDUP((N$1)/10,0)*10,[1]Hugst!$R$4:$W$4,0))))</f>
        <v>1132.8488374507547</v>
      </c>
      <c r="O137" s="168">
        <f ca="1">IF($C137-O$1&lt;År1,0,N136*(1-VLOOKUP($A137,[1]Hugst!$R$5:$W$9,MATCH(ROUNDUP((O$1)/10,0)*10,[1]Hugst!$R$4:$W$4,0))))</f>
        <v>1133.3867551591973</v>
      </c>
      <c r="P137" s="168">
        <f ca="1">IF($C137-P$1&lt;År1,0,O136*(1-VLOOKUP($A137,[1]Hugst!$R$5:$W$9,MATCH(ROUNDUP((P$1)/10,0)*10,[1]Hugst!$R$4:$W$4,0))))</f>
        <v>1133.9273759716946</v>
      </c>
      <c r="Q137" s="168">
        <f ca="1">IF($C137-Q$1&lt;År1,0,P136*(1-VLOOKUP($A137,[1]Hugst!$R$5:$W$9,MATCH(ROUNDUP((Q$1)/10,0)*10,[1]Hugst!$R$4:$W$4,0))))</f>
        <v>1134.4707134716939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(IF(B138="Vestdanmark",Skovbrug!$C$22-(Skovbrug!$C$22)*(1-Skovbrug!$C$9)^(C138-Skovbrug!$B$12),Skovbrug!$F$22-(Skovbrug!$F$22)*(1-Skovbrug!$C$9)^(C138-Skovbrug!$B$12)))*VLOOKUP(A138,Skovbrug!$A$13:$D$17,IF('Skovbrug-alder'!C138&lt;=År2,3,4),FALSE)
-IF(C138&gt;2020,SUM(INDEX($C$1:$D$311,MATCH(1,(2020=$C$1:$C$311)*(B138=$B$1:$B$311)*(A138=$A$1:$A$311),0),2):D137),0)</f>
        <v>102.32379637036638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666.51556377979864</v>
      </c>
      <c r="G138" s="168">
        <f ca="1">IF($C138-G$1&lt;År1,0,F137*(1-VLOOKUP($A138,[1]Hugst!$R$5:$W$9,MATCH(ROUNDUP((G$1)/10,0)*10,[1]Hugst!$R$4:$W$4,0))))</f>
        <v>667.02975371130765</v>
      </c>
      <c r="H138" s="168">
        <f ca="1">IF($C138-H$1&lt;År1,0,G137*(1-VLOOKUP($A138,[1]Hugst!$R$5:$W$9,MATCH(ROUNDUP((H$1)/10,0)*10,[1]Hugst!$R$4:$W$4,0))))</f>
        <v>1129.1579735740872</v>
      </c>
      <c r="I138" s="168">
        <f ca="1">IF($C138-I$1&lt;År1,0,H137*(1-VLOOKUP($A138,[1]Hugst!$R$5:$W$9,MATCH(ROUNDUP((I$1)/10,0)*10,[1]Hugst!$R$4:$W$4,0))))</f>
        <v>1129.6773442278643</v>
      </c>
      <c r="J138" s="168">
        <f ca="1">IF($C138-J$1&lt;År1,0,I137*(1-VLOOKUP($A138,[1]Hugst!$R$5:$W$9,MATCH(ROUNDUP((J$1)/10,0)*10,[1]Hugst!$R$4:$W$4,0))))</f>
        <v>1130.1993247844275</v>
      </c>
      <c r="K138" s="168">
        <f ca="1">IF($C138-K$1&lt;År1,0,J137*(1-VLOOKUP($A138,[1]Hugst!$R$5:$W$9,MATCH(ROUNDUP((K$1)/10,0)*10,[1]Hugst!$R$4:$W$4,0))))</f>
        <v>1130.7239283588656</v>
      </c>
      <c r="L138" s="168">
        <f ca="1">IF($C138-L$1&lt;År1,0,K137*(1-VLOOKUP($A138,[1]Hugst!$R$5:$W$9,MATCH(ROUNDUP((L$1)/10,0)*10,[1]Hugst!$R$4:$W$4,0))))</f>
        <v>1131.2511681321687</v>
      </c>
      <c r="M138" s="168">
        <f ca="1">IF($C138-M$1&lt;År1,0,L137*(1-VLOOKUP($A138,[1]Hugst!$R$5:$W$9,MATCH(ROUNDUP((M$1)/10,0)*10,[1]Hugst!$R$4:$W$4,0))))</f>
        <v>1131.7810573515656</v>
      </c>
      <c r="N138" s="168">
        <f ca="1">IF($C138-N$1&lt;År1,0,M137*(1-VLOOKUP($A138,[1]Hugst!$R$5:$W$9,MATCH(ROUNDUP((N$1)/10,0)*10,[1]Hugst!$R$4:$W$4,0))))</f>
        <v>1132.3136093308624</v>
      </c>
      <c r="O138" s="168">
        <f ca="1">IF($C138-O$1&lt;År1,0,N137*(1-VLOOKUP($A138,[1]Hugst!$R$5:$W$9,MATCH(ROUNDUP((O$1)/10,0)*10,[1]Hugst!$R$4:$W$4,0))))</f>
        <v>1132.8488374507547</v>
      </c>
      <c r="P138" s="168">
        <f ca="1">IF($C138-P$1&lt;År1,0,O137*(1-VLOOKUP($A138,[1]Hugst!$R$5:$W$9,MATCH(ROUNDUP((P$1)/10,0)*10,[1]Hugst!$R$4:$W$4,0))))</f>
        <v>1133.3867551591973</v>
      </c>
      <c r="Q138" s="168">
        <f ca="1">IF($C138-Q$1&lt;År1,0,P137*(1-VLOOKUP($A138,[1]Hugst!$R$5:$W$9,MATCH(ROUNDUP((Q$1)/10,0)*10,[1]Hugst!$R$4:$W$4,0))))</f>
        <v>1133.9273759716946</v>
      </c>
      <c r="R138" s="168">
        <f ca="1">IF($C138-R$1&lt;År1,0,Q137*(1-VLOOKUP($A138,[1]Hugst!$R$5:$W$9,MATCH(ROUNDUP((R$1)/10,0)*10,[1]Hugst!$R$4:$W$4,0))))</f>
        <v>1134.4707134716939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(IF(B139="Vestdanmark",Skovbrug!$C$22-(Skovbrug!$C$22)*(1-Skovbrug!$C$9)^(C139-Skovbrug!$B$12),Skovbrug!$F$22-(Skovbrug!$F$22)*(1-Skovbrug!$C$9)^(C139-Skovbrug!$B$12)))*VLOOKUP(A139,Skovbrug!$A$13:$D$17,IF('Skovbrug-alder'!C139&lt;=År2,3,4),FALSE)
-IF(C139&gt;2020,SUM(INDEX($C$1:$D$311,MATCH(1,(2020=$C$1:$C$311)*(B139=$B$1:$B$311)*(A139=$A$1:$A$311),0),2):D138),0)</f>
        <v>101.81217738851547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666.00394479794772</v>
      </c>
      <c r="G139" s="168">
        <f ca="1">IF($C139-G$1&lt;År1,0,F138*(1-VLOOKUP($A139,[1]Hugst!$R$5:$W$9,MATCH(ROUNDUP((G$1)/10,0)*10,[1]Hugst!$R$4:$W$4,0))))</f>
        <v>666.51556377979864</v>
      </c>
      <c r="H139" s="168">
        <f ca="1">IF($C139-H$1&lt;År1,0,G138*(1-VLOOKUP($A139,[1]Hugst!$R$5:$W$9,MATCH(ROUNDUP((H$1)/10,0)*10,[1]Hugst!$R$4:$W$4,0))))</f>
        <v>667.02975371130765</v>
      </c>
      <c r="I139" s="168">
        <f ca="1">IF($C139-I$1&lt;År1,0,H138*(1-VLOOKUP($A139,[1]Hugst!$R$5:$W$9,MATCH(ROUNDUP((I$1)/10,0)*10,[1]Hugst!$R$4:$W$4,0))))</f>
        <v>1129.1579735740872</v>
      </c>
      <c r="J139" s="168">
        <f ca="1">IF($C139-J$1&lt;År1,0,I138*(1-VLOOKUP($A139,[1]Hugst!$R$5:$W$9,MATCH(ROUNDUP((J$1)/10,0)*10,[1]Hugst!$R$4:$W$4,0))))</f>
        <v>1129.6773442278643</v>
      </c>
      <c r="K139" s="168">
        <f ca="1">IF($C139-K$1&lt;År1,0,J138*(1-VLOOKUP($A139,[1]Hugst!$R$5:$W$9,MATCH(ROUNDUP((K$1)/10,0)*10,[1]Hugst!$R$4:$W$4,0))))</f>
        <v>1130.1993247844275</v>
      </c>
      <c r="L139" s="168">
        <f ca="1">IF($C139-L$1&lt;År1,0,K138*(1-VLOOKUP($A139,[1]Hugst!$R$5:$W$9,MATCH(ROUNDUP((L$1)/10,0)*10,[1]Hugst!$R$4:$W$4,0))))</f>
        <v>1130.7239283588656</v>
      </c>
      <c r="M139" s="168">
        <f ca="1">IF($C139-M$1&lt;År1,0,L138*(1-VLOOKUP($A139,[1]Hugst!$R$5:$W$9,MATCH(ROUNDUP((M$1)/10,0)*10,[1]Hugst!$R$4:$W$4,0))))</f>
        <v>1131.2511681321687</v>
      </c>
      <c r="N139" s="168">
        <f ca="1">IF($C139-N$1&lt;År1,0,M138*(1-VLOOKUP($A139,[1]Hugst!$R$5:$W$9,MATCH(ROUNDUP((N$1)/10,0)*10,[1]Hugst!$R$4:$W$4,0))))</f>
        <v>1131.7810573515656</v>
      </c>
      <c r="O139" s="168">
        <f ca="1">IF($C139-O$1&lt;År1,0,N138*(1-VLOOKUP($A139,[1]Hugst!$R$5:$W$9,MATCH(ROUNDUP((O$1)/10,0)*10,[1]Hugst!$R$4:$W$4,0))))</f>
        <v>1132.3136093308624</v>
      </c>
      <c r="P139" s="168">
        <f ca="1">IF($C139-P$1&lt;År1,0,O138*(1-VLOOKUP($A139,[1]Hugst!$R$5:$W$9,MATCH(ROUNDUP((P$1)/10,0)*10,[1]Hugst!$R$4:$W$4,0))))</f>
        <v>1132.8488374507547</v>
      </c>
      <c r="Q139" s="168">
        <f ca="1">IF($C139-Q$1&lt;År1,0,P138*(1-VLOOKUP($A139,[1]Hugst!$R$5:$W$9,MATCH(ROUNDUP((Q$1)/10,0)*10,[1]Hugst!$R$4:$W$4,0))))</f>
        <v>1133.3867551591973</v>
      </c>
      <c r="R139" s="168">
        <f ca="1">IF($C139-R$1&lt;År1,0,Q138*(1-VLOOKUP($A139,[1]Hugst!$R$5:$W$9,MATCH(ROUNDUP((R$1)/10,0)*10,[1]Hugst!$R$4:$W$4,0))))</f>
        <v>1133.9273759716946</v>
      </c>
      <c r="S139" s="168">
        <f ca="1">IF($C139-S$1&lt;År1,0,R138*(1-VLOOKUP($A139,[1]Hugst!$R$5:$W$9,MATCH(ROUNDUP((S$1)/10,0)*10,[1]Hugst!$R$4:$W$4,0))))</f>
        <v>1134.4707134716939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(IF(B140="Vestdanmark",Skovbrug!$C$22-(Skovbrug!$C$22)*(1-Skovbrug!$C$9)^(C140-Skovbrug!$B$12),Skovbrug!$F$22-(Skovbrug!$F$22)*(1-Skovbrug!$C$9)^(C140-Skovbrug!$B$12)))*VLOOKUP(A140,Skovbrug!$A$13:$D$17,IF('Skovbrug-alder'!C140&lt;=År2,3,4),FALSE)
-IF(C140&gt;2020,SUM(INDEX($C$1:$D$311,MATCH(1,(2020=$C$1:$C$311)*(B140=$B$1:$B$311)*(A140=$A$1:$A$311),0),2):D139),0)</f>
        <v>101.30311650157387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665.49488391100613</v>
      </c>
      <c r="G140" s="168">
        <f ca="1">IF($C140-G$1&lt;År1,0,F139*(1-VLOOKUP($A140,[1]Hugst!$R$5:$W$9,MATCH(ROUNDUP((G$1)/10,0)*10,[1]Hugst!$R$4:$W$4,0))))</f>
        <v>666.00394479794772</v>
      </c>
      <c r="H140" s="168">
        <f ca="1">IF($C140-H$1&lt;År1,0,G139*(1-VLOOKUP($A140,[1]Hugst!$R$5:$W$9,MATCH(ROUNDUP((H$1)/10,0)*10,[1]Hugst!$R$4:$W$4,0))))</f>
        <v>666.51556377979864</v>
      </c>
      <c r="I140" s="168">
        <f ca="1">IF($C140-I$1&lt;År1,0,H139*(1-VLOOKUP($A140,[1]Hugst!$R$5:$W$9,MATCH(ROUNDUP((I$1)/10,0)*10,[1]Hugst!$R$4:$W$4,0))))</f>
        <v>667.02975371130765</v>
      </c>
      <c r="J140" s="168">
        <f ca="1">IF($C140-J$1&lt;År1,0,I139*(1-VLOOKUP($A140,[1]Hugst!$R$5:$W$9,MATCH(ROUNDUP((J$1)/10,0)*10,[1]Hugst!$R$4:$W$4,0))))</f>
        <v>1129.1579735740872</v>
      </c>
      <c r="K140" s="168">
        <f ca="1">IF($C140-K$1&lt;År1,0,J139*(1-VLOOKUP($A140,[1]Hugst!$R$5:$W$9,MATCH(ROUNDUP((K$1)/10,0)*10,[1]Hugst!$R$4:$W$4,0))))</f>
        <v>1129.6773442278643</v>
      </c>
      <c r="L140" s="168">
        <f ca="1">IF($C140-L$1&lt;År1,0,K139*(1-VLOOKUP($A140,[1]Hugst!$R$5:$W$9,MATCH(ROUNDUP((L$1)/10,0)*10,[1]Hugst!$R$4:$W$4,0))))</f>
        <v>1130.1993247844275</v>
      </c>
      <c r="M140" s="168">
        <f ca="1">IF($C140-M$1&lt;År1,0,L139*(1-VLOOKUP($A140,[1]Hugst!$R$5:$W$9,MATCH(ROUNDUP((M$1)/10,0)*10,[1]Hugst!$R$4:$W$4,0))))</f>
        <v>1130.7239283588656</v>
      </c>
      <c r="N140" s="168">
        <f ca="1">IF($C140-N$1&lt;År1,0,M139*(1-VLOOKUP($A140,[1]Hugst!$R$5:$W$9,MATCH(ROUNDUP((N$1)/10,0)*10,[1]Hugst!$R$4:$W$4,0))))</f>
        <v>1131.2511681321687</v>
      </c>
      <c r="O140" s="168">
        <f ca="1">IF($C140-O$1&lt;År1,0,N139*(1-VLOOKUP($A140,[1]Hugst!$R$5:$W$9,MATCH(ROUNDUP((O$1)/10,0)*10,[1]Hugst!$R$4:$W$4,0))))</f>
        <v>1131.7810573515656</v>
      </c>
      <c r="P140" s="168">
        <f ca="1">IF($C140-P$1&lt;År1,0,O139*(1-VLOOKUP($A140,[1]Hugst!$R$5:$W$9,MATCH(ROUNDUP((P$1)/10,0)*10,[1]Hugst!$R$4:$W$4,0))))</f>
        <v>1132.3136093308624</v>
      </c>
      <c r="Q140" s="168">
        <f ca="1">IF($C140-Q$1&lt;År1,0,P139*(1-VLOOKUP($A140,[1]Hugst!$R$5:$W$9,MATCH(ROUNDUP((Q$1)/10,0)*10,[1]Hugst!$R$4:$W$4,0))))</f>
        <v>1132.8488374507547</v>
      </c>
      <c r="R140" s="168">
        <f ca="1">IF($C140-R$1&lt;År1,0,Q139*(1-VLOOKUP($A140,[1]Hugst!$R$5:$W$9,MATCH(ROUNDUP((R$1)/10,0)*10,[1]Hugst!$R$4:$W$4,0))))</f>
        <v>1133.3867551591973</v>
      </c>
      <c r="S140" s="168">
        <f ca="1">IF($C140-S$1&lt;År1,0,R139*(1-VLOOKUP($A140,[1]Hugst!$R$5:$W$9,MATCH(ROUNDUP((S$1)/10,0)*10,[1]Hugst!$R$4:$W$4,0))))</f>
        <v>1133.9273759716946</v>
      </c>
      <c r="T140" s="168">
        <f ca="1">IF($C140-T$1&lt;År1,0,S139*(1-VLOOKUP($A140,[1]Hugst!$R$5:$W$9,MATCH(ROUNDUP((T$1)/10,0)*10,[1]Hugst!$R$4:$W$4,0))))</f>
        <v>1134.4707134716939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(IF(B141="Vestdanmark",Skovbrug!$C$22-(Skovbrug!$C$22)*(1-Skovbrug!$C$9)^(C141-Skovbrug!$B$12),Skovbrug!$F$22-(Skovbrug!$F$22)*(1-Skovbrug!$C$9)^(C141-Skovbrug!$B$12)))*VLOOKUP(A141,Skovbrug!$A$13:$D$17,IF('Skovbrug-alder'!C141&lt;=År2,3,4),FALSE)
-IF(C141&gt;2020,SUM(INDEX($C$1:$D$311,MATCH(1,(2020=$C$1:$C$311)*(B141=$B$1:$B$311)*(A141=$A$1:$A$311),0),2):D140),0)</f>
        <v>100.79660091906567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664.98836832849793</v>
      </c>
      <c r="G141" s="168">
        <f ca="1">IF($C141-G$1&lt;År1,0,F140*(1-VLOOKUP($A141,[1]Hugst!$R$5:$W$9,MATCH(ROUNDUP((G$1)/10,0)*10,[1]Hugst!$R$4:$W$4,0))))</f>
        <v>665.49488391100613</v>
      </c>
      <c r="H141" s="168">
        <f ca="1">IF($C141-H$1&lt;År1,0,G140*(1-VLOOKUP($A141,[1]Hugst!$R$5:$W$9,MATCH(ROUNDUP((H$1)/10,0)*10,[1]Hugst!$R$4:$W$4,0))))</f>
        <v>666.00394479794772</v>
      </c>
      <c r="I141" s="168">
        <f ca="1">IF($C141-I$1&lt;År1,0,H140*(1-VLOOKUP($A141,[1]Hugst!$R$5:$W$9,MATCH(ROUNDUP((I$1)/10,0)*10,[1]Hugst!$R$4:$W$4,0))))</f>
        <v>666.51556377979864</v>
      </c>
      <c r="J141" s="168">
        <f ca="1">IF($C141-J$1&lt;År1,0,I140*(1-VLOOKUP($A141,[1]Hugst!$R$5:$W$9,MATCH(ROUNDUP((J$1)/10,0)*10,[1]Hugst!$R$4:$W$4,0))))</f>
        <v>667.02975371130765</v>
      </c>
      <c r="K141" s="168">
        <f ca="1">IF($C141-K$1&lt;År1,0,J140*(1-VLOOKUP($A141,[1]Hugst!$R$5:$W$9,MATCH(ROUNDUP((K$1)/10,0)*10,[1]Hugst!$R$4:$W$4,0))))</f>
        <v>1129.1579735740872</v>
      </c>
      <c r="L141" s="168">
        <f ca="1">IF($C141-L$1&lt;År1,0,K140*(1-VLOOKUP($A141,[1]Hugst!$R$5:$W$9,MATCH(ROUNDUP((L$1)/10,0)*10,[1]Hugst!$R$4:$W$4,0))))</f>
        <v>1129.6773442278643</v>
      </c>
      <c r="M141" s="168">
        <f ca="1">IF($C141-M$1&lt;År1,0,L140*(1-VLOOKUP($A141,[1]Hugst!$R$5:$W$9,MATCH(ROUNDUP((M$1)/10,0)*10,[1]Hugst!$R$4:$W$4,0))))</f>
        <v>1130.1993247844275</v>
      </c>
      <c r="N141" s="168">
        <f ca="1">IF($C141-N$1&lt;År1,0,M140*(1-VLOOKUP($A141,[1]Hugst!$R$5:$W$9,MATCH(ROUNDUP((N$1)/10,0)*10,[1]Hugst!$R$4:$W$4,0))))</f>
        <v>1130.7239283588656</v>
      </c>
      <c r="O141" s="168">
        <f ca="1">IF($C141-O$1&lt;År1,0,N140*(1-VLOOKUP($A141,[1]Hugst!$R$5:$W$9,MATCH(ROUNDUP((O$1)/10,0)*10,[1]Hugst!$R$4:$W$4,0))))</f>
        <v>1131.2511681321687</v>
      </c>
      <c r="P141" s="168">
        <f ca="1">IF($C141-P$1&lt;År1,0,O140*(1-VLOOKUP($A141,[1]Hugst!$R$5:$W$9,MATCH(ROUNDUP((P$1)/10,0)*10,[1]Hugst!$R$4:$W$4,0))))</f>
        <v>1131.7810573515656</v>
      </c>
      <c r="Q141" s="168">
        <f ca="1">IF($C141-Q$1&lt;År1,0,P140*(1-VLOOKUP($A141,[1]Hugst!$R$5:$W$9,MATCH(ROUNDUP((Q$1)/10,0)*10,[1]Hugst!$R$4:$W$4,0))))</f>
        <v>1132.3136093308624</v>
      </c>
      <c r="R141" s="168">
        <f ca="1">IF($C141-R$1&lt;År1,0,Q140*(1-VLOOKUP($A141,[1]Hugst!$R$5:$W$9,MATCH(ROUNDUP((R$1)/10,0)*10,[1]Hugst!$R$4:$W$4,0))))</f>
        <v>1132.8488374507547</v>
      </c>
      <c r="S141" s="168">
        <f ca="1">IF($C141-S$1&lt;År1,0,R140*(1-VLOOKUP($A141,[1]Hugst!$R$5:$W$9,MATCH(ROUNDUP((S$1)/10,0)*10,[1]Hugst!$R$4:$W$4,0))))</f>
        <v>1133.3867551591973</v>
      </c>
      <c r="T141" s="168">
        <f ca="1">IF($C141-T$1&lt;År1,0,S140*(1-VLOOKUP($A141,[1]Hugst!$R$5:$W$9,MATCH(ROUNDUP((T$1)/10,0)*10,[1]Hugst!$R$4:$W$4,0))))</f>
        <v>1133.9273759716946</v>
      </c>
      <c r="U141" s="168">
        <f ca="1">IF($C141-U$1&lt;År1,0,T140*(1-VLOOKUP($A141,[1]Hugst!$R$5:$W$9,MATCH(ROUNDUP((U$1)/10,0)*10,[1]Hugst!$R$4:$W$4,0))))</f>
        <v>1134.4707134716939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(IF(B142="Vestdanmark",Skovbrug!$C$22-(Skovbrug!$C$22)*(1-Skovbrug!$C$9)^(C142-Skovbrug!$B$12),Skovbrug!$F$22-(Skovbrug!$F$22)*(1-Skovbrug!$C$9)^(C142-Skovbrug!$B$12)))*VLOOKUP(A142,Skovbrug!$A$13:$D$17,IF('Skovbrug-alder'!C142&lt;=År2,3,4),FALSE)
-IF(C142&gt;2020,SUM(INDEX($C$1:$D$311,MATCH(1,(2020=$C$1:$C$311)*(B142=$B$1:$B$311)*(A142=$A$1:$A$311),0),2):D141),0)</f>
        <v>100.29261791447061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664.48438532390287</v>
      </c>
      <c r="G142" s="168">
        <f ca="1">IF($C142-G$1&lt;År1,0,F141*(1-VLOOKUP($A142,[1]Hugst!$R$5:$W$9,MATCH(ROUNDUP((G$1)/10,0)*10,[1]Hugst!$R$4:$W$4,0))))</f>
        <v>664.98836832849793</v>
      </c>
      <c r="H142" s="168">
        <f ca="1">IF($C142-H$1&lt;År1,0,G141*(1-VLOOKUP($A142,[1]Hugst!$R$5:$W$9,MATCH(ROUNDUP((H$1)/10,0)*10,[1]Hugst!$R$4:$W$4,0))))</f>
        <v>665.49488391100613</v>
      </c>
      <c r="I142" s="168">
        <f ca="1">IF($C142-I$1&lt;År1,0,H141*(1-VLOOKUP($A142,[1]Hugst!$R$5:$W$9,MATCH(ROUNDUP((I$1)/10,0)*10,[1]Hugst!$R$4:$W$4,0))))</f>
        <v>666.00394479794772</v>
      </c>
      <c r="J142" s="168">
        <f ca="1">IF($C142-J$1&lt;År1,0,I141*(1-VLOOKUP($A142,[1]Hugst!$R$5:$W$9,MATCH(ROUNDUP((J$1)/10,0)*10,[1]Hugst!$R$4:$W$4,0))))</f>
        <v>666.51556377979864</v>
      </c>
      <c r="K142" s="168">
        <f ca="1">IF($C142-K$1&lt;År1,0,J141*(1-VLOOKUP($A142,[1]Hugst!$R$5:$W$9,MATCH(ROUNDUP((K$1)/10,0)*10,[1]Hugst!$R$4:$W$4,0))))</f>
        <v>667.02975371130765</v>
      </c>
      <c r="L142" s="168">
        <f ca="1">IF($C142-L$1&lt;År1,0,K141*(1-VLOOKUP($A142,[1]Hugst!$R$5:$W$9,MATCH(ROUNDUP((L$1)/10,0)*10,[1]Hugst!$R$4:$W$4,0))))</f>
        <v>1129.1579735740872</v>
      </c>
      <c r="M142" s="168">
        <f ca="1">IF($C142-M$1&lt;År1,0,L141*(1-VLOOKUP($A142,[1]Hugst!$R$5:$W$9,MATCH(ROUNDUP((M$1)/10,0)*10,[1]Hugst!$R$4:$W$4,0))))</f>
        <v>1129.6773442278643</v>
      </c>
      <c r="N142" s="168">
        <f ca="1">IF($C142-N$1&lt;År1,0,M141*(1-VLOOKUP($A142,[1]Hugst!$R$5:$W$9,MATCH(ROUNDUP((N$1)/10,0)*10,[1]Hugst!$R$4:$W$4,0))))</f>
        <v>1130.1993247844275</v>
      </c>
      <c r="O142" s="168">
        <f ca="1">IF($C142-O$1&lt;År1,0,N141*(1-VLOOKUP($A142,[1]Hugst!$R$5:$W$9,MATCH(ROUNDUP((O$1)/10,0)*10,[1]Hugst!$R$4:$W$4,0))))</f>
        <v>1130.7239283588656</v>
      </c>
      <c r="P142" s="168">
        <f ca="1">IF($C142-P$1&lt;År1,0,O141*(1-VLOOKUP($A142,[1]Hugst!$R$5:$W$9,MATCH(ROUNDUP((P$1)/10,0)*10,[1]Hugst!$R$4:$W$4,0))))</f>
        <v>1131.2511681321687</v>
      </c>
      <c r="Q142" s="168">
        <f ca="1">IF($C142-Q$1&lt;År1,0,P141*(1-VLOOKUP($A142,[1]Hugst!$R$5:$W$9,MATCH(ROUNDUP((Q$1)/10,0)*10,[1]Hugst!$R$4:$W$4,0))))</f>
        <v>1131.7810573515656</v>
      </c>
      <c r="R142" s="168">
        <f ca="1">IF($C142-R$1&lt;År1,0,Q141*(1-VLOOKUP($A142,[1]Hugst!$R$5:$W$9,MATCH(ROUNDUP((R$1)/10,0)*10,[1]Hugst!$R$4:$W$4,0))))</f>
        <v>1132.3136093308624</v>
      </c>
      <c r="S142" s="168">
        <f ca="1">IF($C142-S$1&lt;År1,0,R141*(1-VLOOKUP($A142,[1]Hugst!$R$5:$W$9,MATCH(ROUNDUP((S$1)/10,0)*10,[1]Hugst!$R$4:$W$4,0))))</f>
        <v>1132.8488374507547</v>
      </c>
      <c r="T142" s="168">
        <f ca="1">IF($C142-T$1&lt;År1,0,S141*(1-VLOOKUP($A142,[1]Hugst!$R$5:$W$9,MATCH(ROUNDUP((T$1)/10,0)*10,[1]Hugst!$R$4:$W$4,0))))</f>
        <v>1133.3867551591973</v>
      </c>
      <c r="U142" s="168">
        <f ca="1">IF($C142-U$1&lt;År1,0,T141*(1-VLOOKUP($A142,[1]Hugst!$R$5:$W$9,MATCH(ROUNDUP((U$1)/10,0)*10,[1]Hugst!$R$4:$W$4,0))))</f>
        <v>1133.9273759716946</v>
      </c>
      <c r="V142" s="168">
        <f ca="1">IF($C142-V$1&lt;År1,0,U141*(1-VLOOKUP($A142,[1]Hugst!$R$5:$W$9,MATCH(ROUNDUP((V$1)/10,0)*10,[1]Hugst!$R$4:$W$4,0))))</f>
        <v>1134.4707134716939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(IF(B143="Vestdanmark",Skovbrug!$C$22-(Skovbrug!$C$22)*(1-Skovbrug!$C$9)^(C143-Skovbrug!$B$12),Skovbrug!$F$22-(Skovbrug!$F$22)*(1-Skovbrug!$C$9)^(C143-Skovbrug!$B$12)))*VLOOKUP(A143,Skovbrug!$A$13:$D$17,IF('Skovbrug-alder'!C143&lt;=År2,3,4),FALSE)
-IF(C143&gt;2020,SUM(INDEX($C$1:$D$311,MATCH(1,(2020=$C$1:$C$311)*(B143=$B$1:$B$311)*(A143=$A$1:$A$311),0),2):D142),0)</f>
        <v>99.791154824898513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663.98292223433077</v>
      </c>
      <c r="G143" s="168">
        <f ca="1">IF($C143-G$1&lt;År1,0,F142*(1-VLOOKUP($A143,[1]Hugst!$R$5:$W$9,MATCH(ROUNDUP((G$1)/10,0)*10,[1]Hugst!$R$4:$W$4,0))))</f>
        <v>664.48438532390287</v>
      </c>
      <c r="H143" s="168">
        <f ca="1">IF($C143-H$1&lt;År1,0,G142*(1-VLOOKUP($A143,[1]Hugst!$R$5:$W$9,MATCH(ROUNDUP((H$1)/10,0)*10,[1]Hugst!$R$4:$W$4,0))))</f>
        <v>664.98836832849793</v>
      </c>
      <c r="I143" s="168">
        <f ca="1">IF($C143-I$1&lt;År1,0,H142*(1-VLOOKUP($A143,[1]Hugst!$R$5:$W$9,MATCH(ROUNDUP((I$1)/10,0)*10,[1]Hugst!$R$4:$W$4,0))))</f>
        <v>665.49488391100613</v>
      </c>
      <c r="J143" s="168">
        <f ca="1">IF($C143-J$1&lt;År1,0,I142*(1-VLOOKUP($A143,[1]Hugst!$R$5:$W$9,MATCH(ROUNDUP((J$1)/10,0)*10,[1]Hugst!$R$4:$W$4,0))))</f>
        <v>666.00394479794772</v>
      </c>
      <c r="K143" s="168">
        <f ca="1">IF($C143-K$1&lt;År1,0,J142*(1-VLOOKUP($A143,[1]Hugst!$R$5:$W$9,MATCH(ROUNDUP((K$1)/10,0)*10,[1]Hugst!$R$4:$W$4,0))))</f>
        <v>666.51556377979864</v>
      </c>
      <c r="L143" s="168">
        <f ca="1">IF($C143-L$1&lt;År1,0,K142*(1-VLOOKUP($A143,[1]Hugst!$R$5:$W$9,MATCH(ROUNDUP((L$1)/10,0)*10,[1]Hugst!$R$4:$W$4,0))))</f>
        <v>667.02975371130765</v>
      </c>
      <c r="M143" s="168">
        <f ca="1">IF($C143-M$1&lt;År1,0,L142*(1-VLOOKUP($A143,[1]Hugst!$R$5:$W$9,MATCH(ROUNDUP((M$1)/10,0)*10,[1]Hugst!$R$4:$W$4,0))))</f>
        <v>1129.1579735740872</v>
      </c>
      <c r="N143" s="168">
        <f ca="1">IF($C143-N$1&lt;År1,0,M142*(1-VLOOKUP($A143,[1]Hugst!$R$5:$W$9,MATCH(ROUNDUP((N$1)/10,0)*10,[1]Hugst!$R$4:$W$4,0))))</f>
        <v>1129.6773442278643</v>
      </c>
      <c r="O143" s="168">
        <f ca="1">IF($C143-O$1&lt;År1,0,N142*(1-VLOOKUP($A143,[1]Hugst!$R$5:$W$9,MATCH(ROUNDUP((O$1)/10,0)*10,[1]Hugst!$R$4:$W$4,0))))</f>
        <v>1130.1993247844275</v>
      </c>
      <c r="P143" s="168">
        <f ca="1">IF($C143-P$1&lt;År1,0,O142*(1-VLOOKUP($A143,[1]Hugst!$R$5:$W$9,MATCH(ROUNDUP((P$1)/10,0)*10,[1]Hugst!$R$4:$W$4,0))))</f>
        <v>1130.7239283588656</v>
      </c>
      <c r="Q143" s="168">
        <f ca="1">IF($C143-Q$1&lt;År1,0,P142*(1-VLOOKUP($A143,[1]Hugst!$R$5:$W$9,MATCH(ROUNDUP((Q$1)/10,0)*10,[1]Hugst!$R$4:$W$4,0))))</f>
        <v>1131.2511681321687</v>
      </c>
      <c r="R143" s="168">
        <f ca="1">IF($C143-R$1&lt;År1,0,Q142*(1-VLOOKUP($A143,[1]Hugst!$R$5:$W$9,MATCH(ROUNDUP((R$1)/10,0)*10,[1]Hugst!$R$4:$W$4,0))))</f>
        <v>1131.7810573515656</v>
      </c>
      <c r="S143" s="168">
        <f ca="1">IF($C143-S$1&lt;År1,0,R142*(1-VLOOKUP($A143,[1]Hugst!$R$5:$W$9,MATCH(ROUNDUP((S$1)/10,0)*10,[1]Hugst!$R$4:$W$4,0))))</f>
        <v>1132.3136093308624</v>
      </c>
      <c r="T143" s="168">
        <f ca="1">IF($C143-T$1&lt;År1,0,S142*(1-VLOOKUP($A143,[1]Hugst!$R$5:$W$9,MATCH(ROUNDUP((T$1)/10,0)*10,[1]Hugst!$R$4:$W$4,0))))</f>
        <v>1132.8488374507547</v>
      </c>
      <c r="U143" s="168">
        <f ca="1">IF($C143-U$1&lt;År1,0,T142*(1-VLOOKUP($A143,[1]Hugst!$R$5:$W$9,MATCH(ROUNDUP((U$1)/10,0)*10,[1]Hugst!$R$4:$W$4,0))))</f>
        <v>1133.3867551591973</v>
      </c>
      <c r="V143" s="168">
        <f ca="1">IF($C143-V$1&lt;År1,0,U142*(1-VLOOKUP($A143,[1]Hugst!$R$5:$W$9,MATCH(ROUNDUP((V$1)/10,0)*10,[1]Hugst!$R$4:$W$4,0))))</f>
        <v>1133.9273759716946</v>
      </c>
      <c r="W143" s="168">
        <f ca="1">IF($C143-W$1&lt;År1,0,V142*(1-VLOOKUP($A143,[1]Hugst!$R$5:$W$9,MATCH(ROUNDUP((W$1)/10,0)*10,[1]Hugst!$R$4:$W$4,0))))</f>
        <v>1134.4707134716939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(IF(B144="Vestdanmark",Skovbrug!$C$22-(Skovbrug!$C$22)*(1-Skovbrug!$C$9)^(C144-Skovbrug!$B$12),Skovbrug!$F$22-(Skovbrug!$F$22)*(1-Skovbrug!$C$9)^(C144-Skovbrug!$B$12)))*VLOOKUP(A144,Skovbrug!$A$13:$D$17,IF('Skovbrug-alder'!C144&lt;=År2,3,4),FALSE)
-IF(C144&gt;2020,SUM(INDEX($C$1:$D$311,MATCH(1,(2020=$C$1:$C$311)*(B144=$B$1:$B$311)*(A144=$A$1:$A$311),0),2):D143),0)</f>
        <v>99.292199050774798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663.48396646020706</v>
      </c>
      <c r="G144" s="168">
        <f ca="1">IF($C144-G$1&lt;År1,0,F143*(1-VLOOKUP($A144,[1]Hugst!$R$5:$W$9,MATCH(ROUNDUP((G$1)/10,0)*10,[1]Hugst!$R$4:$W$4,0))))</f>
        <v>663.98292223433077</v>
      </c>
      <c r="H144" s="168">
        <f ca="1">IF($C144-H$1&lt;År1,0,G143*(1-VLOOKUP($A144,[1]Hugst!$R$5:$W$9,MATCH(ROUNDUP((H$1)/10,0)*10,[1]Hugst!$R$4:$W$4,0))))</f>
        <v>664.48438532390287</v>
      </c>
      <c r="I144" s="168">
        <f ca="1">IF($C144-I$1&lt;År1,0,H143*(1-VLOOKUP($A144,[1]Hugst!$R$5:$W$9,MATCH(ROUNDUP((I$1)/10,0)*10,[1]Hugst!$R$4:$W$4,0))))</f>
        <v>664.98836832849793</v>
      </c>
      <c r="J144" s="168">
        <f ca="1">IF($C144-J$1&lt;År1,0,I143*(1-VLOOKUP($A144,[1]Hugst!$R$5:$W$9,MATCH(ROUNDUP((J$1)/10,0)*10,[1]Hugst!$R$4:$W$4,0))))</f>
        <v>665.49488391100613</v>
      </c>
      <c r="K144" s="168">
        <f ca="1">IF($C144-K$1&lt;År1,0,J143*(1-VLOOKUP($A144,[1]Hugst!$R$5:$W$9,MATCH(ROUNDUP((K$1)/10,0)*10,[1]Hugst!$R$4:$W$4,0))))</f>
        <v>666.00394479794772</v>
      </c>
      <c r="L144" s="168">
        <f ca="1">IF($C144-L$1&lt;År1,0,K143*(1-VLOOKUP($A144,[1]Hugst!$R$5:$W$9,MATCH(ROUNDUP((L$1)/10,0)*10,[1]Hugst!$R$4:$W$4,0))))</f>
        <v>666.51556377979864</v>
      </c>
      <c r="M144" s="168">
        <f ca="1">IF($C144-M$1&lt;År1,0,L143*(1-VLOOKUP($A144,[1]Hugst!$R$5:$W$9,MATCH(ROUNDUP((M$1)/10,0)*10,[1]Hugst!$R$4:$W$4,0))))</f>
        <v>667.02975371130765</v>
      </c>
      <c r="N144" s="168">
        <f ca="1">IF($C144-N$1&lt;År1,0,M143*(1-VLOOKUP($A144,[1]Hugst!$R$5:$W$9,MATCH(ROUNDUP((N$1)/10,0)*10,[1]Hugst!$R$4:$W$4,0))))</f>
        <v>1129.1579735740872</v>
      </c>
      <c r="O144" s="168">
        <f ca="1">IF($C144-O$1&lt;År1,0,N143*(1-VLOOKUP($A144,[1]Hugst!$R$5:$W$9,MATCH(ROUNDUP((O$1)/10,0)*10,[1]Hugst!$R$4:$W$4,0))))</f>
        <v>1129.6773442278643</v>
      </c>
      <c r="P144" s="168">
        <f ca="1">IF($C144-P$1&lt;År1,0,O143*(1-VLOOKUP($A144,[1]Hugst!$R$5:$W$9,MATCH(ROUNDUP((P$1)/10,0)*10,[1]Hugst!$R$4:$W$4,0))))</f>
        <v>1130.1993247844275</v>
      </c>
      <c r="Q144" s="168">
        <f ca="1">IF($C144-Q$1&lt;År1,0,P143*(1-VLOOKUP($A144,[1]Hugst!$R$5:$W$9,MATCH(ROUNDUP((Q$1)/10,0)*10,[1]Hugst!$R$4:$W$4,0))))</f>
        <v>1130.7239283588656</v>
      </c>
      <c r="R144" s="168">
        <f ca="1">IF($C144-R$1&lt;År1,0,Q143*(1-VLOOKUP($A144,[1]Hugst!$R$5:$W$9,MATCH(ROUNDUP((R$1)/10,0)*10,[1]Hugst!$R$4:$W$4,0))))</f>
        <v>1131.2511681321687</v>
      </c>
      <c r="S144" s="168">
        <f ca="1">IF($C144-S$1&lt;År1,0,R143*(1-VLOOKUP($A144,[1]Hugst!$R$5:$W$9,MATCH(ROUNDUP((S$1)/10,0)*10,[1]Hugst!$R$4:$W$4,0))))</f>
        <v>1131.7810573515656</v>
      </c>
      <c r="T144" s="168">
        <f ca="1">IF($C144-T$1&lt;År1,0,S143*(1-VLOOKUP($A144,[1]Hugst!$R$5:$W$9,MATCH(ROUNDUP((T$1)/10,0)*10,[1]Hugst!$R$4:$W$4,0))))</f>
        <v>1132.3136093308624</v>
      </c>
      <c r="U144" s="168">
        <f ca="1">IF($C144-U$1&lt;År1,0,T143*(1-VLOOKUP($A144,[1]Hugst!$R$5:$W$9,MATCH(ROUNDUP((U$1)/10,0)*10,[1]Hugst!$R$4:$W$4,0))))</f>
        <v>1132.8488374507547</v>
      </c>
      <c r="V144" s="168">
        <f ca="1">IF($C144-V$1&lt;År1,0,U143*(1-VLOOKUP($A144,[1]Hugst!$R$5:$W$9,MATCH(ROUNDUP((V$1)/10,0)*10,[1]Hugst!$R$4:$W$4,0))))</f>
        <v>1133.3867551591973</v>
      </c>
      <c r="W144" s="168">
        <f ca="1">IF($C144-W$1&lt;År1,0,V143*(1-VLOOKUP($A144,[1]Hugst!$R$5:$W$9,MATCH(ROUNDUP((W$1)/10,0)*10,[1]Hugst!$R$4:$W$4,0))))</f>
        <v>1133.9273759716946</v>
      </c>
      <c r="X144" s="168">
        <f ca="1">IF($C144-X$1&lt;År1,0,W143*(1-VLOOKUP($A144,[1]Hugst!$R$5:$W$9,MATCH(ROUNDUP((X$1)/10,0)*10,[1]Hugst!$R$4:$W$4,0))))</f>
        <v>1134.4707134716939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(IF(B145="Vestdanmark",Skovbrug!$C$22-(Skovbrug!$C$22)*(1-Skovbrug!$C$9)^(C145-Skovbrug!$B$12),Skovbrug!$F$22-(Skovbrug!$F$22)*(1-Skovbrug!$C$9)^(C145-Skovbrug!$B$12)))*VLOOKUP(A145,Skovbrug!$A$13:$D$17,IF('Skovbrug-alder'!C145&lt;=År2,3,4),FALSE)
-IF(C145&gt;2020,SUM(INDEX($C$1:$D$311,MATCH(1,(2020=$C$1:$C$311)*(B145=$B$1:$B$311)*(A145=$A$1:$A$311),0),2):D144),0)</f>
        <v>98.795738055516267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662.98750546494853</v>
      </c>
      <c r="G145" s="168">
        <f ca="1">IF($C145-G$1&lt;År1,0,F144*(1-VLOOKUP($A145,[1]Hugst!$R$5:$W$9,MATCH(ROUNDUP((G$1)/10,0)*10,[1]Hugst!$R$4:$W$4,0))))</f>
        <v>663.48396646020706</v>
      </c>
      <c r="H145" s="168">
        <f ca="1">IF($C145-H$1&lt;År1,0,G144*(1-VLOOKUP($A145,[1]Hugst!$R$5:$W$9,MATCH(ROUNDUP((H$1)/10,0)*10,[1]Hugst!$R$4:$W$4,0))))</f>
        <v>663.98292223433077</v>
      </c>
      <c r="I145" s="168">
        <f ca="1">IF($C145-I$1&lt;År1,0,H144*(1-VLOOKUP($A145,[1]Hugst!$R$5:$W$9,MATCH(ROUNDUP((I$1)/10,0)*10,[1]Hugst!$R$4:$W$4,0))))</f>
        <v>664.48438532390287</v>
      </c>
      <c r="J145" s="168">
        <f ca="1">IF($C145-J$1&lt;År1,0,I144*(1-VLOOKUP($A145,[1]Hugst!$R$5:$W$9,MATCH(ROUNDUP((J$1)/10,0)*10,[1]Hugst!$R$4:$W$4,0))))</f>
        <v>664.98836832849793</v>
      </c>
      <c r="K145" s="168">
        <f ca="1">IF($C145-K$1&lt;År1,0,J144*(1-VLOOKUP($A145,[1]Hugst!$R$5:$W$9,MATCH(ROUNDUP((K$1)/10,0)*10,[1]Hugst!$R$4:$W$4,0))))</f>
        <v>665.49488391100613</v>
      </c>
      <c r="L145" s="168">
        <f ca="1">IF($C145-L$1&lt;År1,0,K144*(1-VLOOKUP($A145,[1]Hugst!$R$5:$W$9,MATCH(ROUNDUP((L$1)/10,0)*10,[1]Hugst!$R$4:$W$4,0))))</f>
        <v>666.00394479794772</v>
      </c>
      <c r="M145" s="168">
        <f ca="1">IF($C145-M$1&lt;År1,0,L144*(1-VLOOKUP($A145,[1]Hugst!$R$5:$W$9,MATCH(ROUNDUP((M$1)/10,0)*10,[1]Hugst!$R$4:$W$4,0))))</f>
        <v>666.51556377979864</v>
      </c>
      <c r="N145" s="168">
        <f ca="1">IF($C145-N$1&lt;År1,0,M144*(1-VLOOKUP($A145,[1]Hugst!$R$5:$W$9,MATCH(ROUNDUP((N$1)/10,0)*10,[1]Hugst!$R$4:$W$4,0))))</f>
        <v>667.02975371130765</v>
      </c>
      <c r="O145" s="168">
        <f ca="1">IF($C145-O$1&lt;År1,0,N144*(1-VLOOKUP($A145,[1]Hugst!$R$5:$W$9,MATCH(ROUNDUP((O$1)/10,0)*10,[1]Hugst!$R$4:$W$4,0))))</f>
        <v>1129.1579735740872</v>
      </c>
      <c r="P145" s="168">
        <f ca="1">IF($C145-P$1&lt;År1,0,O144*(1-VLOOKUP($A145,[1]Hugst!$R$5:$W$9,MATCH(ROUNDUP((P$1)/10,0)*10,[1]Hugst!$R$4:$W$4,0))))</f>
        <v>1129.6773442278643</v>
      </c>
      <c r="Q145" s="168">
        <f ca="1">IF($C145-Q$1&lt;År1,0,P144*(1-VLOOKUP($A145,[1]Hugst!$R$5:$W$9,MATCH(ROUNDUP((Q$1)/10,0)*10,[1]Hugst!$R$4:$W$4,0))))</f>
        <v>1130.1993247844275</v>
      </c>
      <c r="R145" s="168">
        <f ca="1">IF($C145-R$1&lt;År1,0,Q144*(1-VLOOKUP($A145,[1]Hugst!$R$5:$W$9,MATCH(ROUNDUP((R$1)/10,0)*10,[1]Hugst!$R$4:$W$4,0))))</f>
        <v>1130.7239283588656</v>
      </c>
      <c r="S145" s="168">
        <f ca="1">IF($C145-S$1&lt;År1,0,R144*(1-VLOOKUP($A145,[1]Hugst!$R$5:$W$9,MATCH(ROUNDUP((S$1)/10,0)*10,[1]Hugst!$R$4:$W$4,0))))</f>
        <v>1131.2511681321687</v>
      </c>
      <c r="T145" s="168">
        <f ca="1">IF($C145-T$1&lt;År1,0,S144*(1-VLOOKUP($A145,[1]Hugst!$R$5:$W$9,MATCH(ROUNDUP((T$1)/10,0)*10,[1]Hugst!$R$4:$W$4,0))))</f>
        <v>1131.7810573515656</v>
      </c>
      <c r="U145" s="168">
        <f ca="1">IF($C145-U$1&lt;År1,0,T144*(1-VLOOKUP($A145,[1]Hugst!$R$5:$W$9,MATCH(ROUNDUP((U$1)/10,0)*10,[1]Hugst!$R$4:$W$4,0))))</f>
        <v>1132.3136093308624</v>
      </c>
      <c r="V145" s="168">
        <f ca="1">IF($C145-V$1&lt;År1,0,U144*(1-VLOOKUP($A145,[1]Hugst!$R$5:$W$9,MATCH(ROUNDUP((V$1)/10,0)*10,[1]Hugst!$R$4:$W$4,0))))</f>
        <v>1132.8488374507547</v>
      </c>
      <c r="W145" s="168">
        <f ca="1">IF($C145-W$1&lt;År1,0,V144*(1-VLOOKUP($A145,[1]Hugst!$R$5:$W$9,MATCH(ROUNDUP((W$1)/10,0)*10,[1]Hugst!$R$4:$W$4,0))))</f>
        <v>1133.3867551591973</v>
      </c>
      <c r="X145" s="168">
        <f ca="1">IF($C145-X$1&lt;År1,0,W144*(1-VLOOKUP($A145,[1]Hugst!$R$5:$W$9,MATCH(ROUNDUP((X$1)/10,0)*10,[1]Hugst!$R$4:$W$4,0))))</f>
        <v>1133.9273759716946</v>
      </c>
      <c r="Y145" s="168">
        <f ca="1">IF($C145-Y$1&lt;År1,0,X144*(1-VLOOKUP($A145,[1]Hugst!$R$5:$W$9,MATCH(ROUNDUP((Y$1)/10,0)*10,[1]Hugst!$R$4:$W$4,0))))</f>
        <v>1134.4707134716939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(IF(B146="Vestdanmark",Skovbrug!$C$22-(Skovbrug!$C$22)*(1-Skovbrug!$C$9)^(C146-Skovbrug!$B$12),Skovbrug!$F$22-(Skovbrug!$F$22)*(1-Skovbrug!$C$9)^(C146-Skovbrug!$B$12)))*VLOOKUP(A146,Skovbrug!$A$13:$D$17,IF('Skovbrug-alder'!C146&lt;=År2,3,4),FALSE)
-IF(C146&gt;2020,SUM(INDEX($C$1:$D$311,MATCH(1,(2020=$C$1:$C$311)*(B146=$B$1:$B$311)*(A146=$A$1:$A$311),0),2):D145),0)</f>
        <v>98.301759365241651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662.49352677467391</v>
      </c>
      <c r="G146" s="168">
        <f ca="1">IF($C146-G$1&lt;År1,0,F145*(1-VLOOKUP($A146,[1]Hugst!$R$5:$W$9,MATCH(ROUNDUP((G$1)/10,0)*10,[1]Hugst!$R$4:$W$4,0))))</f>
        <v>662.98750546494853</v>
      </c>
      <c r="H146" s="168">
        <f ca="1">IF($C146-H$1&lt;År1,0,G145*(1-VLOOKUP($A146,[1]Hugst!$R$5:$W$9,MATCH(ROUNDUP((H$1)/10,0)*10,[1]Hugst!$R$4:$W$4,0))))</f>
        <v>663.48396646020706</v>
      </c>
      <c r="I146" s="168">
        <f ca="1">IF($C146-I$1&lt;År1,0,H145*(1-VLOOKUP($A146,[1]Hugst!$R$5:$W$9,MATCH(ROUNDUP((I$1)/10,0)*10,[1]Hugst!$R$4:$W$4,0))))</f>
        <v>663.98292223433077</v>
      </c>
      <c r="J146" s="168">
        <f ca="1">IF($C146-J$1&lt;År1,0,I145*(1-VLOOKUP($A146,[1]Hugst!$R$5:$W$9,MATCH(ROUNDUP((J$1)/10,0)*10,[1]Hugst!$R$4:$W$4,0))))</f>
        <v>664.48438532390287</v>
      </c>
      <c r="K146" s="168">
        <f ca="1">IF($C146-K$1&lt;År1,0,J145*(1-VLOOKUP($A146,[1]Hugst!$R$5:$W$9,MATCH(ROUNDUP((K$1)/10,0)*10,[1]Hugst!$R$4:$W$4,0))))</f>
        <v>664.98836832849793</v>
      </c>
      <c r="L146" s="168">
        <f ca="1">IF($C146-L$1&lt;År1,0,K145*(1-VLOOKUP($A146,[1]Hugst!$R$5:$W$9,MATCH(ROUNDUP((L$1)/10,0)*10,[1]Hugst!$R$4:$W$4,0))))</f>
        <v>665.49488391100613</v>
      </c>
      <c r="M146" s="168">
        <f ca="1">IF($C146-M$1&lt;År1,0,L145*(1-VLOOKUP($A146,[1]Hugst!$R$5:$W$9,MATCH(ROUNDUP((M$1)/10,0)*10,[1]Hugst!$R$4:$W$4,0))))</f>
        <v>666.00394479794772</v>
      </c>
      <c r="N146" s="168">
        <f ca="1">IF($C146-N$1&lt;År1,0,M145*(1-VLOOKUP($A146,[1]Hugst!$R$5:$W$9,MATCH(ROUNDUP((N$1)/10,0)*10,[1]Hugst!$R$4:$W$4,0))))</f>
        <v>666.51556377979864</v>
      </c>
      <c r="O146" s="168">
        <f ca="1">IF($C146-O$1&lt;År1,0,N145*(1-VLOOKUP($A146,[1]Hugst!$R$5:$W$9,MATCH(ROUNDUP((O$1)/10,0)*10,[1]Hugst!$R$4:$W$4,0))))</f>
        <v>667.02975371130765</v>
      </c>
      <c r="P146" s="168">
        <f ca="1">IF($C146-P$1&lt;År1,0,O145*(1-VLOOKUP($A146,[1]Hugst!$R$5:$W$9,MATCH(ROUNDUP((P$1)/10,0)*10,[1]Hugst!$R$4:$W$4,0))))</f>
        <v>1129.1579735740872</v>
      </c>
      <c r="Q146" s="168">
        <f ca="1">IF($C146-Q$1&lt;År1,0,P145*(1-VLOOKUP($A146,[1]Hugst!$R$5:$W$9,MATCH(ROUNDUP((Q$1)/10,0)*10,[1]Hugst!$R$4:$W$4,0))))</f>
        <v>1129.6773442278643</v>
      </c>
      <c r="R146" s="168">
        <f ca="1">IF($C146-R$1&lt;År1,0,Q145*(1-VLOOKUP($A146,[1]Hugst!$R$5:$W$9,MATCH(ROUNDUP((R$1)/10,0)*10,[1]Hugst!$R$4:$W$4,0))))</f>
        <v>1130.1993247844275</v>
      </c>
      <c r="S146" s="168">
        <f ca="1">IF($C146-S$1&lt;År1,0,R145*(1-VLOOKUP($A146,[1]Hugst!$R$5:$W$9,MATCH(ROUNDUP((S$1)/10,0)*10,[1]Hugst!$R$4:$W$4,0))))</f>
        <v>1130.7239283588656</v>
      </c>
      <c r="T146" s="168">
        <f ca="1">IF($C146-T$1&lt;År1,0,S145*(1-VLOOKUP($A146,[1]Hugst!$R$5:$W$9,MATCH(ROUNDUP((T$1)/10,0)*10,[1]Hugst!$R$4:$W$4,0))))</f>
        <v>1131.2511681321687</v>
      </c>
      <c r="U146" s="168">
        <f ca="1">IF($C146-U$1&lt;År1,0,T145*(1-VLOOKUP($A146,[1]Hugst!$R$5:$W$9,MATCH(ROUNDUP((U$1)/10,0)*10,[1]Hugst!$R$4:$W$4,0))))</f>
        <v>1131.7810573515656</v>
      </c>
      <c r="V146" s="168">
        <f ca="1">IF($C146-V$1&lt;År1,0,U145*(1-VLOOKUP($A146,[1]Hugst!$R$5:$W$9,MATCH(ROUNDUP((V$1)/10,0)*10,[1]Hugst!$R$4:$W$4,0))))</f>
        <v>1132.3136093308624</v>
      </c>
      <c r="W146" s="168">
        <f ca="1">IF($C146-W$1&lt;År1,0,V145*(1-VLOOKUP($A146,[1]Hugst!$R$5:$W$9,MATCH(ROUNDUP((W$1)/10,0)*10,[1]Hugst!$R$4:$W$4,0))))</f>
        <v>1132.8488374507547</v>
      </c>
      <c r="X146" s="168">
        <f ca="1">IF($C146-X$1&lt;År1,0,W145*(1-VLOOKUP($A146,[1]Hugst!$R$5:$W$9,MATCH(ROUNDUP((X$1)/10,0)*10,[1]Hugst!$R$4:$W$4,0))))</f>
        <v>1133.3867551591973</v>
      </c>
      <c r="Y146" s="168">
        <f ca="1">IF($C146-Y$1&lt;År1,0,X145*(1-VLOOKUP($A146,[1]Hugst!$R$5:$W$9,MATCH(ROUNDUP((Y$1)/10,0)*10,[1]Hugst!$R$4:$W$4,0))))</f>
        <v>1133.9273759716946</v>
      </c>
      <c r="Z146" s="168">
        <f ca="1">IF($C146-Z$1&lt;År1,0,Y145*(1-VLOOKUP($A146,[1]Hugst!$R$5:$W$9,MATCH(ROUNDUP((Z$1)/10,0)*10,[1]Hugst!$R$4:$W$4,0))))</f>
        <v>1134.4707134716939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(IF(B147="Vestdanmark",Skovbrug!$C$22-(Skovbrug!$C$22)*(1-Skovbrug!$C$9)^(C147-Skovbrug!$B$12),Skovbrug!$F$22-(Skovbrug!$F$22)*(1-Skovbrug!$C$9)^(C147-Skovbrug!$B$12)))*VLOOKUP(A147,Skovbrug!$A$13:$D$17,IF('Skovbrug-alder'!C147&lt;=År2,3,4),FALSE)
-IF(C147&gt;2020,SUM(INDEX($C$1:$D$311,MATCH(1,(2020=$C$1:$C$311)*(B147=$B$1:$B$311)*(A147=$A$1:$A$311),0),2):D146),0)</f>
        <v>97.81025056841645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662.00201797784871</v>
      </c>
      <c r="G147" s="168">
        <f ca="1">IF($C147-G$1&lt;År1,0,F146*(1-VLOOKUP($A147,[1]Hugst!$R$5:$W$9,MATCH(ROUNDUP((G$1)/10,0)*10,[1]Hugst!$R$4:$W$4,0))))</f>
        <v>662.49352677467391</v>
      </c>
      <c r="H147" s="168">
        <f ca="1">IF($C147-H$1&lt;År1,0,G146*(1-VLOOKUP($A147,[1]Hugst!$R$5:$W$9,MATCH(ROUNDUP((H$1)/10,0)*10,[1]Hugst!$R$4:$W$4,0))))</f>
        <v>662.98750546494853</v>
      </c>
      <c r="I147" s="168">
        <f ca="1">IF($C147-I$1&lt;År1,0,H146*(1-VLOOKUP($A147,[1]Hugst!$R$5:$W$9,MATCH(ROUNDUP((I$1)/10,0)*10,[1]Hugst!$R$4:$W$4,0))))</f>
        <v>663.48396646020706</v>
      </c>
      <c r="J147" s="168">
        <f ca="1">IF($C147-J$1&lt;År1,0,I146*(1-VLOOKUP($A147,[1]Hugst!$R$5:$W$9,MATCH(ROUNDUP((J$1)/10,0)*10,[1]Hugst!$R$4:$W$4,0))))</f>
        <v>663.98292223433077</v>
      </c>
      <c r="K147" s="168">
        <f ca="1">IF($C147-K$1&lt;År1,0,J146*(1-VLOOKUP($A147,[1]Hugst!$R$5:$W$9,MATCH(ROUNDUP((K$1)/10,0)*10,[1]Hugst!$R$4:$W$4,0))))</f>
        <v>664.48438532390287</v>
      </c>
      <c r="L147" s="168">
        <f ca="1">IF($C147-L$1&lt;År1,0,K146*(1-VLOOKUP($A147,[1]Hugst!$R$5:$W$9,MATCH(ROUNDUP((L$1)/10,0)*10,[1]Hugst!$R$4:$W$4,0))))</f>
        <v>664.98836832849793</v>
      </c>
      <c r="M147" s="168">
        <f ca="1">IF($C147-M$1&lt;År1,0,L146*(1-VLOOKUP($A147,[1]Hugst!$R$5:$W$9,MATCH(ROUNDUP((M$1)/10,0)*10,[1]Hugst!$R$4:$W$4,0))))</f>
        <v>665.49488391100613</v>
      </c>
      <c r="N147" s="168">
        <f ca="1">IF($C147-N$1&lt;År1,0,M146*(1-VLOOKUP($A147,[1]Hugst!$R$5:$W$9,MATCH(ROUNDUP((N$1)/10,0)*10,[1]Hugst!$R$4:$W$4,0))))</f>
        <v>666.00394479794772</v>
      </c>
      <c r="O147" s="168">
        <f ca="1">IF($C147-O$1&lt;År1,0,N146*(1-VLOOKUP($A147,[1]Hugst!$R$5:$W$9,MATCH(ROUNDUP((O$1)/10,0)*10,[1]Hugst!$R$4:$W$4,0))))</f>
        <v>666.51556377979864</v>
      </c>
      <c r="P147" s="168">
        <f ca="1">IF($C147-P$1&lt;År1,0,O146*(1-VLOOKUP($A147,[1]Hugst!$R$5:$W$9,MATCH(ROUNDUP((P$1)/10,0)*10,[1]Hugst!$R$4:$W$4,0))))</f>
        <v>667.02975371130765</v>
      </c>
      <c r="Q147" s="168">
        <f ca="1">IF($C147-Q$1&lt;År1,0,P146*(1-VLOOKUP($A147,[1]Hugst!$R$5:$W$9,MATCH(ROUNDUP((Q$1)/10,0)*10,[1]Hugst!$R$4:$W$4,0))))</f>
        <v>1129.1579735740872</v>
      </c>
      <c r="R147" s="168">
        <f ca="1">IF($C147-R$1&lt;År1,0,Q146*(1-VLOOKUP($A147,[1]Hugst!$R$5:$W$9,MATCH(ROUNDUP((R$1)/10,0)*10,[1]Hugst!$R$4:$W$4,0))))</f>
        <v>1129.6773442278643</v>
      </c>
      <c r="S147" s="168">
        <f ca="1">IF($C147-S$1&lt;År1,0,R146*(1-VLOOKUP($A147,[1]Hugst!$R$5:$W$9,MATCH(ROUNDUP((S$1)/10,0)*10,[1]Hugst!$R$4:$W$4,0))))</f>
        <v>1130.1993247844275</v>
      </c>
      <c r="T147" s="168">
        <f ca="1">IF($C147-T$1&lt;År1,0,S146*(1-VLOOKUP($A147,[1]Hugst!$R$5:$W$9,MATCH(ROUNDUP((T$1)/10,0)*10,[1]Hugst!$R$4:$W$4,0))))</f>
        <v>1130.7239283588656</v>
      </c>
      <c r="U147" s="168">
        <f ca="1">IF($C147-U$1&lt;År1,0,T146*(1-VLOOKUP($A147,[1]Hugst!$R$5:$W$9,MATCH(ROUNDUP((U$1)/10,0)*10,[1]Hugst!$R$4:$W$4,0))))</f>
        <v>1131.2511681321687</v>
      </c>
      <c r="V147" s="168">
        <f ca="1">IF($C147-V$1&lt;År1,0,U146*(1-VLOOKUP($A147,[1]Hugst!$R$5:$W$9,MATCH(ROUNDUP((V$1)/10,0)*10,[1]Hugst!$R$4:$W$4,0))))</f>
        <v>1131.7810573515656</v>
      </c>
      <c r="W147" s="168">
        <f ca="1">IF($C147-W$1&lt;År1,0,V146*(1-VLOOKUP($A147,[1]Hugst!$R$5:$W$9,MATCH(ROUNDUP((W$1)/10,0)*10,[1]Hugst!$R$4:$W$4,0))))</f>
        <v>1132.3136093308624</v>
      </c>
      <c r="X147" s="168">
        <f ca="1">IF($C147-X$1&lt;År1,0,W146*(1-VLOOKUP($A147,[1]Hugst!$R$5:$W$9,MATCH(ROUNDUP((X$1)/10,0)*10,[1]Hugst!$R$4:$W$4,0))))</f>
        <v>1132.8488374507547</v>
      </c>
      <c r="Y147" s="168">
        <f ca="1">IF($C147-Y$1&lt;År1,0,X146*(1-VLOOKUP($A147,[1]Hugst!$R$5:$W$9,MATCH(ROUNDUP((Y$1)/10,0)*10,[1]Hugst!$R$4:$W$4,0))))</f>
        <v>1133.3867551591973</v>
      </c>
      <c r="Z147" s="168">
        <f ca="1">IF($C147-Z$1&lt;År1,0,Y146*(1-VLOOKUP($A147,[1]Hugst!$R$5:$W$9,MATCH(ROUNDUP((Z$1)/10,0)*10,[1]Hugst!$R$4:$W$4,0))))</f>
        <v>1133.9273759716946</v>
      </c>
      <c r="AA147" s="168">
        <f ca="1">IF($C147-AA$1&lt;År1,0,Z146*(1-VLOOKUP($A147,[1]Hugst!$R$5:$W$9,MATCH(ROUNDUP((AA$1)/10,0)*10,[1]Hugst!$R$4:$W$4,0))))</f>
        <v>1134.4707134716939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(IF(B148="Vestdanmark",Skovbrug!$C$22-(Skovbrug!$C$22)*(1-Skovbrug!$C$9)^(C148-Skovbrug!$B$12),Skovbrug!$F$22-(Skovbrug!$F$22)*(1-Skovbrug!$C$9)^(C148-Skovbrug!$B$12)))*VLOOKUP(A148,Skovbrug!$A$13:$D$17,IF('Skovbrug-alder'!C148&lt;=År2,3,4),FALSE)
-IF(C148&gt;2020,SUM(INDEX($C$1:$D$311,MATCH(1,(2020=$C$1:$C$311)*(B148=$B$1:$B$311)*(A148=$A$1:$A$311),0),2):D147),0)</f>
        <v>97.32119931557645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661.51296672500871</v>
      </c>
      <c r="G148" s="168">
        <f ca="1">IF($C148-G$1&lt;År1,0,F147*(1-VLOOKUP($A148,[1]Hugst!$R$5:$W$9,MATCH(ROUNDUP((G$1)/10,0)*10,[1]Hugst!$R$4:$W$4,0))))</f>
        <v>662.00201797784871</v>
      </c>
      <c r="H148" s="168">
        <f ca="1">IF($C148-H$1&lt;År1,0,G147*(1-VLOOKUP($A148,[1]Hugst!$R$5:$W$9,MATCH(ROUNDUP((H$1)/10,0)*10,[1]Hugst!$R$4:$W$4,0))))</f>
        <v>662.49352677467391</v>
      </c>
      <c r="I148" s="168">
        <f ca="1">IF($C148-I$1&lt;År1,0,H147*(1-VLOOKUP($A148,[1]Hugst!$R$5:$W$9,MATCH(ROUNDUP((I$1)/10,0)*10,[1]Hugst!$R$4:$W$4,0))))</f>
        <v>662.98750546494853</v>
      </c>
      <c r="J148" s="168">
        <f ca="1">IF($C148-J$1&lt;År1,0,I147*(1-VLOOKUP($A148,[1]Hugst!$R$5:$W$9,MATCH(ROUNDUP((J$1)/10,0)*10,[1]Hugst!$R$4:$W$4,0))))</f>
        <v>663.48396646020706</v>
      </c>
      <c r="K148" s="168">
        <f ca="1">IF($C148-K$1&lt;År1,0,J147*(1-VLOOKUP($A148,[1]Hugst!$R$5:$W$9,MATCH(ROUNDUP((K$1)/10,0)*10,[1]Hugst!$R$4:$W$4,0))))</f>
        <v>663.98292223433077</v>
      </c>
      <c r="L148" s="168">
        <f ca="1">IF($C148-L$1&lt;År1,0,K147*(1-VLOOKUP($A148,[1]Hugst!$R$5:$W$9,MATCH(ROUNDUP((L$1)/10,0)*10,[1]Hugst!$R$4:$W$4,0))))</f>
        <v>664.48438532390287</v>
      </c>
      <c r="M148" s="168">
        <f ca="1">IF($C148-M$1&lt;År1,0,L147*(1-VLOOKUP($A148,[1]Hugst!$R$5:$W$9,MATCH(ROUNDUP((M$1)/10,0)*10,[1]Hugst!$R$4:$W$4,0))))</f>
        <v>664.98836832849793</v>
      </c>
      <c r="N148" s="168">
        <f ca="1">IF($C148-N$1&lt;År1,0,M147*(1-VLOOKUP($A148,[1]Hugst!$R$5:$W$9,MATCH(ROUNDUP((N$1)/10,0)*10,[1]Hugst!$R$4:$W$4,0))))</f>
        <v>665.49488391100613</v>
      </c>
      <c r="O148" s="168">
        <f ca="1">IF($C148-O$1&lt;År1,0,N147*(1-VLOOKUP($A148,[1]Hugst!$R$5:$W$9,MATCH(ROUNDUP((O$1)/10,0)*10,[1]Hugst!$R$4:$W$4,0))))</f>
        <v>666.00394479794772</v>
      </c>
      <c r="P148" s="168">
        <f ca="1">IF($C148-P$1&lt;År1,0,O147*(1-VLOOKUP($A148,[1]Hugst!$R$5:$W$9,MATCH(ROUNDUP((P$1)/10,0)*10,[1]Hugst!$R$4:$W$4,0))))</f>
        <v>666.51556377979864</v>
      </c>
      <c r="Q148" s="168">
        <f ca="1">IF($C148-Q$1&lt;År1,0,P147*(1-VLOOKUP($A148,[1]Hugst!$R$5:$W$9,MATCH(ROUNDUP((Q$1)/10,0)*10,[1]Hugst!$R$4:$W$4,0))))</f>
        <v>667.02975371130765</v>
      </c>
      <c r="R148" s="168">
        <f ca="1">IF($C148-R$1&lt;År1,0,Q147*(1-VLOOKUP($A148,[1]Hugst!$R$5:$W$9,MATCH(ROUNDUP((R$1)/10,0)*10,[1]Hugst!$R$4:$W$4,0))))</f>
        <v>1129.1579735740872</v>
      </c>
      <c r="S148" s="168">
        <f ca="1">IF($C148-S$1&lt;År1,0,R147*(1-VLOOKUP($A148,[1]Hugst!$R$5:$W$9,MATCH(ROUNDUP((S$1)/10,0)*10,[1]Hugst!$R$4:$W$4,0))))</f>
        <v>1129.6773442278643</v>
      </c>
      <c r="T148" s="168">
        <f ca="1">IF($C148-T$1&lt;År1,0,S147*(1-VLOOKUP($A148,[1]Hugst!$R$5:$W$9,MATCH(ROUNDUP((T$1)/10,0)*10,[1]Hugst!$R$4:$W$4,0))))</f>
        <v>1130.1993247844275</v>
      </c>
      <c r="U148" s="168">
        <f ca="1">IF($C148-U$1&lt;År1,0,T147*(1-VLOOKUP($A148,[1]Hugst!$R$5:$W$9,MATCH(ROUNDUP((U$1)/10,0)*10,[1]Hugst!$R$4:$W$4,0))))</f>
        <v>1130.7239283588656</v>
      </c>
      <c r="V148" s="168">
        <f ca="1">IF($C148-V$1&lt;År1,0,U147*(1-VLOOKUP($A148,[1]Hugst!$R$5:$W$9,MATCH(ROUNDUP((V$1)/10,0)*10,[1]Hugst!$R$4:$W$4,0))))</f>
        <v>1131.2511681321687</v>
      </c>
      <c r="W148" s="168">
        <f ca="1">IF($C148-W$1&lt;År1,0,V147*(1-VLOOKUP($A148,[1]Hugst!$R$5:$W$9,MATCH(ROUNDUP((W$1)/10,0)*10,[1]Hugst!$R$4:$W$4,0))))</f>
        <v>1131.7810573515656</v>
      </c>
      <c r="X148" s="168">
        <f ca="1">IF($C148-X$1&lt;År1,0,W147*(1-VLOOKUP($A148,[1]Hugst!$R$5:$W$9,MATCH(ROUNDUP((X$1)/10,0)*10,[1]Hugst!$R$4:$W$4,0))))</f>
        <v>1132.3136093308624</v>
      </c>
      <c r="Y148" s="168">
        <f ca="1">IF($C148-Y$1&lt;År1,0,X147*(1-VLOOKUP($A148,[1]Hugst!$R$5:$W$9,MATCH(ROUNDUP((Y$1)/10,0)*10,[1]Hugst!$R$4:$W$4,0))))</f>
        <v>1132.8488374507547</v>
      </c>
      <c r="Z148" s="168">
        <f ca="1">IF($C148-Z$1&lt;År1,0,Y147*(1-VLOOKUP($A148,[1]Hugst!$R$5:$W$9,MATCH(ROUNDUP((Z$1)/10,0)*10,[1]Hugst!$R$4:$W$4,0))))</f>
        <v>1133.3867551591973</v>
      </c>
      <c r="AA148" s="168">
        <f ca="1">IF($C148-AA$1&lt;År1,0,Z147*(1-VLOOKUP($A148,[1]Hugst!$R$5:$W$9,MATCH(ROUNDUP((AA$1)/10,0)*10,[1]Hugst!$R$4:$W$4,0))))</f>
        <v>1133.9273759716946</v>
      </c>
      <c r="AB148" s="168">
        <f ca="1">IF($C148-AB$1&lt;År1,0,AA147*(1-VLOOKUP($A148,[1]Hugst!$R$5:$W$9,MATCH(ROUNDUP((AB$1)/10,0)*10,[1]Hugst!$R$4:$W$4,0))))</f>
        <v>1134.4707134716939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(IF(B149="Vestdanmark",Skovbrug!$C$22-(Skovbrug!$C$22)*(1-Skovbrug!$C$9)^(C149-Skovbrug!$B$12),Skovbrug!$F$22-(Skovbrug!$F$22)*(1-Skovbrug!$C$9)^(C149-Skovbrug!$B$12)))*VLOOKUP(A149,Skovbrug!$A$13:$D$17,IF('Skovbrug-alder'!C149&lt;=År2,3,4),FALSE)
-IF(C149&gt;2020,SUM(INDEX($C$1:$D$311,MATCH(1,(2020=$C$1:$C$311)*(B149=$B$1:$B$311)*(A149=$A$1:$A$311),0),2):D148),0)</f>
        <v>96.834593318993939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661.0263607284262</v>
      </c>
      <c r="G149" s="168">
        <f ca="1">IF($C149-G$1&lt;År1,0,F148*(1-VLOOKUP($A149,[1]Hugst!$R$5:$W$9,MATCH(ROUNDUP((G$1)/10,0)*10,[1]Hugst!$R$4:$W$4,0))))</f>
        <v>661.51296672500871</v>
      </c>
      <c r="H149" s="168">
        <f ca="1">IF($C149-H$1&lt;År1,0,G148*(1-VLOOKUP($A149,[1]Hugst!$R$5:$W$9,MATCH(ROUNDUP((H$1)/10,0)*10,[1]Hugst!$R$4:$W$4,0))))</f>
        <v>662.00201797784871</v>
      </c>
      <c r="I149" s="168">
        <f ca="1">IF($C149-I$1&lt;År1,0,H148*(1-VLOOKUP($A149,[1]Hugst!$R$5:$W$9,MATCH(ROUNDUP((I$1)/10,0)*10,[1]Hugst!$R$4:$W$4,0))))</f>
        <v>662.49352677467391</v>
      </c>
      <c r="J149" s="168">
        <f ca="1">IF($C149-J$1&lt;År1,0,I148*(1-VLOOKUP($A149,[1]Hugst!$R$5:$W$9,MATCH(ROUNDUP((J$1)/10,0)*10,[1]Hugst!$R$4:$W$4,0))))</f>
        <v>662.98750546494853</v>
      </c>
      <c r="K149" s="168">
        <f ca="1">IF($C149-K$1&lt;År1,0,J148*(1-VLOOKUP($A149,[1]Hugst!$R$5:$W$9,MATCH(ROUNDUP((K$1)/10,0)*10,[1]Hugst!$R$4:$W$4,0))))</f>
        <v>663.48396646020706</v>
      </c>
      <c r="L149" s="168">
        <f ca="1">IF($C149-L$1&lt;År1,0,K148*(1-VLOOKUP($A149,[1]Hugst!$R$5:$W$9,MATCH(ROUNDUP((L$1)/10,0)*10,[1]Hugst!$R$4:$W$4,0))))</f>
        <v>663.98292223433077</v>
      </c>
      <c r="M149" s="168">
        <f ca="1">IF($C149-M$1&lt;År1,0,L148*(1-VLOOKUP($A149,[1]Hugst!$R$5:$W$9,MATCH(ROUNDUP((M$1)/10,0)*10,[1]Hugst!$R$4:$W$4,0))))</f>
        <v>664.48438532390287</v>
      </c>
      <c r="N149" s="168">
        <f ca="1">IF($C149-N$1&lt;År1,0,M148*(1-VLOOKUP($A149,[1]Hugst!$R$5:$W$9,MATCH(ROUNDUP((N$1)/10,0)*10,[1]Hugst!$R$4:$W$4,0))))</f>
        <v>664.98836832849793</v>
      </c>
      <c r="O149" s="168">
        <f ca="1">IF($C149-O$1&lt;År1,0,N148*(1-VLOOKUP($A149,[1]Hugst!$R$5:$W$9,MATCH(ROUNDUP((O$1)/10,0)*10,[1]Hugst!$R$4:$W$4,0))))</f>
        <v>665.49488391100613</v>
      </c>
      <c r="P149" s="168">
        <f ca="1">IF($C149-P$1&lt;År1,0,O148*(1-VLOOKUP($A149,[1]Hugst!$R$5:$W$9,MATCH(ROUNDUP((P$1)/10,0)*10,[1]Hugst!$R$4:$W$4,0))))</f>
        <v>666.00394479794772</v>
      </c>
      <c r="Q149" s="168">
        <f ca="1">IF($C149-Q$1&lt;År1,0,P148*(1-VLOOKUP($A149,[1]Hugst!$R$5:$W$9,MATCH(ROUNDUP((Q$1)/10,0)*10,[1]Hugst!$R$4:$W$4,0))))</f>
        <v>666.51556377979864</v>
      </c>
      <c r="R149" s="168">
        <f ca="1">IF($C149-R$1&lt;År1,0,Q148*(1-VLOOKUP($A149,[1]Hugst!$R$5:$W$9,MATCH(ROUNDUP((R$1)/10,0)*10,[1]Hugst!$R$4:$W$4,0))))</f>
        <v>667.02975371130765</v>
      </c>
      <c r="S149" s="168">
        <f ca="1">IF($C149-S$1&lt;År1,0,R148*(1-VLOOKUP($A149,[1]Hugst!$R$5:$W$9,MATCH(ROUNDUP((S$1)/10,0)*10,[1]Hugst!$R$4:$W$4,0))))</f>
        <v>1129.1579735740872</v>
      </c>
      <c r="T149" s="168">
        <f ca="1">IF($C149-T$1&lt;År1,0,S148*(1-VLOOKUP($A149,[1]Hugst!$R$5:$W$9,MATCH(ROUNDUP((T$1)/10,0)*10,[1]Hugst!$R$4:$W$4,0))))</f>
        <v>1129.6773442278643</v>
      </c>
      <c r="U149" s="168">
        <f ca="1">IF($C149-U$1&lt;År1,0,T148*(1-VLOOKUP($A149,[1]Hugst!$R$5:$W$9,MATCH(ROUNDUP((U$1)/10,0)*10,[1]Hugst!$R$4:$W$4,0))))</f>
        <v>1130.1993247844275</v>
      </c>
      <c r="V149" s="168">
        <f ca="1">IF($C149-V$1&lt;År1,0,U148*(1-VLOOKUP($A149,[1]Hugst!$R$5:$W$9,MATCH(ROUNDUP((V$1)/10,0)*10,[1]Hugst!$R$4:$W$4,0))))</f>
        <v>1130.7239283588656</v>
      </c>
      <c r="W149" s="168">
        <f ca="1">IF($C149-W$1&lt;År1,0,V148*(1-VLOOKUP($A149,[1]Hugst!$R$5:$W$9,MATCH(ROUNDUP((W$1)/10,0)*10,[1]Hugst!$R$4:$W$4,0))))</f>
        <v>1131.2511681321687</v>
      </c>
      <c r="X149" s="168">
        <f ca="1">IF($C149-X$1&lt;År1,0,W148*(1-VLOOKUP($A149,[1]Hugst!$R$5:$W$9,MATCH(ROUNDUP((X$1)/10,0)*10,[1]Hugst!$R$4:$W$4,0))))</f>
        <v>1131.7810573515656</v>
      </c>
      <c r="Y149" s="168">
        <f ca="1">IF($C149-Y$1&lt;År1,0,X148*(1-VLOOKUP($A149,[1]Hugst!$R$5:$W$9,MATCH(ROUNDUP((Y$1)/10,0)*10,[1]Hugst!$R$4:$W$4,0))))</f>
        <v>1132.3136093308624</v>
      </c>
      <c r="Z149" s="168">
        <f ca="1">IF($C149-Z$1&lt;År1,0,Y148*(1-VLOOKUP($A149,[1]Hugst!$R$5:$W$9,MATCH(ROUNDUP((Z$1)/10,0)*10,[1]Hugst!$R$4:$W$4,0))))</f>
        <v>1132.8488374507547</v>
      </c>
      <c r="AA149" s="168">
        <f ca="1">IF($C149-AA$1&lt;År1,0,Z148*(1-VLOOKUP($A149,[1]Hugst!$R$5:$W$9,MATCH(ROUNDUP((AA$1)/10,0)*10,[1]Hugst!$R$4:$W$4,0))))</f>
        <v>1133.3867551591973</v>
      </c>
      <c r="AB149" s="168">
        <f ca="1">IF($C149-AB$1&lt;År1,0,AA148*(1-VLOOKUP($A149,[1]Hugst!$R$5:$W$9,MATCH(ROUNDUP((AB$1)/10,0)*10,[1]Hugst!$R$4:$W$4,0))))</f>
        <v>1133.9273759716946</v>
      </c>
      <c r="AC149" s="168">
        <f ca="1">IF($C149-AC$1&lt;År1,0,AB148*(1-VLOOKUP($A149,[1]Hugst!$R$5:$W$9,MATCH(ROUNDUP((AC$1)/10,0)*10,[1]Hugst!$R$4:$W$4,0))))</f>
        <v>1134.4707134716939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(IF(B150="Vestdanmark",Skovbrug!$C$22-(Skovbrug!$C$22)*(1-Skovbrug!$C$9)^(C150-Skovbrug!$B$12),Skovbrug!$F$22-(Skovbrug!$F$22)*(1-Skovbrug!$C$9)^(C150-Skovbrug!$B$12)))*VLOOKUP(A150,Skovbrug!$A$13:$D$17,IF('Skovbrug-alder'!C150&lt;=År2,3,4),FALSE)
-IF(C150&gt;2020,SUM(INDEX($C$1:$D$311,MATCH(1,(2020=$C$1:$C$311)*(B150=$B$1:$B$311)*(A150=$A$1:$A$311),0),2):D149),0)</f>
        <v>96.350420352400306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660.54218776183257</v>
      </c>
      <c r="G150" s="168">
        <f ca="1">IF($C150-G$1&lt;År1,0,F149*(1-VLOOKUP($A150,[1]Hugst!$R$5:$W$9,MATCH(ROUNDUP((G$1)/10,0)*10,[1]Hugst!$R$4:$W$4,0))))</f>
        <v>661.0263607284262</v>
      </c>
      <c r="H150" s="168">
        <f ca="1">IF($C150-H$1&lt;År1,0,G149*(1-VLOOKUP($A150,[1]Hugst!$R$5:$W$9,MATCH(ROUNDUP((H$1)/10,0)*10,[1]Hugst!$R$4:$W$4,0))))</f>
        <v>661.51296672500871</v>
      </c>
      <c r="I150" s="168">
        <f ca="1">IF($C150-I$1&lt;År1,0,H149*(1-VLOOKUP($A150,[1]Hugst!$R$5:$W$9,MATCH(ROUNDUP((I$1)/10,0)*10,[1]Hugst!$R$4:$W$4,0))))</f>
        <v>662.00201797784871</v>
      </c>
      <c r="J150" s="168">
        <f ca="1">IF($C150-J$1&lt;År1,0,I149*(1-VLOOKUP($A150,[1]Hugst!$R$5:$W$9,MATCH(ROUNDUP((J$1)/10,0)*10,[1]Hugst!$R$4:$W$4,0))))</f>
        <v>662.49352677467391</v>
      </c>
      <c r="K150" s="168">
        <f ca="1">IF($C150-K$1&lt;År1,0,J149*(1-VLOOKUP($A150,[1]Hugst!$R$5:$W$9,MATCH(ROUNDUP((K$1)/10,0)*10,[1]Hugst!$R$4:$W$4,0))))</f>
        <v>662.98750546494853</v>
      </c>
      <c r="L150" s="168">
        <f ca="1">IF($C150-L$1&lt;År1,0,K149*(1-VLOOKUP($A150,[1]Hugst!$R$5:$W$9,MATCH(ROUNDUP((L$1)/10,0)*10,[1]Hugst!$R$4:$W$4,0))))</f>
        <v>663.48396646020706</v>
      </c>
      <c r="M150" s="168">
        <f ca="1">IF($C150-M$1&lt;År1,0,L149*(1-VLOOKUP($A150,[1]Hugst!$R$5:$W$9,MATCH(ROUNDUP((M$1)/10,0)*10,[1]Hugst!$R$4:$W$4,0))))</f>
        <v>663.98292223433077</v>
      </c>
      <c r="N150" s="168">
        <f ca="1">IF($C150-N$1&lt;År1,0,M149*(1-VLOOKUP($A150,[1]Hugst!$R$5:$W$9,MATCH(ROUNDUP((N$1)/10,0)*10,[1]Hugst!$R$4:$W$4,0))))</f>
        <v>664.48438532390287</v>
      </c>
      <c r="O150" s="168">
        <f ca="1">IF($C150-O$1&lt;År1,0,N149*(1-VLOOKUP($A150,[1]Hugst!$R$5:$W$9,MATCH(ROUNDUP((O$1)/10,0)*10,[1]Hugst!$R$4:$W$4,0))))</f>
        <v>664.98836832849793</v>
      </c>
      <c r="P150" s="168">
        <f ca="1">IF($C150-P$1&lt;År1,0,O149*(1-VLOOKUP($A150,[1]Hugst!$R$5:$W$9,MATCH(ROUNDUP((P$1)/10,0)*10,[1]Hugst!$R$4:$W$4,0))))</f>
        <v>665.49488391100613</v>
      </c>
      <c r="Q150" s="168">
        <f ca="1">IF($C150-Q$1&lt;År1,0,P149*(1-VLOOKUP($A150,[1]Hugst!$R$5:$W$9,MATCH(ROUNDUP((Q$1)/10,0)*10,[1]Hugst!$R$4:$W$4,0))))</f>
        <v>666.00394479794772</v>
      </c>
      <c r="R150" s="168">
        <f ca="1">IF($C150-R$1&lt;År1,0,Q149*(1-VLOOKUP($A150,[1]Hugst!$R$5:$W$9,MATCH(ROUNDUP((R$1)/10,0)*10,[1]Hugst!$R$4:$W$4,0))))</f>
        <v>666.51556377979864</v>
      </c>
      <c r="S150" s="168">
        <f ca="1">IF($C150-S$1&lt;År1,0,R149*(1-VLOOKUP($A150,[1]Hugst!$R$5:$W$9,MATCH(ROUNDUP((S$1)/10,0)*10,[1]Hugst!$R$4:$W$4,0))))</f>
        <v>667.02975371130765</v>
      </c>
      <c r="T150" s="168">
        <f ca="1">IF($C150-T$1&lt;År1,0,S149*(1-VLOOKUP($A150,[1]Hugst!$R$5:$W$9,MATCH(ROUNDUP((T$1)/10,0)*10,[1]Hugst!$R$4:$W$4,0))))</f>
        <v>1129.1579735740872</v>
      </c>
      <c r="U150" s="168">
        <f ca="1">IF($C150-U$1&lt;År1,0,T149*(1-VLOOKUP($A150,[1]Hugst!$R$5:$W$9,MATCH(ROUNDUP((U$1)/10,0)*10,[1]Hugst!$R$4:$W$4,0))))</f>
        <v>1129.6773442278643</v>
      </c>
      <c r="V150" s="168">
        <f ca="1">IF($C150-V$1&lt;År1,0,U149*(1-VLOOKUP($A150,[1]Hugst!$R$5:$W$9,MATCH(ROUNDUP((V$1)/10,0)*10,[1]Hugst!$R$4:$W$4,0))))</f>
        <v>1130.1993247844275</v>
      </c>
      <c r="W150" s="168">
        <f ca="1">IF($C150-W$1&lt;År1,0,V149*(1-VLOOKUP($A150,[1]Hugst!$R$5:$W$9,MATCH(ROUNDUP((W$1)/10,0)*10,[1]Hugst!$R$4:$W$4,0))))</f>
        <v>1130.7239283588656</v>
      </c>
      <c r="X150" s="168">
        <f ca="1">IF($C150-X$1&lt;År1,0,W149*(1-VLOOKUP($A150,[1]Hugst!$R$5:$W$9,MATCH(ROUNDUP((X$1)/10,0)*10,[1]Hugst!$R$4:$W$4,0))))</f>
        <v>1131.2511681321687</v>
      </c>
      <c r="Y150" s="168">
        <f ca="1">IF($C150-Y$1&lt;År1,0,X149*(1-VLOOKUP($A150,[1]Hugst!$R$5:$W$9,MATCH(ROUNDUP((Y$1)/10,0)*10,[1]Hugst!$R$4:$W$4,0))))</f>
        <v>1131.7810573515656</v>
      </c>
      <c r="Z150" s="168">
        <f ca="1">IF($C150-Z$1&lt;År1,0,Y149*(1-VLOOKUP($A150,[1]Hugst!$R$5:$W$9,MATCH(ROUNDUP((Z$1)/10,0)*10,[1]Hugst!$R$4:$W$4,0))))</f>
        <v>1132.3136093308624</v>
      </c>
      <c r="AA150" s="168">
        <f ca="1">IF($C150-AA$1&lt;År1,0,Z149*(1-VLOOKUP($A150,[1]Hugst!$R$5:$W$9,MATCH(ROUNDUP((AA$1)/10,0)*10,[1]Hugst!$R$4:$W$4,0))))</f>
        <v>1132.8488374507547</v>
      </c>
      <c r="AB150" s="168">
        <f ca="1">IF($C150-AB$1&lt;År1,0,AA149*(1-VLOOKUP($A150,[1]Hugst!$R$5:$W$9,MATCH(ROUNDUP((AB$1)/10,0)*10,[1]Hugst!$R$4:$W$4,0))))</f>
        <v>1133.3867551591973</v>
      </c>
      <c r="AC150" s="168">
        <f ca="1">IF($C150-AC$1&lt;År1,0,AB149*(1-VLOOKUP($A150,[1]Hugst!$R$5:$W$9,MATCH(ROUNDUP((AC$1)/10,0)*10,[1]Hugst!$R$4:$W$4,0))))</f>
        <v>1133.9273759716946</v>
      </c>
      <c r="AD150" s="168">
        <f ca="1">IF($C150-AD$1&lt;År1,0,AC149*(1-VLOOKUP($A150,[1]Hugst!$R$5:$W$9,MATCH(ROUNDUP((AD$1)/10,0)*10,[1]Hugst!$R$4:$W$4,0))))</f>
        <v>1134.4707134716939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(IF(B151="Vestdanmark",Skovbrug!$C$22-(Skovbrug!$C$22)*(1-Skovbrug!$C$9)^(C151-Skovbrug!$B$12),Skovbrug!$F$22-(Skovbrug!$F$22)*(1-Skovbrug!$C$9)^(C151-Skovbrug!$B$12)))*VLOOKUP(A151,Skovbrug!$A$13:$D$17,IF('Skovbrug-alder'!C151&lt;=År2,3,4),FALSE)
-IF(C151&gt;2020,SUM(INDEX($C$1:$D$311,MATCH(1,(2020=$C$1:$C$311)*(B151=$B$1:$B$311)*(A151=$A$1:$A$311),0),2):D150),0)</f>
        <v>95.868668250637711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660.06043566006997</v>
      </c>
      <c r="G151" s="168">
        <f ca="1">IF($C151-G$1&lt;År1,0,F150*(1-VLOOKUP($A151,[1]Hugst!$R$5:$W$9,MATCH(ROUNDUP((G$1)/10,0)*10,[1]Hugst!$R$4:$W$4,0))))</f>
        <v>660.54218776183257</v>
      </c>
      <c r="H151" s="168">
        <f ca="1">IF($C151-H$1&lt;År1,0,G150*(1-VLOOKUP($A151,[1]Hugst!$R$5:$W$9,MATCH(ROUNDUP((H$1)/10,0)*10,[1]Hugst!$R$4:$W$4,0))))</f>
        <v>661.0263607284262</v>
      </c>
      <c r="I151" s="168">
        <f ca="1">IF($C151-I$1&lt;År1,0,H150*(1-VLOOKUP($A151,[1]Hugst!$R$5:$W$9,MATCH(ROUNDUP((I$1)/10,0)*10,[1]Hugst!$R$4:$W$4,0))))</f>
        <v>661.51296672500871</v>
      </c>
      <c r="J151" s="168">
        <f ca="1">IF($C151-J$1&lt;År1,0,I150*(1-VLOOKUP($A151,[1]Hugst!$R$5:$W$9,MATCH(ROUNDUP((J$1)/10,0)*10,[1]Hugst!$R$4:$W$4,0))))</f>
        <v>662.00201797784871</v>
      </c>
      <c r="K151" s="168">
        <f ca="1">IF($C151-K$1&lt;År1,0,J150*(1-VLOOKUP($A151,[1]Hugst!$R$5:$W$9,MATCH(ROUNDUP((K$1)/10,0)*10,[1]Hugst!$R$4:$W$4,0))))</f>
        <v>662.49352677467391</v>
      </c>
      <c r="L151" s="168">
        <f ca="1">IF($C151-L$1&lt;År1,0,K150*(1-VLOOKUP($A151,[1]Hugst!$R$5:$W$9,MATCH(ROUNDUP((L$1)/10,0)*10,[1]Hugst!$R$4:$W$4,0))))</f>
        <v>662.98750546494853</v>
      </c>
      <c r="M151" s="168">
        <f ca="1">IF($C151-M$1&lt;År1,0,L150*(1-VLOOKUP($A151,[1]Hugst!$R$5:$W$9,MATCH(ROUNDUP((M$1)/10,0)*10,[1]Hugst!$R$4:$W$4,0))))</f>
        <v>663.48396646020706</v>
      </c>
      <c r="N151" s="168">
        <f ca="1">IF($C151-N$1&lt;År1,0,M150*(1-VLOOKUP($A151,[1]Hugst!$R$5:$W$9,MATCH(ROUNDUP((N$1)/10,0)*10,[1]Hugst!$R$4:$W$4,0))))</f>
        <v>663.98292223433077</v>
      </c>
      <c r="O151" s="168">
        <f ca="1">IF($C151-O$1&lt;År1,0,N150*(1-VLOOKUP($A151,[1]Hugst!$R$5:$W$9,MATCH(ROUNDUP((O$1)/10,0)*10,[1]Hugst!$R$4:$W$4,0))))</f>
        <v>664.48438532390287</v>
      </c>
      <c r="P151" s="168">
        <f ca="1">IF($C151-P$1&lt;År1,0,O150*(1-VLOOKUP($A151,[1]Hugst!$R$5:$W$9,MATCH(ROUNDUP((P$1)/10,0)*10,[1]Hugst!$R$4:$W$4,0))))</f>
        <v>664.98836832849793</v>
      </c>
      <c r="Q151" s="168">
        <f ca="1">IF($C151-Q$1&lt;År1,0,P150*(1-VLOOKUP($A151,[1]Hugst!$R$5:$W$9,MATCH(ROUNDUP((Q$1)/10,0)*10,[1]Hugst!$R$4:$W$4,0))))</f>
        <v>665.49488391100613</v>
      </c>
      <c r="R151" s="168">
        <f ca="1">IF($C151-R$1&lt;År1,0,Q150*(1-VLOOKUP($A151,[1]Hugst!$R$5:$W$9,MATCH(ROUNDUP((R$1)/10,0)*10,[1]Hugst!$R$4:$W$4,0))))</f>
        <v>666.00394479794772</v>
      </c>
      <c r="S151" s="168">
        <f ca="1">IF($C151-S$1&lt;År1,0,R150*(1-VLOOKUP($A151,[1]Hugst!$R$5:$W$9,MATCH(ROUNDUP((S$1)/10,0)*10,[1]Hugst!$R$4:$W$4,0))))</f>
        <v>666.51556377979864</v>
      </c>
      <c r="T151" s="168">
        <f ca="1">IF($C151-T$1&lt;År1,0,S150*(1-VLOOKUP($A151,[1]Hugst!$R$5:$W$9,MATCH(ROUNDUP((T$1)/10,0)*10,[1]Hugst!$R$4:$W$4,0))))</f>
        <v>667.02975371130765</v>
      </c>
      <c r="U151" s="168">
        <f ca="1">IF($C151-U$1&lt;År1,0,T150*(1-VLOOKUP($A151,[1]Hugst!$R$5:$W$9,MATCH(ROUNDUP((U$1)/10,0)*10,[1]Hugst!$R$4:$W$4,0))))</f>
        <v>1129.1579735740872</v>
      </c>
      <c r="V151" s="168">
        <f ca="1">IF($C151-V$1&lt;År1,0,U150*(1-VLOOKUP($A151,[1]Hugst!$R$5:$W$9,MATCH(ROUNDUP((V$1)/10,0)*10,[1]Hugst!$R$4:$W$4,0))))</f>
        <v>1129.6773442278643</v>
      </c>
      <c r="W151" s="168">
        <f ca="1">IF($C151-W$1&lt;År1,0,V150*(1-VLOOKUP($A151,[1]Hugst!$R$5:$W$9,MATCH(ROUNDUP((W$1)/10,0)*10,[1]Hugst!$R$4:$W$4,0))))</f>
        <v>1130.1993247844275</v>
      </c>
      <c r="X151" s="168">
        <f ca="1">IF($C151-X$1&lt;År1,0,W150*(1-VLOOKUP($A151,[1]Hugst!$R$5:$W$9,MATCH(ROUNDUP((X$1)/10,0)*10,[1]Hugst!$R$4:$W$4,0))))</f>
        <v>1130.7239283588656</v>
      </c>
      <c r="Y151" s="168">
        <f ca="1">IF($C151-Y$1&lt;År1,0,X150*(1-VLOOKUP($A151,[1]Hugst!$R$5:$W$9,MATCH(ROUNDUP((Y$1)/10,0)*10,[1]Hugst!$R$4:$W$4,0))))</f>
        <v>1131.2511681321687</v>
      </c>
      <c r="Z151" s="168">
        <f ca="1">IF($C151-Z$1&lt;År1,0,Y150*(1-VLOOKUP($A151,[1]Hugst!$R$5:$W$9,MATCH(ROUNDUP((Z$1)/10,0)*10,[1]Hugst!$R$4:$W$4,0))))</f>
        <v>1131.7810573515656</v>
      </c>
      <c r="AA151" s="168">
        <f ca="1">IF($C151-AA$1&lt;År1,0,Z150*(1-VLOOKUP($A151,[1]Hugst!$R$5:$W$9,MATCH(ROUNDUP((AA$1)/10,0)*10,[1]Hugst!$R$4:$W$4,0))))</f>
        <v>1132.3136093308624</v>
      </c>
      <c r="AB151" s="168">
        <f ca="1">IF($C151-AB$1&lt;År1,0,AA150*(1-VLOOKUP($A151,[1]Hugst!$R$5:$W$9,MATCH(ROUNDUP((AB$1)/10,0)*10,[1]Hugst!$R$4:$W$4,0))))</f>
        <v>1132.8488374507547</v>
      </c>
      <c r="AC151" s="168">
        <f ca="1">IF($C151-AC$1&lt;År1,0,AB150*(1-VLOOKUP($A151,[1]Hugst!$R$5:$W$9,MATCH(ROUNDUP((AC$1)/10,0)*10,[1]Hugst!$R$4:$W$4,0))))</f>
        <v>1133.3867551591973</v>
      </c>
      <c r="AD151" s="168">
        <f ca="1">IF($C151-AD$1&lt;År1,0,AC150*(1-VLOOKUP($A151,[1]Hugst!$R$5:$W$9,MATCH(ROUNDUP((AD$1)/10,0)*10,[1]Hugst!$R$4:$W$4,0))))</f>
        <v>1133.9273759716946</v>
      </c>
      <c r="AE151" s="168">
        <f ca="1">IF($C151-AE$1&lt;År1,0,AD150*(1-VLOOKUP($A151,[1]Hugst!$R$5:$W$9,MATCH(ROUNDUP((AE$1)/10,0)*10,[1]Hugst!$R$4:$W$4,0))))</f>
        <v>1134.4707134716939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(IF(B152="Vestdanmark",Skovbrug!$C$22-(Skovbrug!$C$22)*(1-Skovbrug!$C$9)^(C152-Skovbrug!$B$12),Skovbrug!$F$22-(Skovbrug!$F$22)*(1-Skovbrug!$C$9)^(C152-Skovbrug!$B$12)))*VLOOKUP(A152,Skovbrug!$A$13:$D$17,IF('Skovbrug-alder'!C152&lt;=År2,3,4),FALSE)
-IF(C152&gt;2020,SUM(INDEX($C$1:$D$311,MATCH(1,(2020=$C$1:$C$311)*(B152=$B$1:$B$311)*(A152=$A$1:$A$311),0),2):D151),0)</f>
        <v>95.389324909387597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659.58109231881986</v>
      </c>
      <c r="G152" s="168">
        <f ca="1">IF($C152-G$1&lt;År1,0,F151*(1-VLOOKUP($A152,[1]Hugst!$R$5:$W$9,MATCH(ROUNDUP((G$1)/10,0)*10,[1]Hugst!$R$4:$W$4,0))))</f>
        <v>660.06043566006997</v>
      </c>
      <c r="H152" s="168">
        <f ca="1">IF($C152-H$1&lt;År1,0,G151*(1-VLOOKUP($A152,[1]Hugst!$R$5:$W$9,MATCH(ROUNDUP((H$1)/10,0)*10,[1]Hugst!$R$4:$W$4,0))))</f>
        <v>660.54218776183257</v>
      </c>
      <c r="I152" s="168">
        <f ca="1">IF($C152-I$1&lt;År1,0,H151*(1-VLOOKUP($A152,[1]Hugst!$R$5:$W$9,MATCH(ROUNDUP((I$1)/10,0)*10,[1]Hugst!$R$4:$W$4,0))))</f>
        <v>661.0263607284262</v>
      </c>
      <c r="J152" s="168">
        <f ca="1">IF($C152-J$1&lt;År1,0,I151*(1-VLOOKUP($A152,[1]Hugst!$R$5:$W$9,MATCH(ROUNDUP((J$1)/10,0)*10,[1]Hugst!$R$4:$W$4,0))))</f>
        <v>661.51296672500871</v>
      </c>
      <c r="K152" s="168">
        <f ca="1">IF($C152-K$1&lt;År1,0,J151*(1-VLOOKUP($A152,[1]Hugst!$R$5:$W$9,MATCH(ROUNDUP((K$1)/10,0)*10,[1]Hugst!$R$4:$W$4,0))))</f>
        <v>662.00201797784871</v>
      </c>
      <c r="L152" s="168">
        <f ca="1">IF($C152-L$1&lt;År1,0,K151*(1-VLOOKUP($A152,[1]Hugst!$R$5:$W$9,MATCH(ROUNDUP((L$1)/10,0)*10,[1]Hugst!$R$4:$W$4,0))))</f>
        <v>662.49352677467391</v>
      </c>
      <c r="M152" s="168">
        <f ca="1">IF($C152-M$1&lt;År1,0,L151*(1-VLOOKUP($A152,[1]Hugst!$R$5:$W$9,MATCH(ROUNDUP((M$1)/10,0)*10,[1]Hugst!$R$4:$W$4,0))))</f>
        <v>662.98750546494853</v>
      </c>
      <c r="N152" s="168">
        <f ca="1">IF($C152-N$1&lt;År1,0,M151*(1-VLOOKUP($A152,[1]Hugst!$R$5:$W$9,MATCH(ROUNDUP((N$1)/10,0)*10,[1]Hugst!$R$4:$W$4,0))))</f>
        <v>663.48396646020706</v>
      </c>
      <c r="O152" s="168">
        <f ca="1">IF($C152-O$1&lt;År1,0,N151*(1-VLOOKUP($A152,[1]Hugst!$R$5:$W$9,MATCH(ROUNDUP((O$1)/10,0)*10,[1]Hugst!$R$4:$W$4,0))))</f>
        <v>663.98292223433077</v>
      </c>
      <c r="P152" s="168">
        <f ca="1">IF($C152-P$1&lt;År1,0,O151*(1-VLOOKUP($A152,[1]Hugst!$R$5:$W$9,MATCH(ROUNDUP((P$1)/10,0)*10,[1]Hugst!$R$4:$W$4,0))))</f>
        <v>664.48438532390287</v>
      </c>
      <c r="Q152" s="168">
        <f ca="1">IF($C152-Q$1&lt;År1,0,P151*(1-VLOOKUP($A152,[1]Hugst!$R$5:$W$9,MATCH(ROUNDUP((Q$1)/10,0)*10,[1]Hugst!$R$4:$W$4,0))))</f>
        <v>664.98836832849793</v>
      </c>
      <c r="R152" s="168">
        <f ca="1">IF($C152-R$1&lt;År1,0,Q151*(1-VLOOKUP($A152,[1]Hugst!$R$5:$W$9,MATCH(ROUNDUP((R$1)/10,0)*10,[1]Hugst!$R$4:$W$4,0))))</f>
        <v>665.49488391100613</v>
      </c>
      <c r="S152" s="168">
        <f ca="1">IF($C152-S$1&lt;År1,0,R151*(1-VLOOKUP($A152,[1]Hugst!$R$5:$W$9,MATCH(ROUNDUP((S$1)/10,0)*10,[1]Hugst!$R$4:$W$4,0))))</f>
        <v>666.00394479794772</v>
      </c>
      <c r="T152" s="168">
        <f ca="1">IF($C152-T$1&lt;År1,0,S151*(1-VLOOKUP($A152,[1]Hugst!$R$5:$W$9,MATCH(ROUNDUP((T$1)/10,0)*10,[1]Hugst!$R$4:$W$4,0))))</f>
        <v>666.51556377979864</v>
      </c>
      <c r="U152" s="168">
        <f ca="1">IF($C152-U$1&lt;År1,0,T151*(1-VLOOKUP($A152,[1]Hugst!$R$5:$W$9,MATCH(ROUNDUP((U$1)/10,0)*10,[1]Hugst!$R$4:$W$4,0))))</f>
        <v>667.02975371130765</v>
      </c>
      <c r="V152" s="168">
        <f ca="1">IF($C152-V$1&lt;År1,0,U151*(1-VLOOKUP($A152,[1]Hugst!$R$5:$W$9,MATCH(ROUNDUP((V$1)/10,0)*10,[1]Hugst!$R$4:$W$4,0))))</f>
        <v>1129.1579735740872</v>
      </c>
      <c r="W152" s="168">
        <f ca="1">IF($C152-W$1&lt;År1,0,V151*(1-VLOOKUP($A152,[1]Hugst!$R$5:$W$9,MATCH(ROUNDUP((W$1)/10,0)*10,[1]Hugst!$R$4:$W$4,0))))</f>
        <v>1129.6773442278643</v>
      </c>
      <c r="X152" s="168">
        <f ca="1">IF($C152-X$1&lt;År1,0,W151*(1-VLOOKUP($A152,[1]Hugst!$R$5:$W$9,MATCH(ROUNDUP((X$1)/10,0)*10,[1]Hugst!$R$4:$W$4,0))))</f>
        <v>1130.1993247844275</v>
      </c>
      <c r="Y152" s="168">
        <f ca="1">IF($C152-Y$1&lt;År1,0,X151*(1-VLOOKUP($A152,[1]Hugst!$R$5:$W$9,MATCH(ROUNDUP((Y$1)/10,0)*10,[1]Hugst!$R$4:$W$4,0))))</f>
        <v>1130.7239283588656</v>
      </c>
      <c r="Z152" s="168">
        <f ca="1">IF($C152-Z$1&lt;År1,0,Y151*(1-VLOOKUP($A152,[1]Hugst!$R$5:$W$9,MATCH(ROUNDUP((Z$1)/10,0)*10,[1]Hugst!$R$4:$W$4,0))))</f>
        <v>1131.2511681321687</v>
      </c>
      <c r="AA152" s="168">
        <f ca="1">IF($C152-AA$1&lt;År1,0,Z151*(1-VLOOKUP($A152,[1]Hugst!$R$5:$W$9,MATCH(ROUNDUP((AA$1)/10,0)*10,[1]Hugst!$R$4:$W$4,0))))</f>
        <v>1131.7810573515656</v>
      </c>
      <c r="AB152" s="168">
        <f ca="1">IF($C152-AB$1&lt;År1,0,AA151*(1-VLOOKUP($A152,[1]Hugst!$R$5:$W$9,MATCH(ROUNDUP((AB$1)/10,0)*10,[1]Hugst!$R$4:$W$4,0))))</f>
        <v>1132.3136093308624</v>
      </c>
      <c r="AC152" s="168">
        <f ca="1">IF($C152-AC$1&lt;År1,0,AB151*(1-VLOOKUP($A152,[1]Hugst!$R$5:$W$9,MATCH(ROUNDUP((AC$1)/10,0)*10,[1]Hugst!$R$4:$W$4,0))))</f>
        <v>1132.8488374507547</v>
      </c>
      <c r="AD152" s="168">
        <f ca="1">IF($C152-AD$1&lt;År1,0,AC151*(1-VLOOKUP($A152,[1]Hugst!$R$5:$W$9,MATCH(ROUNDUP((AD$1)/10,0)*10,[1]Hugst!$R$4:$W$4,0))))</f>
        <v>1133.3867551591973</v>
      </c>
      <c r="AE152" s="168">
        <f ca="1">IF($C152-AE$1&lt;År1,0,AD151*(1-VLOOKUP($A152,[1]Hugst!$R$5:$W$9,MATCH(ROUNDUP((AE$1)/10,0)*10,[1]Hugst!$R$4:$W$4,0))))</f>
        <v>1133.9273759716946</v>
      </c>
      <c r="AF152" s="168">
        <f ca="1">IF($C152-AF$1&lt;År1,0,AE151*(1-VLOOKUP($A152,[1]Hugst!$R$5:$W$9,MATCH(ROUNDUP((AF$1)/10,0)*10,[1]Hugst!$R$4:$W$4,0))))</f>
        <v>1134.4707134716939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(IF(B153="Vestdanmark",Skovbrug!$C$22-(Skovbrug!$C$22)*(1-Skovbrug!$C$9)^(C153-Skovbrug!$B$12),Skovbrug!$F$22-(Skovbrug!$F$22)*(1-Skovbrug!$C$9)^(C153-Skovbrug!$B$12)))*VLOOKUP(A153,Skovbrug!$A$13:$D$17,IF('Skovbrug-alder'!C153&lt;=År2,3,4),FALSE)
-IF(C153&gt;2020,SUM(INDEX($C$1:$D$311,MATCH(1,(2020=$C$1:$C$311)*(B153=$B$1:$B$311)*(A153=$A$1:$A$311),0),2):D152),0)</f>
        <v>94.91237828483554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659.1041456942678</v>
      </c>
      <c r="G153" s="168">
        <f ca="1">IF($C153-G$1&lt;År1,0,F152*(1-VLOOKUP($A153,[1]Hugst!$R$5:$W$9,MATCH(ROUNDUP((G$1)/10,0)*10,[1]Hugst!$R$4:$W$4,0))))</f>
        <v>659.58109231881986</v>
      </c>
      <c r="H153" s="168">
        <f ca="1">IF($C153-H$1&lt;År1,0,G152*(1-VLOOKUP($A153,[1]Hugst!$R$5:$W$9,MATCH(ROUNDUP((H$1)/10,0)*10,[1]Hugst!$R$4:$W$4,0))))</f>
        <v>660.06043566006997</v>
      </c>
      <c r="I153" s="168">
        <f ca="1">IF($C153-I$1&lt;År1,0,H152*(1-VLOOKUP($A153,[1]Hugst!$R$5:$W$9,MATCH(ROUNDUP((I$1)/10,0)*10,[1]Hugst!$R$4:$W$4,0))))</f>
        <v>660.54218776183257</v>
      </c>
      <c r="J153" s="168">
        <f ca="1">IF($C153-J$1&lt;År1,0,I152*(1-VLOOKUP($A153,[1]Hugst!$R$5:$W$9,MATCH(ROUNDUP((J$1)/10,0)*10,[1]Hugst!$R$4:$W$4,0))))</f>
        <v>661.0263607284262</v>
      </c>
      <c r="K153" s="168">
        <f ca="1">IF($C153-K$1&lt;År1,0,J152*(1-VLOOKUP($A153,[1]Hugst!$R$5:$W$9,MATCH(ROUNDUP((K$1)/10,0)*10,[1]Hugst!$R$4:$W$4,0))))</f>
        <v>661.51296672500871</v>
      </c>
      <c r="L153" s="168">
        <f ca="1">IF($C153-L$1&lt;År1,0,K152*(1-VLOOKUP($A153,[1]Hugst!$R$5:$W$9,MATCH(ROUNDUP((L$1)/10,0)*10,[1]Hugst!$R$4:$W$4,0))))</f>
        <v>662.00201797784871</v>
      </c>
      <c r="M153" s="168">
        <f ca="1">IF($C153-M$1&lt;År1,0,L152*(1-VLOOKUP($A153,[1]Hugst!$R$5:$W$9,MATCH(ROUNDUP((M$1)/10,0)*10,[1]Hugst!$R$4:$W$4,0))))</f>
        <v>662.49352677467391</v>
      </c>
      <c r="N153" s="168">
        <f ca="1">IF($C153-N$1&lt;År1,0,M152*(1-VLOOKUP($A153,[1]Hugst!$R$5:$W$9,MATCH(ROUNDUP((N$1)/10,0)*10,[1]Hugst!$R$4:$W$4,0))))</f>
        <v>662.98750546494853</v>
      </c>
      <c r="O153" s="168">
        <f ca="1">IF($C153-O$1&lt;År1,0,N152*(1-VLOOKUP($A153,[1]Hugst!$R$5:$W$9,MATCH(ROUNDUP((O$1)/10,0)*10,[1]Hugst!$R$4:$W$4,0))))</f>
        <v>663.48396646020706</v>
      </c>
      <c r="P153" s="168">
        <f ca="1">IF($C153-P$1&lt;År1,0,O152*(1-VLOOKUP($A153,[1]Hugst!$R$5:$W$9,MATCH(ROUNDUP((P$1)/10,0)*10,[1]Hugst!$R$4:$W$4,0))))</f>
        <v>663.98292223433077</v>
      </c>
      <c r="Q153" s="168">
        <f ca="1">IF($C153-Q$1&lt;År1,0,P152*(1-VLOOKUP($A153,[1]Hugst!$R$5:$W$9,MATCH(ROUNDUP((Q$1)/10,0)*10,[1]Hugst!$R$4:$W$4,0))))</f>
        <v>664.48438532390287</v>
      </c>
      <c r="R153" s="168">
        <f ca="1">IF($C153-R$1&lt;År1,0,Q152*(1-VLOOKUP($A153,[1]Hugst!$R$5:$W$9,MATCH(ROUNDUP((R$1)/10,0)*10,[1]Hugst!$R$4:$W$4,0))))</f>
        <v>664.98836832849793</v>
      </c>
      <c r="S153" s="168">
        <f ca="1">IF($C153-S$1&lt;År1,0,R152*(1-VLOOKUP($A153,[1]Hugst!$R$5:$W$9,MATCH(ROUNDUP((S$1)/10,0)*10,[1]Hugst!$R$4:$W$4,0))))</f>
        <v>665.49488391100613</v>
      </c>
      <c r="T153" s="168">
        <f ca="1">IF($C153-T$1&lt;År1,0,S152*(1-VLOOKUP($A153,[1]Hugst!$R$5:$W$9,MATCH(ROUNDUP((T$1)/10,0)*10,[1]Hugst!$R$4:$W$4,0))))</f>
        <v>666.00394479794772</v>
      </c>
      <c r="U153" s="168">
        <f ca="1">IF($C153-U$1&lt;År1,0,T152*(1-VLOOKUP($A153,[1]Hugst!$R$5:$W$9,MATCH(ROUNDUP((U$1)/10,0)*10,[1]Hugst!$R$4:$W$4,0))))</f>
        <v>666.51556377979864</v>
      </c>
      <c r="V153" s="168">
        <f ca="1">IF($C153-V$1&lt;År1,0,U152*(1-VLOOKUP($A153,[1]Hugst!$R$5:$W$9,MATCH(ROUNDUP((V$1)/10,0)*10,[1]Hugst!$R$4:$W$4,0))))</f>
        <v>667.02975371130765</v>
      </c>
      <c r="W153" s="168">
        <f ca="1">IF($C153-W$1&lt;År1,0,V152*(1-VLOOKUP($A153,[1]Hugst!$R$5:$W$9,MATCH(ROUNDUP((W$1)/10,0)*10,[1]Hugst!$R$4:$W$4,0))))</f>
        <v>1129.1579735740872</v>
      </c>
      <c r="X153" s="168">
        <f ca="1">IF($C153-X$1&lt;År1,0,W152*(1-VLOOKUP($A153,[1]Hugst!$R$5:$W$9,MATCH(ROUNDUP((X$1)/10,0)*10,[1]Hugst!$R$4:$W$4,0))))</f>
        <v>1129.6773442278643</v>
      </c>
      <c r="Y153" s="168">
        <f ca="1">IF($C153-Y$1&lt;År1,0,X152*(1-VLOOKUP($A153,[1]Hugst!$R$5:$W$9,MATCH(ROUNDUP((Y$1)/10,0)*10,[1]Hugst!$R$4:$W$4,0))))</f>
        <v>1130.1993247844275</v>
      </c>
      <c r="Z153" s="168">
        <f ca="1">IF($C153-Z$1&lt;År1,0,Y152*(1-VLOOKUP($A153,[1]Hugst!$R$5:$W$9,MATCH(ROUNDUP((Z$1)/10,0)*10,[1]Hugst!$R$4:$W$4,0))))</f>
        <v>1130.7239283588656</v>
      </c>
      <c r="AA153" s="168">
        <f ca="1">IF($C153-AA$1&lt;År1,0,Z152*(1-VLOOKUP($A153,[1]Hugst!$R$5:$W$9,MATCH(ROUNDUP((AA$1)/10,0)*10,[1]Hugst!$R$4:$W$4,0))))</f>
        <v>1131.2511681321687</v>
      </c>
      <c r="AB153" s="168">
        <f ca="1">IF($C153-AB$1&lt;År1,0,AA152*(1-VLOOKUP($A153,[1]Hugst!$R$5:$W$9,MATCH(ROUNDUP((AB$1)/10,0)*10,[1]Hugst!$R$4:$W$4,0))))</f>
        <v>1131.7810573515656</v>
      </c>
      <c r="AC153" s="168">
        <f ca="1">IF($C153-AC$1&lt;År1,0,AB152*(1-VLOOKUP($A153,[1]Hugst!$R$5:$W$9,MATCH(ROUNDUP((AC$1)/10,0)*10,[1]Hugst!$R$4:$W$4,0))))</f>
        <v>1132.3136093308624</v>
      </c>
      <c r="AD153" s="168">
        <f ca="1">IF($C153-AD$1&lt;År1,0,AC152*(1-VLOOKUP($A153,[1]Hugst!$R$5:$W$9,MATCH(ROUNDUP((AD$1)/10,0)*10,[1]Hugst!$R$4:$W$4,0))))</f>
        <v>1132.8488374507547</v>
      </c>
      <c r="AE153" s="168">
        <f ca="1">IF($C153-AE$1&lt;År1,0,AD152*(1-VLOOKUP($A153,[1]Hugst!$R$5:$W$9,MATCH(ROUNDUP((AE$1)/10,0)*10,[1]Hugst!$R$4:$W$4,0))))</f>
        <v>1133.3867551591973</v>
      </c>
      <c r="AF153" s="168">
        <f ca="1">IF($C153-AF$1&lt;År1,0,AE152*(1-VLOOKUP($A153,[1]Hugst!$R$5:$W$9,MATCH(ROUNDUP((AF$1)/10,0)*10,[1]Hugst!$R$4:$W$4,0))))</f>
        <v>1133.9273759716946</v>
      </c>
      <c r="AG153" s="168">
        <f ca="1">IF($C153-AG$1&lt;År1,0,AF152*(1-VLOOKUP($A153,[1]Hugst!$R$5:$W$9,MATCH(ROUNDUP((AG$1)/10,0)*10,[1]Hugst!$R$4:$W$4,0))))</f>
        <v>1134.4707134716939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(IF(B154="Vestdanmark",Skovbrug!$C$22-(Skovbrug!$C$22)*(1-Skovbrug!$C$9)^(C154-Skovbrug!$B$12),Skovbrug!$F$22-(Skovbrug!$F$22)*(1-Skovbrug!$C$9)^(C154-Skovbrug!$B$12)))*VLOOKUP(A154,Skovbrug!$A$13:$D$17,IF('Skovbrug-alder'!C154&lt;=År2,3,4),FALSE)
-IF(C154&gt;2020,SUM(INDEX($C$1:$D$311,MATCH(1,(2020=$C$1:$C$311)*(B154=$B$1:$B$311)*(A154=$A$1:$A$311),0),2):D153),0)</f>
        <v>94.437816393413414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658.62958380284567</v>
      </c>
      <c r="G154" s="168">
        <f ca="1">IF($C154-G$1&lt;År1,0,F153*(1-VLOOKUP($A154,[1]Hugst!$R$5:$W$9,MATCH(ROUNDUP((G$1)/10,0)*10,[1]Hugst!$R$4:$W$4,0))))</f>
        <v>659.1041456942678</v>
      </c>
      <c r="H154" s="168">
        <f ca="1">IF($C154-H$1&lt;År1,0,G153*(1-VLOOKUP($A154,[1]Hugst!$R$5:$W$9,MATCH(ROUNDUP((H$1)/10,0)*10,[1]Hugst!$R$4:$W$4,0))))</f>
        <v>659.58109231881986</v>
      </c>
      <c r="I154" s="168">
        <f ca="1">IF($C154-I$1&lt;År1,0,H153*(1-VLOOKUP($A154,[1]Hugst!$R$5:$W$9,MATCH(ROUNDUP((I$1)/10,0)*10,[1]Hugst!$R$4:$W$4,0))))</f>
        <v>660.06043566006997</v>
      </c>
      <c r="J154" s="168">
        <f ca="1">IF($C154-J$1&lt;År1,0,I153*(1-VLOOKUP($A154,[1]Hugst!$R$5:$W$9,MATCH(ROUNDUP((J$1)/10,0)*10,[1]Hugst!$R$4:$W$4,0))))</f>
        <v>660.54218776183257</v>
      </c>
      <c r="K154" s="168">
        <f ca="1">IF($C154-K$1&lt;År1,0,J153*(1-VLOOKUP($A154,[1]Hugst!$R$5:$W$9,MATCH(ROUNDUP((K$1)/10,0)*10,[1]Hugst!$R$4:$W$4,0))))</f>
        <v>661.0263607284262</v>
      </c>
      <c r="L154" s="168">
        <f ca="1">IF($C154-L$1&lt;År1,0,K153*(1-VLOOKUP($A154,[1]Hugst!$R$5:$W$9,MATCH(ROUNDUP((L$1)/10,0)*10,[1]Hugst!$R$4:$W$4,0))))</f>
        <v>661.51296672500871</v>
      </c>
      <c r="M154" s="168">
        <f ca="1">IF($C154-M$1&lt;År1,0,L153*(1-VLOOKUP($A154,[1]Hugst!$R$5:$W$9,MATCH(ROUNDUP((M$1)/10,0)*10,[1]Hugst!$R$4:$W$4,0))))</f>
        <v>662.00201797784871</v>
      </c>
      <c r="N154" s="168">
        <f ca="1">IF($C154-N$1&lt;År1,0,M153*(1-VLOOKUP($A154,[1]Hugst!$R$5:$W$9,MATCH(ROUNDUP((N$1)/10,0)*10,[1]Hugst!$R$4:$W$4,0))))</f>
        <v>662.49352677467391</v>
      </c>
      <c r="O154" s="168">
        <f ca="1">IF($C154-O$1&lt;År1,0,N153*(1-VLOOKUP($A154,[1]Hugst!$R$5:$W$9,MATCH(ROUNDUP((O$1)/10,0)*10,[1]Hugst!$R$4:$W$4,0))))</f>
        <v>662.98750546494853</v>
      </c>
      <c r="P154" s="168">
        <f ca="1">IF($C154-P$1&lt;År1,0,O153*(1-VLOOKUP($A154,[1]Hugst!$R$5:$W$9,MATCH(ROUNDUP((P$1)/10,0)*10,[1]Hugst!$R$4:$W$4,0))))</f>
        <v>663.48396646020706</v>
      </c>
      <c r="Q154" s="168">
        <f ca="1">IF($C154-Q$1&lt;År1,0,P153*(1-VLOOKUP($A154,[1]Hugst!$R$5:$W$9,MATCH(ROUNDUP((Q$1)/10,0)*10,[1]Hugst!$R$4:$W$4,0))))</f>
        <v>663.98292223433077</v>
      </c>
      <c r="R154" s="168">
        <f ca="1">IF($C154-R$1&lt;År1,0,Q153*(1-VLOOKUP($A154,[1]Hugst!$R$5:$W$9,MATCH(ROUNDUP((R$1)/10,0)*10,[1]Hugst!$R$4:$W$4,0))))</f>
        <v>664.48438532390287</v>
      </c>
      <c r="S154" s="168">
        <f ca="1">IF($C154-S$1&lt;År1,0,R153*(1-VLOOKUP($A154,[1]Hugst!$R$5:$W$9,MATCH(ROUNDUP((S$1)/10,0)*10,[1]Hugst!$R$4:$W$4,0))))</f>
        <v>664.98836832849793</v>
      </c>
      <c r="T154" s="168">
        <f ca="1">IF($C154-T$1&lt;År1,0,S153*(1-VLOOKUP($A154,[1]Hugst!$R$5:$W$9,MATCH(ROUNDUP((T$1)/10,0)*10,[1]Hugst!$R$4:$W$4,0))))</f>
        <v>665.49488391100613</v>
      </c>
      <c r="U154" s="168">
        <f ca="1">IF($C154-U$1&lt;År1,0,T153*(1-VLOOKUP($A154,[1]Hugst!$R$5:$W$9,MATCH(ROUNDUP((U$1)/10,0)*10,[1]Hugst!$R$4:$W$4,0))))</f>
        <v>666.00394479794772</v>
      </c>
      <c r="V154" s="168">
        <f ca="1">IF($C154-V$1&lt;År1,0,U153*(1-VLOOKUP($A154,[1]Hugst!$R$5:$W$9,MATCH(ROUNDUP((V$1)/10,0)*10,[1]Hugst!$R$4:$W$4,0))))</f>
        <v>666.51556377979864</v>
      </c>
      <c r="W154" s="168">
        <f ca="1">IF($C154-W$1&lt;År1,0,V153*(1-VLOOKUP($A154,[1]Hugst!$R$5:$W$9,MATCH(ROUNDUP((W$1)/10,0)*10,[1]Hugst!$R$4:$W$4,0))))</f>
        <v>667.02975371130765</v>
      </c>
      <c r="X154" s="168">
        <f ca="1">IF($C154-X$1&lt;År1,0,W153*(1-VLOOKUP($A154,[1]Hugst!$R$5:$W$9,MATCH(ROUNDUP((X$1)/10,0)*10,[1]Hugst!$R$4:$W$4,0))))</f>
        <v>1129.1579735740872</v>
      </c>
      <c r="Y154" s="168">
        <f ca="1">IF($C154-Y$1&lt;År1,0,X153*(1-VLOOKUP($A154,[1]Hugst!$R$5:$W$9,MATCH(ROUNDUP((Y$1)/10,0)*10,[1]Hugst!$R$4:$W$4,0))))</f>
        <v>1129.6773442278643</v>
      </c>
      <c r="Z154" s="168">
        <f ca="1">IF($C154-Z$1&lt;År1,0,Y153*(1-VLOOKUP($A154,[1]Hugst!$R$5:$W$9,MATCH(ROUNDUP((Z$1)/10,0)*10,[1]Hugst!$R$4:$W$4,0))))</f>
        <v>1130.1993247844275</v>
      </c>
      <c r="AA154" s="168">
        <f ca="1">IF($C154-AA$1&lt;År1,0,Z153*(1-VLOOKUP($A154,[1]Hugst!$R$5:$W$9,MATCH(ROUNDUP((AA$1)/10,0)*10,[1]Hugst!$R$4:$W$4,0))))</f>
        <v>1130.7239283588656</v>
      </c>
      <c r="AB154" s="168">
        <f ca="1">IF($C154-AB$1&lt;År1,0,AA153*(1-VLOOKUP($A154,[1]Hugst!$R$5:$W$9,MATCH(ROUNDUP((AB$1)/10,0)*10,[1]Hugst!$R$4:$W$4,0))))</f>
        <v>1131.2511681321687</v>
      </c>
      <c r="AC154" s="168">
        <f ca="1">IF($C154-AC$1&lt;År1,0,AB153*(1-VLOOKUP($A154,[1]Hugst!$R$5:$W$9,MATCH(ROUNDUP((AC$1)/10,0)*10,[1]Hugst!$R$4:$W$4,0))))</f>
        <v>1131.7810573515656</v>
      </c>
      <c r="AD154" s="168">
        <f ca="1">IF($C154-AD$1&lt;År1,0,AC153*(1-VLOOKUP($A154,[1]Hugst!$R$5:$W$9,MATCH(ROUNDUP((AD$1)/10,0)*10,[1]Hugst!$R$4:$W$4,0))))</f>
        <v>1132.3136093308624</v>
      </c>
      <c r="AE154" s="168">
        <f ca="1">IF($C154-AE$1&lt;År1,0,AD153*(1-VLOOKUP($A154,[1]Hugst!$R$5:$W$9,MATCH(ROUNDUP((AE$1)/10,0)*10,[1]Hugst!$R$4:$W$4,0))))</f>
        <v>1132.8488374507547</v>
      </c>
      <c r="AF154" s="168">
        <f ca="1">IF($C154-AF$1&lt;År1,0,AE153*(1-VLOOKUP($A154,[1]Hugst!$R$5:$W$9,MATCH(ROUNDUP((AF$1)/10,0)*10,[1]Hugst!$R$4:$W$4,0))))</f>
        <v>1133.3867551591973</v>
      </c>
      <c r="AG154" s="168">
        <f ca="1">IF($C154-AG$1&lt;År1,0,AF153*(1-VLOOKUP($A154,[1]Hugst!$R$5:$W$9,MATCH(ROUNDUP((AG$1)/10,0)*10,[1]Hugst!$R$4:$W$4,0))))</f>
        <v>1133.9273759716946</v>
      </c>
      <c r="AH154" s="168">
        <f ca="1">IF($C154-AH$1&lt;År1,0,AG153*(1-VLOOKUP($A154,[1]Hugst!$R$5:$W$9,MATCH(ROUNDUP((AH$1)/10,0)*10,[1]Hugst!$R$4:$W$4,0))))</f>
        <v>1134.4707134716939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(IF(B155="Vestdanmark",Skovbrug!$C$22-(Skovbrug!$C$22)*(1-Skovbrug!$C$9)^(C155-Skovbrug!$B$12),Skovbrug!$F$22-(Skovbrug!$F$22)*(1-Skovbrug!$C$9)^(C155-Skovbrug!$B$12)))*VLOOKUP(A155,Skovbrug!$A$13:$D$17,IF('Skovbrug-alder'!C155&lt;=År2,3,4),FALSE)
-IF(C155&gt;2020,SUM(INDEX($C$1:$D$311,MATCH(1,(2020=$C$1:$C$311)*(B155=$B$1:$B$311)*(A155=$A$1:$A$311),0),2):D154),0)</f>
        <v>93.965627311449225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658.15739472088148</v>
      </c>
      <c r="G155" s="168">
        <f ca="1">IF($C155-G$1&lt;År1,0,F154*(1-VLOOKUP($A155,[1]Hugst!$R$5:$W$9,MATCH(ROUNDUP((G$1)/10,0)*10,[1]Hugst!$R$4:$W$4,0))))</f>
        <v>658.62958380284567</v>
      </c>
      <c r="H155" s="168">
        <f ca="1">IF($C155-H$1&lt;År1,0,G154*(1-VLOOKUP($A155,[1]Hugst!$R$5:$W$9,MATCH(ROUNDUP((H$1)/10,0)*10,[1]Hugst!$R$4:$W$4,0))))</f>
        <v>659.1041456942678</v>
      </c>
      <c r="I155" s="168">
        <f ca="1">IF($C155-I$1&lt;År1,0,H154*(1-VLOOKUP($A155,[1]Hugst!$R$5:$W$9,MATCH(ROUNDUP((I$1)/10,0)*10,[1]Hugst!$R$4:$W$4,0))))</f>
        <v>659.58109231881986</v>
      </c>
      <c r="J155" s="168">
        <f ca="1">IF($C155-J$1&lt;År1,0,I154*(1-VLOOKUP($A155,[1]Hugst!$R$5:$W$9,MATCH(ROUNDUP((J$1)/10,0)*10,[1]Hugst!$R$4:$W$4,0))))</f>
        <v>660.06043566006997</v>
      </c>
      <c r="K155" s="168">
        <f ca="1">IF($C155-K$1&lt;År1,0,J154*(1-VLOOKUP($A155,[1]Hugst!$R$5:$W$9,MATCH(ROUNDUP((K$1)/10,0)*10,[1]Hugst!$R$4:$W$4,0))))</f>
        <v>660.54218776183257</v>
      </c>
      <c r="L155" s="168">
        <f ca="1">IF($C155-L$1&lt;År1,0,K154*(1-VLOOKUP($A155,[1]Hugst!$R$5:$W$9,MATCH(ROUNDUP((L$1)/10,0)*10,[1]Hugst!$R$4:$W$4,0))))</f>
        <v>661.0263607284262</v>
      </c>
      <c r="M155" s="168">
        <f ca="1">IF($C155-M$1&lt;År1,0,L154*(1-VLOOKUP($A155,[1]Hugst!$R$5:$W$9,MATCH(ROUNDUP((M$1)/10,0)*10,[1]Hugst!$R$4:$W$4,0))))</f>
        <v>661.51296672500871</v>
      </c>
      <c r="N155" s="168">
        <f ca="1">IF($C155-N$1&lt;År1,0,M154*(1-VLOOKUP($A155,[1]Hugst!$R$5:$W$9,MATCH(ROUNDUP((N$1)/10,0)*10,[1]Hugst!$R$4:$W$4,0))))</f>
        <v>662.00201797784871</v>
      </c>
      <c r="O155" s="168">
        <f ca="1">IF($C155-O$1&lt;År1,0,N154*(1-VLOOKUP($A155,[1]Hugst!$R$5:$W$9,MATCH(ROUNDUP((O$1)/10,0)*10,[1]Hugst!$R$4:$W$4,0))))</f>
        <v>662.49352677467391</v>
      </c>
      <c r="P155" s="168">
        <f ca="1">IF($C155-P$1&lt;År1,0,O154*(1-VLOOKUP($A155,[1]Hugst!$R$5:$W$9,MATCH(ROUNDUP((P$1)/10,0)*10,[1]Hugst!$R$4:$W$4,0))))</f>
        <v>662.98750546494853</v>
      </c>
      <c r="Q155" s="168">
        <f ca="1">IF($C155-Q$1&lt;År1,0,P154*(1-VLOOKUP($A155,[1]Hugst!$R$5:$W$9,MATCH(ROUNDUP((Q$1)/10,0)*10,[1]Hugst!$R$4:$W$4,0))))</f>
        <v>663.48396646020706</v>
      </c>
      <c r="R155" s="168">
        <f ca="1">IF($C155-R$1&lt;År1,0,Q154*(1-VLOOKUP($A155,[1]Hugst!$R$5:$W$9,MATCH(ROUNDUP((R$1)/10,0)*10,[1]Hugst!$R$4:$W$4,0))))</f>
        <v>663.98292223433077</v>
      </c>
      <c r="S155" s="168">
        <f ca="1">IF($C155-S$1&lt;År1,0,R154*(1-VLOOKUP($A155,[1]Hugst!$R$5:$W$9,MATCH(ROUNDUP((S$1)/10,0)*10,[1]Hugst!$R$4:$W$4,0))))</f>
        <v>664.48438532390287</v>
      </c>
      <c r="T155" s="168">
        <f ca="1">IF($C155-T$1&lt;År1,0,S154*(1-VLOOKUP($A155,[1]Hugst!$R$5:$W$9,MATCH(ROUNDUP((T$1)/10,0)*10,[1]Hugst!$R$4:$W$4,0))))</f>
        <v>664.98836832849793</v>
      </c>
      <c r="U155" s="168">
        <f ca="1">IF($C155-U$1&lt;År1,0,T154*(1-VLOOKUP($A155,[1]Hugst!$R$5:$W$9,MATCH(ROUNDUP((U$1)/10,0)*10,[1]Hugst!$R$4:$W$4,0))))</f>
        <v>665.49488391100613</v>
      </c>
      <c r="V155" s="168">
        <f ca="1">IF($C155-V$1&lt;År1,0,U154*(1-VLOOKUP($A155,[1]Hugst!$R$5:$W$9,MATCH(ROUNDUP((V$1)/10,0)*10,[1]Hugst!$R$4:$W$4,0))))</f>
        <v>666.00394479794772</v>
      </c>
      <c r="W155" s="168">
        <f ca="1">IF($C155-W$1&lt;År1,0,V154*(1-VLOOKUP($A155,[1]Hugst!$R$5:$W$9,MATCH(ROUNDUP((W$1)/10,0)*10,[1]Hugst!$R$4:$W$4,0))))</f>
        <v>666.51556377979864</v>
      </c>
      <c r="X155" s="168">
        <f ca="1">IF($C155-X$1&lt;År1,0,W154*(1-VLOOKUP($A155,[1]Hugst!$R$5:$W$9,MATCH(ROUNDUP((X$1)/10,0)*10,[1]Hugst!$R$4:$W$4,0))))</f>
        <v>667.02975371130765</v>
      </c>
      <c r="Y155" s="168">
        <f ca="1">IF($C155-Y$1&lt;År1,0,X154*(1-VLOOKUP($A155,[1]Hugst!$R$5:$W$9,MATCH(ROUNDUP((Y$1)/10,0)*10,[1]Hugst!$R$4:$W$4,0))))</f>
        <v>1129.1579735740872</v>
      </c>
      <c r="Z155" s="168">
        <f ca="1">IF($C155-Z$1&lt;År1,0,Y154*(1-VLOOKUP($A155,[1]Hugst!$R$5:$W$9,MATCH(ROUNDUP((Z$1)/10,0)*10,[1]Hugst!$R$4:$W$4,0))))</f>
        <v>1129.6773442278643</v>
      </c>
      <c r="AA155" s="168">
        <f ca="1">IF($C155-AA$1&lt;År1,0,Z154*(1-VLOOKUP($A155,[1]Hugst!$R$5:$W$9,MATCH(ROUNDUP((AA$1)/10,0)*10,[1]Hugst!$R$4:$W$4,0))))</f>
        <v>1130.1993247844275</v>
      </c>
      <c r="AB155" s="168">
        <f ca="1">IF($C155-AB$1&lt;År1,0,AA154*(1-VLOOKUP($A155,[1]Hugst!$R$5:$W$9,MATCH(ROUNDUP((AB$1)/10,0)*10,[1]Hugst!$R$4:$W$4,0))))</f>
        <v>1130.7239283588656</v>
      </c>
      <c r="AC155" s="168">
        <f ca="1">IF($C155-AC$1&lt;År1,0,AB154*(1-VLOOKUP($A155,[1]Hugst!$R$5:$W$9,MATCH(ROUNDUP((AC$1)/10,0)*10,[1]Hugst!$R$4:$W$4,0))))</f>
        <v>1131.2511681321687</v>
      </c>
      <c r="AD155" s="168">
        <f ca="1">IF($C155-AD$1&lt;År1,0,AC154*(1-VLOOKUP($A155,[1]Hugst!$R$5:$W$9,MATCH(ROUNDUP((AD$1)/10,0)*10,[1]Hugst!$R$4:$W$4,0))))</f>
        <v>1131.7810573515656</v>
      </c>
      <c r="AE155" s="168">
        <f ca="1">IF($C155-AE$1&lt;År1,0,AD154*(1-VLOOKUP($A155,[1]Hugst!$R$5:$W$9,MATCH(ROUNDUP((AE$1)/10,0)*10,[1]Hugst!$R$4:$W$4,0))))</f>
        <v>1132.3136093308624</v>
      </c>
      <c r="AF155" s="168">
        <f ca="1">IF($C155-AF$1&lt;År1,0,AE154*(1-VLOOKUP($A155,[1]Hugst!$R$5:$W$9,MATCH(ROUNDUP((AF$1)/10,0)*10,[1]Hugst!$R$4:$W$4,0))))</f>
        <v>1132.8488374507547</v>
      </c>
      <c r="AG155" s="168">
        <f ca="1">IF($C155-AG$1&lt;År1,0,AF154*(1-VLOOKUP($A155,[1]Hugst!$R$5:$W$9,MATCH(ROUNDUP((AG$1)/10,0)*10,[1]Hugst!$R$4:$W$4,0))))</f>
        <v>1133.3867551591973</v>
      </c>
      <c r="AH155" s="168">
        <f ca="1">IF($C155-AH$1&lt;År1,0,AG154*(1-VLOOKUP($A155,[1]Hugst!$R$5:$W$9,MATCH(ROUNDUP((AH$1)/10,0)*10,[1]Hugst!$R$4:$W$4,0))))</f>
        <v>1133.9273759716946</v>
      </c>
      <c r="AI155" s="168">
        <f ca="1">IF($C155-AI$1&lt;År1,0,AH154*(1-VLOOKUP($A155,[1]Hugst!$R$5:$W$9,MATCH(ROUNDUP((AI$1)/10,0)*10,[1]Hugst!$R$4:$W$4,0))))</f>
        <v>1134.4707134716939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(IF(B156="Vestdanmark",Skovbrug!$C$22-(Skovbrug!$C$22)*(1-Skovbrug!$C$9)^(C156-Skovbrug!$B$12),Skovbrug!$F$22-(Skovbrug!$F$22)*(1-Skovbrug!$C$9)^(C156-Skovbrug!$B$12)))*VLOOKUP(A156,Skovbrug!$A$13:$D$17,IF('Skovbrug-alder'!C156&lt;=År2,3,4),FALSE)
-IF(C156&gt;2020,SUM(INDEX($C$1:$D$311,MATCH(1,(2020=$C$1:$C$311)*(B156=$B$1:$B$311)*(A156=$A$1:$A$311),0),2):D155),0)</f>
        <v>93.495799174890635</v>
      </c>
      <c r="E156" s="168">
        <f t="shared" ca="1" si="3"/>
        <v>2.0626740244952089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659.7502406088181</v>
      </c>
      <c r="G156" s="168">
        <f ca="1">IF($C156-G$1&lt;År1,0,F155*(1-VLOOKUP($A156,[1]Hugst!$R$5:$W$9,MATCH(ROUNDUP((G$1)/10,0)*10,[1]Hugst!$R$4:$W$4,0))))</f>
        <v>658.15739472088148</v>
      </c>
      <c r="H156" s="168">
        <f ca="1">IF($C156-H$1&lt;År1,0,G155*(1-VLOOKUP($A156,[1]Hugst!$R$5:$W$9,MATCH(ROUNDUP((H$1)/10,0)*10,[1]Hugst!$R$4:$W$4,0))))</f>
        <v>658.62958380284567</v>
      </c>
      <c r="I156" s="168">
        <f ca="1">IF($C156-I$1&lt;År1,0,H155*(1-VLOOKUP($A156,[1]Hugst!$R$5:$W$9,MATCH(ROUNDUP((I$1)/10,0)*10,[1]Hugst!$R$4:$W$4,0))))</f>
        <v>659.1041456942678</v>
      </c>
      <c r="J156" s="168">
        <f ca="1">IF($C156-J$1&lt;År1,0,I155*(1-VLOOKUP($A156,[1]Hugst!$R$5:$W$9,MATCH(ROUNDUP((J$1)/10,0)*10,[1]Hugst!$R$4:$W$4,0))))</f>
        <v>659.58109231881986</v>
      </c>
      <c r="K156" s="168">
        <f ca="1">IF($C156-K$1&lt;År1,0,J155*(1-VLOOKUP($A156,[1]Hugst!$R$5:$W$9,MATCH(ROUNDUP((K$1)/10,0)*10,[1]Hugst!$R$4:$W$4,0))))</f>
        <v>660.06043566006997</v>
      </c>
      <c r="L156" s="168">
        <f ca="1">IF($C156-L$1&lt;År1,0,K155*(1-VLOOKUP($A156,[1]Hugst!$R$5:$W$9,MATCH(ROUNDUP((L$1)/10,0)*10,[1]Hugst!$R$4:$W$4,0))))</f>
        <v>660.54218776183257</v>
      </c>
      <c r="M156" s="168">
        <f ca="1">IF($C156-M$1&lt;År1,0,L155*(1-VLOOKUP($A156,[1]Hugst!$R$5:$W$9,MATCH(ROUNDUP((M$1)/10,0)*10,[1]Hugst!$R$4:$W$4,0))))</f>
        <v>661.0263607284262</v>
      </c>
      <c r="N156" s="168">
        <f ca="1">IF($C156-N$1&lt;År1,0,M155*(1-VLOOKUP($A156,[1]Hugst!$R$5:$W$9,MATCH(ROUNDUP((N$1)/10,0)*10,[1]Hugst!$R$4:$W$4,0))))</f>
        <v>661.51296672500871</v>
      </c>
      <c r="O156" s="168">
        <f ca="1">IF($C156-O$1&lt;År1,0,N155*(1-VLOOKUP($A156,[1]Hugst!$R$5:$W$9,MATCH(ROUNDUP((O$1)/10,0)*10,[1]Hugst!$R$4:$W$4,0))))</f>
        <v>662.00201797784871</v>
      </c>
      <c r="P156" s="168">
        <f ca="1">IF($C156-P$1&lt;År1,0,O155*(1-VLOOKUP($A156,[1]Hugst!$R$5:$W$9,MATCH(ROUNDUP((P$1)/10,0)*10,[1]Hugst!$R$4:$W$4,0))))</f>
        <v>662.49352677467391</v>
      </c>
      <c r="Q156" s="168">
        <f ca="1">IF($C156-Q$1&lt;År1,0,P155*(1-VLOOKUP($A156,[1]Hugst!$R$5:$W$9,MATCH(ROUNDUP((Q$1)/10,0)*10,[1]Hugst!$R$4:$W$4,0))))</f>
        <v>662.98750546494853</v>
      </c>
      <c r="R156" s="168">
        <f ca="1">IF($C156-R$1&lt;År1,0,Q155*(1-VLOOKUP($A156,[1]Hugst!$R$5:$W$9,MATCH(ROUNDUP((R$1)/10,0)*10,[1]Hugst!$R$4:$W$4,0))))</f>
        <v>663.48396646020706</v>
      </c>
      <c r="S156" s="168">
        <f ca="1">IF($C156-S$1&lt;År1,0,R155*(1-VLOOKUP($A156,[1]Hugst!$R$5:$W$9,MATCH(ROUNDUP((S$1)/10,0)*10,[1]Hugst!$R$4:$W$4,0))))</f>
        <v>663.98292223433077</v>
      </c>
      <c r="T156" s="168">
        <f ca="1">IF($C156-T$1&lt;År1,0,S155*(1-VLOOKUP($A156,[1]Hugst!$R$5:$W$9,MATCH(ROUNDUP((T$1)/10,0)*10,[1]Hugst!$R$4:$W$4,0))))</f>
        <v>664.48438532390287</v>
      </c>
      <c r="U156" s="168">
        <f ca="1">IF($C156-U$1&lt;År1,0,T155*(1-VLOOKUP($A156,[1]Hugst!$R$5:$W$9,MATCH(ROUNDUP((U$1)/10,0)*10,[1]Hugst!$R$4:$W$4,0))))</f>
        <v>664.98836832849793</v>
      </c>
      <c r="V156" s="168">
        <f ca="1">IF($C156-V$1&lt;År1,0,U155*(1-VLOOKUP($A156,[1]Hugst!$R$5:$W$9,MATCH(ROUNDUP((V$1)/10,0)*10,[1]Hugst!$R$4:$W$4,0))))</f>
        <v>665.49488391100613</v>
      </c>
      <c r="W156" s="168">
        <f ca="1">IF($C156-W$1&lt;År1,0,V155*(1-VLOOKUP($A156,[1]Hugst!$R$5:$W$9,MATCH(ROUNDUP((W$1)/10,0)*10,[1]Hugst!$R$4:$W$4,0))))</f>
        <v>666.00394479794772</v>
      </c>
      <c r="X156" s="168">
        <f ca="1">IF($C156-X$1&lt;År1,0,W155*(1-VLOOKUP($A156,[1]Hugst!$R$5:$W$9,MATCH(ROUNDUP((X$1)/10,0)*10,[1]Hugst!$R$4:$W$4,0))))</f>
        <v>666.51556377979864</v>
      </c>
      <c r="Y156" s="168">
        <f ca="1">IF($C156-Y$1&lt;År1,0,X155*(1-VLOOKUP($A156,[1]Hugst!$R$5:$W$9,MATCH(ROUNDUP((Y$1)/10,0)*10,[1]Hugst!$R$4:$W$4,0))))</f>
        <v>667.02975371130765</v>
      </c>
      <c r="Z156" s="168">
        <f ca="1">IF($C156-Z$1&lt;År1,0,Y155*(1-VLOOKUP($A156,[1]Hugst!$R$5:$W$9,MATCH(ROUNDUP((Z$1)/10,0)*10,[1]Hugst!$R$4:$W$4,0))))</f>
        <v>1129.1579735740872</v>
      </c>
      <c r="AA156" s="168">
        <f ca="1">IF($C156-AA$1&lt;År1,0,Z155*(1-VLOOKUP($A156,[1]Hugst!$R$5:$W$9,MATCH(ROUNDUP((AA$1)/10,0)*10,[1]Hugst!$R$4:$W$4,0))))</f>
        <v>1129.6773442278643</v>
      </c>
      <c r="AB156" s="168">
        <f ca="1">IF($C156-AB$1&lt;År1,0,AA155*(1-VLOOKUP($A156,[1]Hugst!$R$5:$W$9,MATCH(ROUNDUP((AB$1)/10,0)*10,[1]Hugst!$R$4:$W$4,0))))</f>
        <v>1130.1993247844275</v>
      </c>
      <c r="AC156" s="168">
        <f ca="1">IF($C156-AC$1&lt;År1,0,AB155*(1-VLOOKUP($A156,[1]Hugst!$R$5:$W$9,MATCH(ROUNDUP((AC$1)/10,0)*10,[1]Hugst!$R$4:$W$4,0))))</f>
        <v>1130.7239283588656</v>
      </c>
      <c r="AD156" s="168">
        <f ca="1">IF($C156-AD$1&lt;År1,0,AC155*(1-VLOOKUP($A156,[1]Hugst!$R$5:$W$9,MATCH(ROUNDUP((AD$1)/10,0)*10,[1]Hugst!$R$4:$W$4,0))))</f>
        <v>1131.2511681321687</v>
      </c>
      <c r="AE156" s="168">
        <f ca="1">IF($C156-AE$1&lt;År1,0,AD155*(1-VLOOKUP($A156,[1]Hugst!$R$5:$W$9,MATCH(ROUNDUP((AE$1)/10,0)*10,[1]Hugst!$R$4:$W$4,0))))</f>
        <v>1131.7810573515656</v>
      </c>
      <c r="AF156" s="168">
        <f ca="1">IF($C156-AF$1&lt;År1,0,AE155*(1-VLOOKUP($A156,[1]Hugst!$R$5:$W$9,MATCH(ROUNDUP((AF$1)/10,0)*10,[1]Hugst!$R$4:$W$4,0))))</f>
        <v>1132.3136093308624</v>
      </c>
      <c r="AG156" s="168">
        <f ca="1">IF($C156-AG$1&lt;År1,0,AF155*(1-VLOOKUP($A156,[1]Hugst!$R$5:$W$9,MATCH(ROUNDUP((AG$1)/10,0)*10,[1]Hugst!$R$4:$W$4,0))))</f>
        <v>1132.8488374507547</v>
      </c>
      <c r="AH156" s="168">
        <f ca="1">IF($C156-AH$1&lt;År1,0,AG155*(1-VLOOKUP($A156,[1]Hugst!$R$5:$W$9,MATCH(ROUNDUP((AH$1)/10,0)*10,[1]Hugst!$R$4:$W$4,0))))</f>
        <v>1133.3867551591973</v>
      </c>
      <c r="AI156" s="168">
        <f ca="1">IF($C156-AI$1&lt;År1,0,AH155*(1-VLOOKUP($A156,[1]Hugst!$R$5:$W$9,MATCH(ROUNDUP((AI$1)/10,0)*10,[1]Hugst!$R$4:$W$4,0))))</f>
        <v>1133.9273759716946</v>
      </c>
      <c r="AJ156" s="168">
        <f ca="1">IF($C156-AJ$1&lt;År1,0,AI155*(1-VLOOKUP($A156,[1]Hugst!$R$5:$W$9,MATCH(ROUNDUP((AJ$1)/10,0)*10,[1]Hugst!$R$4:$W$4,0))))</f>
        <v>1132.4080394471998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(IF(B157="Vestdanmark",Skovbrug!$C$22-(Skovbrug!$C$22)*(1-Skovbrug!$C$9)^(C157-Skovbrug!$B$12),Skovbrug!$F$22-(Skovbrug!$F$22)*(1-Skovbrug!$C$9)^(C157-Skovbrug!$B$12)))*VLOOKUP(A157,Skovbrug!$A$13:$D$17,IF('Skovbrug-alder'!C157&lt;=År2,3,4),FALSE)
-IF(C157&gt;2020,SUM(INDEX($C$1:$D$311,MATCH(1,(2020=$C$1:$C$311)*(B157=$B$1:$B$311)*(A157=$A$1:$A$311),0),2):D156),0)</f>
        <v>31.80749999999971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142.36792289194113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(IF(B158="Vestdanmark",Skovbrug!$C$22-(Skovbrug!$C$22)*(1-Skovbrug!$C$9)^(C158-Skovbrug!$B$12),Skovbrug!$F$22-(Skovbrug!$F$22)*(1-Skovbrug!$C$9)^(C158-Skovbrug!$B$12)))*VLOOKUP(A158,Skovbrug!$A$13:$D$17,IF('Skovbrug-alder'!C158&lt;=År2,3,4),FALSE)
-IF(C158&gt;2020,SUM(INDEX($C$1:$D$311,MATCH(1,(2020=$C$1:$C$311)*(B158=$B$1:$B$311)*(A158=$A$1:$A$311),0),2):D157),0)</f>
        <v>31.648462499999734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142.20888539194115</v>
      </c>
      <c r="G158" s="168">
        <f ca="1">IF($C158-G$1&lt;År1,0,F157*(1-VLOOKUP($A158,[1]Hugst!$R$5:$W$9,MATCH(ROUNDUP((G$1)/10,0)*10,[1]Hugst!$R$4:$W$4,0))))</f>
        <v>142.36792289194113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(IF(B159="Vestdanmark",Skovbrug!$C$22-(Skovbrug!$C$22)*(1-Skovbrug!$C$9)^(C159-Skovbrug!$B$12),Skovbrug!$F$22-(Skovbrug!$F$22)*(1-Skovbrug!$C$9)^(C159-Skovbrug!$B$12)))*VLOOKUP(A159,Skovbrug!$A$13:$D$17,IF('Skovbrug-alder'!C159&lt;=År2,3,4),FALSE)
-IF(C159&gt;2020,SUM(INDEX($C$1:$D$311,MATCH(1,(2020=$C$1:$C$311)*(B159=$B$1:$B$311)*(A159=$A$1:$A$311),0),2):D158),0)</f>
        <v>31.490220187500384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142.05064307944181</v>
      </c>
      <c r="G159" s="168">
        <f ca="1">IF($C159-G$1&lt;År1,0,F158*(1-VLOOKUP($A159,[1]Hugst!$R$5:$W$9,MATCH(ROUNDUP((G$1)/10,0)*10,[1]Hugst!$R$4:$W$4,0))))</f>
        <v>142.20888539194115</v>
      </c>
      <c r="H159" s="168">
        <f ca="1">IF($C159-H$1&lt;År1,0,G158*(1-VLOOKUP($A159,[1]Hugst!$R$5:$W$9,MATCH(ROUNDUP((H$1)/10,0)*10,[1]Hugst!$R$4:$W$4,0))))</f>
        <v>142.36792289194113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(IF(B160="Vestdanmark",Skovbrug!$C$22-(Skovbrug!$C$22)*(1-Skovbrug!$C$9)^(C160-Skovbrug!$B$12),Skovbrug!$F$22-(Skovbrug!$F$22)*(1-Skovbrug!$C$9)^(C160-Skovbrug!$B$12)))*VLOOKUP(A160,Skovbrug!$A$13:$D$17,IF('Skovbrug-alder'!C160&lt;=År2,3,4),FALSE)
-IF(C160&gt;2020,SUM(INDEX($C$1:$D$311,MATCH(1,(2020=$C$1:$C$311)*(B160=$B$1:$B$311)*(A160=$A$1:$A$311),0),2):D159),0)</f>
        <v>31.332769086562621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141.89319197850403</v>
      </c>
      <c r="G160" s="168">
        <f ca="1">IF($C160-G$1&lt;År1,0,F159*(1-VLOOKUP($A160,[1]Hugst!$R$5:$W$9,MATCH(ROUNDUP((G$1)/10,0)*10,[1]Hugst!$R$4:$W$4,0))))</f>
        <v>142.05064307944181</v>
      </c>
      <c r="H160" s="168">
        <f ca="1">IF($C160-H$1&lt;År1,0,G159*(1-VLOOKUP($A160,[1]Hugst!$R$5:$W$9,MATCH(ROUNDUP((H$1)/10,0)*10,[1]Hugst!$R$4:$W$4,0))))</f>
        <v>142.20888539194115</v>
      </c>
      <c r="I160" s="168">
        <f ca="1">IF($C160-I$1&lt;År1,0,H159*(1-VLOOKUP($A160,[1]Hugst!$R$5:$W$9,MATCH(ROUNDUP((I$1)/10,0)*10,[1]Hugst!$R$4:$W$4,0))))</f>
        <v>142.36792289194113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(IF(B161="Vestdanmark",Skovbrug!$C$22-(Skovbrug!$C$22)*(1-Skovbrug!$C$9)^(C161-Skovbrug!$B$12),Skovbrug!$F$22-(Skovbrug!$F$22)*(1-Skovbrug!$C$9)^(C161-Skovbrug!$B$12)))*VLOOKUP(A161,Skovbrug!$A$13:$D$17,IF('Skovbrug-alder'!C161&lt;=År2,3,4),FALSE)
-IF(C161&gt;2020,SUM(INDEX($C$1:$D$311,MATCH(1,(2020=$C$1:$C$311)*(B161=$B$1:$B$311)*(A161=$A$1:$A$311),0),2):D160),0)</f>
        <v>31.176105241128965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141.73652813307041</v>
      </c>
      <c r="G161" s="168">
        <f ca="1">IF($C161-G$1&lt;År1,0,F160*(1-VLOOKUP($A161,[1]Hugst!$R$5:$W$9,MATCH(ROUNDUP((G$1)/10,0)*10,[1]Hugst!$R$4:$W$4,0))))</f>
        <v>141.89319197850403</v>
      </c>
      <c r="H161" s="168">
        <f ca="1">IF($C161-H$1&lt;År1,0,G160*(1-VLOOKUP($A161,[1]Hugst!$R$5:$W$9,MATCH(ROUNDUP((H$1)/10,0)*10,[1]Hugst!$R$4:$W$4,0))))</f>
        <v>142.05064307944181</v>
      </c>
      <c r="I161" s="168">
        <f ca="1">IF($C161-I$1&lt;År1,0,H160*(1-VLOOKUP($A161,[1]Hugst!$R$5:$W$9,MATCH(ROUNDUP((I$1)/10,0)*10,[1]Hugst!$R$4:$W$4,0))))</f>
        <v>142.20888539194115</v>
      </c>
      <c r="J161" s="168">
        <f ca="1">IF($C161-J$1&lt;År1,0,I160*(1-VLOOKUP($A161,[1]Hugst!$R$5:$W$9,MATCH(ROUNDUP((J$1)/10,0)*10,[1]Hugst!$R$4:$W$4,0))))</f>
        <v>142.36792289194113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(IF(B162="Vestdanmark",Skovbrug!$C$22-(Skovbrug!$C$22)*(1-Skovbrug!$C$9)^(C162-Skovbrug!$B$12),Skovbrug!$F$22-(Skovbrug!$F$22)*(1-Skovbrug!$C$9)^(C162-Skovbrug!$B$12)))*VLOOKUP(A162,Skovbrug!$A$13:$D$17,IF('Skovbrug-alder'!C162&lt;=År2,3,4),FALSE)
-IF(C162&gt;2020,SUM(INDEX($C$1:$D$311,MATCH(1,(2020=$C$1:$C$311)*(B162=$B$1:$B$311)*(A162=$A$1:$A$311),0),2):D161),0)</f>
        <v>31.020224714923842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141.58064760686528</v>
      </c>
      <c r="G162" s="168">
        <f ca="1">IF($C162-G$1&lt;År1,0,F161*(1-VLOOKUP($A162,[1]Hugst!$R$5:$W$9,MATCH(ROUNDUP((G$1)/10,0)*10,[1]Hugst!$R$4:$W$4,0))))</f>
        <v>141.73652813307041</v>
      </c>
      <c r="H162" s="168">
        <f ca="1">IF($C162-H$1&lt;År1,0,G161*(1-VLOOKUP($A162,[1]Hugst!$R$5:$W$9,MATCH(ROUNDUP((H$1)/10,0)*10,[1]Hugst!$R$4:$W$4,0))))</f>
        <v>141.89319197850403</v>
      </c>
      <c r="I162" s="168">
        <f ca="1">IF($C162-I$1&lt;År1,0,H161*(1-VLOOKUP($A162,[1]Hugst!$R$5:$W$9,MATCH(ROUNDUP((I$1)/10,0)*10,[1]Hugst!$R$4:$W$4,0))))</f>
        <v>142.05064307944181</v>
      </c>
      <c r="J162" s="168">
        <f ca="1">IF($C162-J$1&lt;År1,0,I161*(1-VLOOKUP($A162,[1]Hugst!$R$5:$W$9,MATCH(ROUNDUP((J$1)/10,0)*10,[1]Hugst!$R$4:$W$4,0))))</f>
        <v>142.20888539194115</v>
      </c>
      <c r="K162" s="168">
        <f ca="1">IF($C162-K$1&lt;År1,0,J161*(1-VLOOKUP($A162,[1]Hugst!$R$5:$W$9,MATCH(ROUNDUP((K$1)/10,0)*10,[1]Hugst!$R$4:$W$4,0))))</f>
        <v>142.36792289194113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(IF(B163="Vestdanmark",Skovbrug!$C$22-(Skovbrug!$C$22)*(1-Skovbrug!$C$9)^(C163-Skovbrug!$B$12),Skovbrug!$F$22-(Skovbrug!$F$22)*(1-Skovbrug!$C$9)^(C163-Skovbrug!$B$12)))*VLOOKUP(A163,Skovbrug!$A$13:$D$17,IF('Skovbrug-alder'!C163&lt;=År2,3,4),FALSE)
-IF(C163&gt;2020,SUM(INDEX($C$1:$D$311,MATCH(1,(2020=$C$1:$C$311)*(B163=$B$1:$B$311)*(A163=$A$1:$A$311),0),2):D162),0)</f>
        <v>30.865123591350113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141.42554648329155</v>
      </c>
      <c r="G163" s="168">
        <f ca="1">IF($C163-G$1&lt;År1,0,F162*(1-VLOOKUP($A163,[1]Hugst!$R$5:$W$9,MATCH(ROUNDUP((G$1)/10,0)*10,[1]Hugst!$R$4:$W$4,0))))</f>
        <v>141.58064760686528</v>
      </c>
      <c r="H163" s="168">
        <f ca="1">IF($C163-H$1&lt;År1,0,G162*(1-VLOOKUP($A163,[1]Hugst!$R$5:$W$9,MATCH(ROUNDUP((H$1)/10,0)*10,[1]Hugst!$R$4:$W$4,0))))</f>
        <v>141.73652813307041</v>
      </c>
      <c r="I163" s="168">
        <f ca="1">IF($C163-I$1&lt;År1,0,H162*(1-VLOOKUP($A163,[1]Hugst!$R$5:$W$9,MATCH(ROUNDUP((I$1)/10,0)*10,[1]Hugst!$R$4:$W$4,0))))</f>
        <v>141.89319197850403</v>
      </c>
      <c r="J163" s="168">
        <f ca="1">IF($C163-J$1&lt;År1,0,I162*(1-VLOOKUP($A163,[1]Hugst!$R$5:$W$9,MATCH(ROUNDUP((J$1)/10,0)*10,[1]Hugst!$R$4:$W$4,0))))</f>
        <v>142.05064307944181</v>
      </c>
      <c r="K163" s="168">
        <f ca="1">IF($C163-K$1&lt;År1,0,J162*(1-VLOOKUP($A163,[1]Hugst!$R$5:$W$9,MATCH(ROUNDUP((K$1)/10,0)*10,[1]Hugst!$R$4:$W$4,0))))</f>
        <v>142.20888539194115</v>
      </c>
      <c r="L163" s="168">
        <f ca="1">IF($C163-L$1&lt;År1,0,K162*(1-VLOOKUP($A163,[1]Hugst!$R$5:$W$9,MATCH(ROUNDUP((L$1)/10,0)*10,[1]Hugst!$R$4:$W$4,0))))</f>
        <v>142.36792289194113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(IF(B164="Vestdanmark",Skovbrug!$C$22-(Skovbrug!$C$22)*(1-Skovbrug!$C$9)^(C164-Skovbrug!$B$12),Skovbrug!$F$22-(Skovbrug!$F$22)*(1-Skovbrug!$C$9)^(C164-Skovbrug!$B$12)))*VLOOKUP(A164,Skovbrug!$A$13:$D$17,IF('Skovbrug-alder'!C164&lt;=År2,3,4),FALSE)
-IF(C164&gt;2020,SUM(INDEX($C$1:$D$311,MATCH(1,(2020=$C$1:$C$311)*(B164=$B$1:$B$311)*(A164=$A$1:$A$311),0),2):D163),0)</f>
        <v>30.71079797339263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141.27122086533404</v>
      </c>
      <c r="G164" s="168">
        <f ca="1">IF($C164-G$1&lt;År1,0,F163*(1-VLOOKUP($A164,[1]Hugst!$R$5:$W$9,MATCH(ROUNDUP((G$1)/10,0)*10,[1]Hugst!$R$4:$W$4,0))))</f>
        <v>141.42554648329155</v>
      </c>
      <c r="H164" s="168">
        <f ca="1">IF($C164-H$1&lt;År1,0,G163*(1-VLOOKUP($A164,[1]Hugst!$R$5:$W$9,MATCH(ROUNDUP((H$1)/10,0)*10,[1]Hugst!$R$4:$W$4,0))))</f>
        <v>141.58064760686528</v>
      </c>
      <c r="I164" s="168">
        <f ca="1">IF($C164-I$1&lt;År1,0,H163*(1-VLOOKUP($A164,[1]Hugst!$R$5:$W$9,MATCH(ROUNDUP((I$1)/10,0)*10,[1]Hugst!$R$4:$W$4,0))))</f>
        <v>141.73652813307041</v>
      </c>
      <c r="J164" s="168">
        <f ca="1">IF($C164-J$1&lt;År1,0,I163*(1-VLOOKUP($A164,[1]Hugst!$R$5:$W$9,MATCH(ROUNDUP((J$1)/10,0)*10,[1]Hugst!$R$4:$W$4,0))))</f>
        <v>141.89319197850403</v>
      </c>
      <c r="K164" s="168">
        <f ca="1">IF($C164-K$1&lt;År1,0,J163*(1-VLOOKUP($A164,[1]Hugst!$R$5:$W$9,MATCH(ROUNDUP((K$1)/10,0)*10,[1]Hugst!$R$4:$W$4,0))))</f>
        <v>142.05064307944181</v>
      </c>
      <c r="L164" s="168">
        <f ca="1">IF($C164-L$1&lt;År1,0,K163*(1-VLOOKUP($A164,[1]Hugst!$R$5:$W$9,MATCH(ROUNDUP((L$1)/10,0)*10,[1]Hugst!$R$4:$W$4,0))))</f>
        <v>142.20888539194115</v>
      </c>
      <c r="M164" s="168">
        <f ca="1">IF($C164-M$1&lt;År1,0,L163*(1-VLOOKUP($A164,[1]Hugst!$R$5:$W$9,MATCH(ROUNDUP((M$1)/10,0)*10,[1]Hugst!$R$4:$W$4,0))))</f>
        <v>142.36792289194113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(IF(B165="Vestdanmark",Skovbrug!$C$22-(Skovbrug!$C$22)*(1-Skovbrug!$C$9)^(C165-Skovbrug!$B$12),Skovbrug!$F$22-(Skovbrug!$F$22)*(1-Skovbrug!$C$9)^(C165-Skovbrug!$B$12)))*VLOOKUP(A165,Skovbrug!$A$13:$D$17,IF('Skovbrug-alder'!C165&lt;=År2,3,4),FALSE)
-IF(C165&gt;2020,SUM(INDEX($C$1:$D$311,MATCH(1,(2020=$C$1:$C$311)*(B165=$B$1:$B$311)*(A165=$A$1:$A$311),0),2):D164),0)</f>
        <v>30.557243983526121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141.11766687546753</v>
      </c>
      <c r="G165" s="168">
        <f ca="1">IF($C165-G$1&lt;År1,0,F164*(1-VLOOKUP($A165,[1]Hugst!$R$5:$W$9,MATCH(ROUNDUP((G$1)/10,0)*10,[1]Hugst!$R$4:$W$4,0))))</f>
        <v>141.27122086533404</v>
      </c>
      <c r="H165" s="168">
        <f ca="1">IF($C165-H$1&lt;År1,0,G164*(1-VLOOKUP($A165,[1]Hugst!$R$5:$W$9,MATCH(ROUNDUP((H$1)/10,0)*10,[1]Hugst!$R$4:$W$4,0))))</f>
        <v>141.42554648329155</v>
      </c>
      <c r="I165" s="168">
        <f ca="1">IF($C165-I$1&lt;År1,0,H164*(1-VLOOKUP($A165,[1]Hugst!$R$5:$W$9,MATCH(ROUNDUP((I$1)/10,0)*10,[1]Hugst!$R$4:$W$4,0))))</f>
        <v>141.58064760686528</v>
      </c>
      <c r="J165" s="168">
        <f ca="1">IF($C165-J$1&lt;År1,0,I164*(1-VLOOKUP($A165,[1]Hugst!$R$5:$W$9,MATCH(ROUNDUP((J$1)/10,0)*10,[1]Hugst!$R$4:$W$4,0))))</f>
        <v>141.73652813307041</v>
      </c>
      <c r="K165" s="168">
        <f ca="1">IF($C165-K$1&lt;År1,0,J164*(1-VLOOKUP($A165,[1]Hugst!$R$5:$W$9,MATCH(ROUNDUP((K$1)/10,0)*10,[1]Hugst!$R$4:$W$4,0))))</f>
        <v>141.89319197850403</v>
      </c>
      <c r="L165" s="168">
        <f ca="1">IF($C165-L$1&lt;År1,0,K164*(1-VLOOKUP($A165,[1]Hugst!$R$5:$W$9,MATCH(ROUNDUP((L$1)/10,0)*10,[1]Hugst!$R$4:$W$4,0))))</f>
        <v>142.05064307944181</v>
      </c>
      <c r="M165" s="168">
        <f ca="1">IF($C165-M$1&lt;År1,0,L164*(1-VLOOKUP($A165,[1]Hugst!$R$5:$W$9,MATCH(ROUNDUP((M$1)/10,0)*10,[1]Hugst!$R$4:$W$4,0))))</f>
        <v>142.20888539194115</v>
      </c>
      <c r="N165" s="168">
        <f ca="1">IF($C165-N$1&lt;År1,0,M164*(1-VLOOKUP($A165,[1]Hugst!$R$5:$W$9,MATCH(ROUNDUP((N$1)/10,0)*10,[1]Hugst!$R$4:$W$4,0))))</f>
        <v>142.36792289194113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(IF(B166="Vestdanmark",Skovbrug!$C$22-(Skovbrug!$C$22)*(1-Skovbrug!$C$9)^(C166-Skovbrug!$B$12),Skovbrug!$F$22-(Skovbrug!$F$22)*(1-Skovbrug!$C$9)^(C166-Skovbrug!$B$12)))*VLOOKUP(A166,Skovbrug!$A$13:$D$17,IF('Skovbrug-alder'!C166&lt;=År2,3,4),FALSE)
-IF(C166&gt;2020,SUM(INDEX($C$1:$D$311,MATCH(1,(2020=$C$1:$C$311)*(B166=$B$1:$B$311)*(A166=$A$1:$A$311),0),2):D165),0)</f>
        <v>30.40445776360724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140.96488065554865</v>
      </c>
      <c r="G166" s="168">
        <f ca="1">IF($C166-G$1&lt;År1,0,F165*(1-VLOOKUP($A166,[1]Hugst!$R$5:$W$9,MATCH(ROUNDUP((G$1)/10,0)*10,[1]Hugst!$R$4:$W$4,0))))</f>
        <v>141.11766687546753</v>
      </c>
      <c r="H166" s="168">
        <f ca="1">IF($C166-H$1&lt;År1,0,G165*(1-VLOOKUP($A166,[1]Hugst!$R$5:$W$9,MATCH(ROUNDUP((H$1)/10,0)*10,[1]Hugst!$R$4:$W$4,0))))</f>
        <v>141.27122086533404</v>
      </c>
      <c r="I166" s="168">
        <f ca="1">IF($C166-I$1&lt;År1,0,H165*(1-VLOOKUP($A166,[1]Hugst!$R$5:$W$9,MATCH(ROUNDUP((I$1)/10,0)*10,[1]Hugst!$R$4:$W$4,0))))</f>
        <v>141.42554648329155</v>
      </c>
      <c r="J166" s="168">
        <f ca="1">IF($C166-J$1&lt;År1,0,I165*(1-VLOOKUP($A166,[1]Hugst!$R$5:$W$9,MATCH(ROUNDUP((J$1)/10,0)*10,[1]Hugst!$R$4:$W$4,0))))</f>
        <v>141.58064760686528</v>
      </c>
      <c r="K166" s="168">
        <f ca="1">IF($C166-K$1&lt;År1,0,J165*(1-VLOOKUP($A166,[1]Hugst!$R$5:$W$9,MATCH(ROUNDUP((K$1)/10,0)*10,[1]Hugst!$R$4:$W$4,0))))</f>
        <v>141.73652813307041</v>
      </c>
      <c r="L166" s="168">
        <f ca="1">IF($C166-L$1&lt;År1,0,K165*(1-VLOOKUP($A166,[1]Hugst!$R$5:$W$9,MATCH(ROUNDUP((L$1)/10,0)*10,[1]Hugst!$R$4:$W$4,0))))</f>
        <v>141.89319197850403</v>
      </c>
      <c r="M166" s="168">
        <f ca="1">IF($C166-M$1&lt;År1,0,L165*(1-VLOOKUP($A166,[1]Hugst!$R$5:$W$9,MATCH(ROUNDUP((M$1)/10,0)*10,[1]Hugst!$R$4:$W$4,0))))</f>
        <v>142.05064307944181</v>
      </c>
      <c r="N166" s="168">
        <f ca="1">IF($C166-N$1&lt;År1,0,M165*(1-VLOOKUP($A166,[1]Hugst!$R$5:$W$9,MATCH(ROUNDUP((N$1)/10,0)*10,[1]Hugst!$R$4:$W$4,0))))</f>
        <v>142.20888539194115</v>
      </c>
      <c r="O166" s="168">
        <f ca="1">IF($C166-O$1&lt;År1,0,N165*(1-VLOOKUP($A166,[1]Hugst!$R$5:$W$9,MATCH(ROUNDUP((O$1)/10,0)*10,[1]Hugst!$R$4:$W$4,0))))</f>
        <v>142.36792289194113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(IF(B167="Vestdanmark",Skovbrug!$C$22-(Skovbrug!$C$22)*(1-Skovbrug!$C$9)^(C167-Skovbrug!$B$12),Skovbrug!$F$22-(Skovbrug!$F$22)*(1-Skovbrug!$C$9)^(C167-Skovbrug!$B$12)))*VLOOKUP(A167,Skovbrug!$A$13:$D$17,IF('Skovbrug-alder'!C167&lt;=År2,3,4),FALSE)
-IF(C167&gt;2020,SUM(INDEX($C$1:$D$311,MATCH(1,(2020=$C$1:$C$311)*(B167=$B$1:$B$311)*(A167=$A$1:$A$311),0),2):D166),0)</f>
        <v>30.252435474790389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140.8128583667318</v>
      </c>
      <c r="G167" s="168">
        <f ca="1">IF($C167-G$1&lt;År1,0,F166*(1-VLOOKUP($A167,[1]Hugst!$R$5:$W$9,MATCH(ROUNDUP((G$1)/10,0)*10,[1]Hugst!$R$4:$W$4,0))))</f>
        <v>140.96488065554865</v>
      </c>
      <c r="H167" s="168">
        <f ca="1">IF($C167-H$1&lt;År1,0,G166*(1-VLOOKUP($A167,[1]Hugst!$R$5:$W$9,MATCH(ROUNDUP((H$1)/10,0)*10,[1]Hugst!$R$4:$W$4,0))))</f>
        <v>141.11766687546753</v>
      </c>
      <c r="I167" s="168">
        <f ca="1">IF($C167-I$1&lt;År1,0,H166*(1-VLOOKUP($A167,[1]Hugst!$R$5:$W$9,MATCH(ROUNDUP((I$1)/10,0)*10,[1]Hugst!$R$4:$W$4,0))))</f>
        <v>141.27122086533404</v>
      </c>
      <c r="J167" s="168">
        <f ca="1">IF($C167-J$1&lt;År1,0,I166*(1-VLOOKUP($A167,[1]Hugst!$R$5:$W$9,MATCH(ROUNDUP((J$1)/10,0)*10,[1]Hugst!$R$4:$W$4,0))))</f>
        <v>141.42554648329155</v>
      </c>
      <c r="K167" s="168">
        <f ca="1">IF($C167-K$1&lt;År1,0,J166*(1-VLOOKUP($A167,[1]Hugst!$R$5:$W$9,MATCH(ROUNDUP((K$1)/10,0)*10,[1]Hugst!$R$4:$W$4,0))))</f>
        <v>141.58064760686528</v>
      </c>
      <c r="L167" s="168">
        <f ca="1">IF($C167-L$1&lt;År1,0,K166*(1-VLOOKUP($A167,[1]Hugst!$R$5:$W$9,MATCH(ROUNDUP((L$1)/10,0)*10,[1]Hugst!$R$4:$W$4,0))))</f>
        <v>141.73652813307041</v>
      </c>
      <c r="M167" s="168">
        <f ca="1">IF($C167-M$1&lt;År1,0,L166*(1-VLOOKUP($A167,[1]Hugst!$R$5:$W$9,MATCH(ROUNDUP((M$1)/10,0)*10,[1]Hugst!$R$4:$W$4,0))))</f>
        <v>141.89319197850403</v>
      </c>
      <c r="N167" s="168">
        <f ca="1">IF($C167-N$1&lt;År1,0,M166*(1-VLOOKUP($A167,[1]Hugst!$R$5:$W$9,MATCH(ROUNDUP((N$1)/10,0)*10,[1]Hugst!$R$4:$W$4,0))))</f>
        <v>142.05064307944181</v>
      </c>
      <c r="O167" s="168">
        <f ca="1">IF($C167-O$1&lt;År1,0,N166*(1-VLOOKUP($A167,[1]Hugst!$R$5:$W$9,MATCH(ROUNDUP((O$1)/10,0)*10,[1]Hugst!$R$4:$W$4,0))))</f>
        <v>142.20888539194115</v>
      </c>
      <c r="P167" s="168">
        <f ca="1">IF($C167-P$1&lt;År1,0,O166*(1-VLOOKUP($A167,[1]Hugst!$R$5:$W$9,MATCH(ROUNDUP((P$1)/10,0)*10,[1]Hugst!$R$4:$W$4,0))))</f>
        <v>142.36792289194113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(IF(B168="Vestdanmark",Skovbrug!$C$22-(Skovbrug!$C$22)*(1-Skovbrug!$C$9)^(C168-Skovbrug!$B$12),Skovbrug!$F$22-(Skovbrug!$F$22)*(1-Skovbrug!$C$9)^(C168-Skovbrug!$B$12)))*VLOOKUP(A168,Skovbrug!$A$13:$D$17,IF('Skovbrug-alder'!C168&lt;=År2,3,4),FALSE)
-IF(C168&gt;2020,SUM(INDEX($C$1:$D$311,MATCH(1,(2020=$C$1:$C$311)*(B168=$B$1:$B$311)*(A168=$A$1:$A$311),0),2):D167),0)</f>
        <v>30.101173297415528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90.909405887983326</v>
      </c>
      <c r="G168" s="168">
        <f ca="1">IF($C168-G$1&lt;År1,0,F167*(1-VLOOKUP($A168,[1]Hugst!$R$5:$W$9,MATCH(ROUNDUP((G$1)/10,0)*10,[1]Hugst!$R$4:$W$4,0))))</f>
        <v>140.8128583667318</v>
      </c>
      <c r="H168" s="168">
        <f ca="1">IF($C168-H$1&lt;År1,0,G167*(1-VLOOKUP($A168,[1]Hugst!$R$5:$W$9,MATCH(ROUNDUP((H$1)/10,0)*10,[1]Hugst!$R$4:$W$4,0))))</f>
        <v>140.96488065554865</v>
      </c>
      <c r="I168" s="168">
        <f ca="1">IF($C168-I$1&lt;År1,0,H167*(1-VLOOKUP($A168,[1]Hugst!$R$5:$W$9,MATCH(ROUNDUP((I$1)/10,0)*10,[1]Hugst!$R$4:$W$4,0))))</f>
        <v>141.11766687546753</v>
      </c>
      <c r="J168" s="168">
        <f ca="1">IF($C168-J$1&lt;År1,0,I167*(1-VLOOKUP($A168,[1]Hugst!$R$5:$W$9,MATCH(ROUNDUP((J$1)/10,0)*10,[1]Hugst!$R$4:$W$4,0))))</f>
        <v>141.27122086533404</v>
      </c>
      <c r="K168" s="168">
        <f ca="1">IF($C168-K$1&lt;År1,0,J167*(1-VLOOKUP($A168,[1]Hugst!$R$5:$W$9,MATCH(ROUNDUP((K$1)/10,0)*10,[1]Hugst!$R$4:$W$4,0))))</f>
        <v>141.42554648329155</v>
      </c>
      <c r="L168" s="168">
        <f ca="1">IF($C168-L$1&lt;År1,0,K167*(1-VLOOKUP($A168,[1]Hugst!$R$5:$W$9,MATCH(ROUNDUP((L$1)/10,0)*10,[1]Hugst!$R$4:$W$4,0))))</f>
        <v>141.58064760686528</v>
      </c>
      <c r="M168" s="168">
        <f ca="1">IF($C168-M$1&lt;År1,0,L167*(1-VLOOKUP($A168,[1]Hugst!$R$5:$W$9,MATCH(ROUNDUP((M$1)/10,0)*10,[1]Hugst!$R$4:$W$4,0))))</f>
        <v>141.73652813307041</v>
      </c>
      <c r="N168" s="168">
        <f ca="1">IF($C168-N$1&lt;År1,0,M167*(1-VLOOKUP($A168,[1]Hugst!$R$5:$W$9,MATCH(ROUNDUP((N$1)/10,0)*10,[1]Hugst!$R$4:$W$4,0))))</f>
        <v>141.89319197850403</v>
      </c>
      <c r="O168" s="168">
        <f ca="1">IF($C168-O$1&lt;År1,0,N167*(1-VLOOKUP($A168,[1]Hugst!$R$5:$W$9,MATCH(ROUNDUP((O$1)/10,0)*10,[1]Hugst!$R$4:$W$4,0))))</f>
        <v>142.05064307944181</v>
      </c>
      <c r="P168" s="168">
        <f ca="1">IF($C168-P$1&lt;År1,0,O167*(1-VLOOKUP($A168,[1]Hugst!$R$5:$W$9,MATCH(ROUNDUP((P$1)/10,0)*10,[1]Hugst!$R$4:$W$4,0))))</f>
        <v>142.20888539194115</v>
      </c>
      <c r="Q168" s="168">
        <f ca="1">IF($C168-Q$1&lt;År1,0,P167*(1-VLOOKUP($A168,[1]Hugst!$R$5:$W$9,MATCH(ROUNDUP((Q$1)/10,0)*10,[1]Hugst!$R$4:$W$4,0))))</f>
        <v>142.36792289194113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(IF(B169="Vestdanmark",Skovbrug!$C$22-(Skovbrug!$C$22)*(1-Skovbrug!$C$9)^(C169-Skovbrug!$B$12),Skovbrug!$F$22-(Skovbrug!$F$22)*(1-Skovbrug!$C$9)^(C169-Skovbrug!$B$12)))*VLOOKUP(A169,Skovbrug!$A$13:$D$17,IF('Skovbrug-alder'!C169&lt;=År2,3,4),FALSE)
-IF(C169&gt;2020,SUM(INDEX($C$1:$D$311,MATCH(1,(2020=$C$1:$C$311)*(B169=$B$1:$B$311)*(A169=$A$1:$A$311),0),2):D168),0)</f>
        <v>29.950667430929002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90.7589000214968</v>
      </c>
      <c r="G169" s="168">
        <f ca="1">IF($C169-G$1&lt;År1,0,F168*(1-VLOOKUP($A169,[1]Hugst!$R$5:$W$9,MATCH(ROUNDUP((G$1)/10,0)*10,[1]Hugst!$R$4:$W$4,0))))</f>
        <v>90.909405887983326</v>
      </c>
      <c r="H169" s="168">
        <f ca="1">IF($C169-H$1&lt;År1,0,G168*(1-VLOOKUP($A169,[1]Hugst!$R$5:$W$9,MATCH(ROUNDUP((H$1)/10,0)*10,[1]Hugst!$R$4:$W$4,0))))</f>
        <v>140.8128583667318</v>
      </c>
      <c r="I169" s="168">
        <f ca="1">IF($C169-I$1&lt;År1,0,H168*(1-VLOOKUP($A169,[1]Hugst!$R$5:$W$9,MATCH(ROUNDUP((I$1)/10,0)*10,[1]Hugst!$R$4:$W$4,0))))</f>
        <v>140.96488065554865</v>
      </c>
      <c r="J169" s="168">
        <f ca="1">IF($C169-J$1&lt;År1,0,I168*(1-VLOOKUP($A169,[1]Hugst!$R$5:$W$9,MATCH(ROUNDUP((J$1)/10,0)*10,[1]Hugst!$R$4:$W$4,0))))</f>
        <v>141.11766687546753</v>
      </c>
      <c r="K169" s="168">
        <f ca="1">IF($C169-K$1&lt;År1,0,J168*(1-VLOOKUP($A169,[1]Hugst!$R$5:$W$9,MATCH(ROUNDUP((K$1)/10,0)*10,[1]Hugst!$R$4:$W$4,0))))</f>
        <v>141.27122086533404</v>
      </c>
      <c r="L169" s="168">
        <f ca="1">IF($C169-L$1&lt;År1,0,K168*(1-VLOOKUP($A169,[1]Hugst!$R$5:$W$9,MATCH(ROUNDUP((L$1)/10,0)*10,[1]Hugst!$R$4:$W$4,0))))</f>
        <v>141.42554648329155</v>
      </c>
      <c r="M169" s="168">
        <f ca="1">IF($C169-M$1&lt;År1,0,L168*(1-VLOOKUP($A169,[1]Hugst!$R$5:$W$9,MATCH(ROUNDUP((M$1)/10,0)*10,[1]Hugst!$R$4:$W$4,0))))</f>
        <v>141.58064760686528</v>
      </c>
      <c r="N169" s="168">
        <f ca="1">IF($C169-N$1&lt;År1,0,M168*(1-VLOOKUP($A169,[1]Hugst!$R$5:$W$9,MATCH(ROUNDUP((N$1)/10,0)*10,[1]Hugst!$R$4:$W$4,0))))</f>
        <v>141.73652813307041</v>
      </c>
      <c r="O169" s="168">
        <f ca="1">IF($C169-O$1&lt;År1,0,N168*(1-VLOOKUP($A169,[1]Hugst!$R$5:$W$9,MATCH(ROUNDUP((O$1)/10,0)*10,[1]Hugst!$R$4:$W$4,0))))</f>
        <v>141.89319197850403</v>
      </c>
      <c r="P169" s="168">
        <f ca="1">IF($C169-P$1&lt;År1,0,O168*(1-VLOOKUP($A169,[1]Hugst!$R$5:$W$9,MATCH(ROUNDUP((P$1)/10,0)*10,[1]Hugst!$R$4:$W$4,0))))</f>
        <v>142.05064307944181</v>
      </c>
      <c r="Q169" s="168">
        <f ca="1">IF($C169-Q$1&lt;År1,0,P168*(1-VLOOKUP($A169,[1]Hugst!$R$5:$W$9,MATCH(ROUNDUP((Q$1)/10,0)*10,[1]Hugst!$R$4:$W$4,0))))</f>
        <v>142.20888539194115</v>
      </c>
      <c r="R169" s="168">
        <f ca="1">IF($C169-R$1&lt;År1,0,Q168*(1-VLOOKUP($A169,[1]Hugst!$R$5:$W$9,MATCH(ROUNDUP((R$1)/10,0)*10,[1]Hugst!$R$4:$W$4,0))))</f>
        <v>142.36792289194113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(IF(B170="Vestdanmark",Skovbrug!$C$22-(Skovbrug!$C$22)*(1-Skovbrug!$C$9)^(C170-Skovbrug!$B$12),Skovbrug!$F$22-(Skovbrug!$F$22)*(1-Skovbrug!$C$9)^(C170-Skovbrug!$B$12)))*VLOOKUP(A170,Skovbrug!$A$13:$D$17,IF('Skovbrug-alder'!C170&lt;=År2,3,4),FALSE)
-IF(C170&gt;2020,SUM(INDEX($C$1:$D$311,MATCH(1,(2020=$C$1:$C$311)*(B170=$B$1:$B$311)*(A170=$A$1:$A$311),0),2):D169),0)</f>
        <v>29.800914093774225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90.609146684342022</v>
      </c>
      <c r="G170" s="168">
        <f ca="1">IF($C170-G$1&lt;År1,0,F169*(1-VLOOKUP($A170,[1]Hugst!$R$5:$W$9,MATCH(ROUNDUP((G$1)/10,0)*10,[1]Hugst!$R$4:$W$4,0))))</f>
        <v>90.7589000214968</v>
      </c>
      <c r="H170" s="168">
        <f ca="1">IF($C170-H$1&lt;År1,0,G169*(1-VLOOKUP($A170,[1]Hugst!$R$5:$W$9,MATCH(ROUNDUP((H$1)/10,0)*10,[1]Hugst!$R$4:$W$4,0))))</f>
        <v>90.909405887983326</v>
      </c>
      <c r="I170" s="168">
        <f ca="1">IF($C170-I$1&lt;År1,0,H169*(1-VLOOKUP($A170,[1]Hugst!$R$5:$W$9,MATCH(ROUNDUP((I$1)/10,0)*10,[1]Hugst!$R$4:$W$4,0))))</f>
        <v>140.8128583667318</v>
      </c>
      <c r="J170" s="168">
        <f ca="1">IF($C170-J$1&lt;År1,0,I169*(1-VLOOKUP($A170,[1]Hugst!$R$5:$W$9,MATCH(ROUNDUP((J$1)/10,0)*10,[1]Hugst!$R$4:$W$4,0))))</f>
        <v>140.96488065554865</v>
      </c>
      <c r="K170" s="168">
        <f ca="1">IF($C170-K$1&lt;År1,0,J169*(1-VLOOKUP($A170,[1]Hugst!$R$5:$W$9,MATCH(ROUNDUP((K$1)/10,0)*10,[1]Hugst!$R$4:$W$4,0))))</f>
        <v>141.11766687546753</v>
      </c>
      <c r="L170" s="168">
        <f ca="1">IF($C170-L$1&lt;År1,0,K169*(1-VLOOKUP($A170,[1]Hugst!$R$5:$W$9,MATCH(ROUNDUP((L$1)/10,0)*10,[1]Hugst!$R$4:$W$4,0))))</f>
        <v>141.27122086533404</v>
      </c>
      <c r="M170" s="168">
        <f ca="1">IF($C170-M$1&lt;År1,0,L169*(1-VLOOKUP($A170,[1]Hugst!$R$5:$W$9,MATCH(ROUNDUP((M$1)/10,0)*10,[1]Hugst!$R$4:$W$4,0))))</f>
        <v>141.42554648329155</v>
      </c>
      <c r="N170" s="168">
        <f ca="1">IF($C170-N$1&lt;År1,0,M169*(1-VLOOKUP($A170,[1]Hugst!$R$5:$W$9,MATCH(ROUNDUP((N$1)/10,0)*10,[1]Hugst!$R$4:$W$4,0))))</f>
        <v>141.58064760686528</v>
      </c>
      <c r="O170" s="168">
        <f ca="1">IF($C170-O$1&lt;År1,0,N169*(1-VLOOKUP($A170,[1]Hugst!$R$5:$W$9,MATCH(ROUNDUP((O$1)/10,0)*10,[1]Hugst!$R$4:$W$4,0))))</f>
        <v>141.73652813307041</v>
      </c>
      <c r="P170" s="168">
        <f ca="1">IF($C170-P$1&lt;År1,0,O169*(1-VLOOKUP($A170,[1]Hugst!$R$5:$W$9,MATCH(ROUNDUP((P$1)/10,0)*10,[1]Hugst!$R$4:$W$4,0))))</f>
        <v>141.89319197850403</v>
      </c>
      <c r="Q170" s="168">
        <f ca="1">IF($C170-Q$1&lt;År1,0,P169*(1-VLOOKUP($A170,[1]Hugst!$R$5:$W$9,MATCH(ROUNDUP((Q$1)/10,0)*10,[1]Hugst!$R$4:$W$4,0))))</f>
        <v>142.05064307944181</v>
      </c>
      <c r="R170" s="168">
        <f ca="1">IF($C170-R$1&lt;År1,0,Q169*(1-VLOOKUP($A170,[1]Hugst!$R$5:$W$9,MATCH(ROUNDUP((R$1)/10,0)*10,[1]Hugst!$R$4:$W$4,0))))</f>
        <v>142.20888539194115</v>
      </c>
      <c r="S170" s="168">
        <f ca="1">IF($C170-S$1&lt;År1,0,R169*(1-VLOOKUP($A170,[1]Hugst!$R$5:$W$9,MATCH(ROUNDUP((S$1)/10,0)*10,[1]Hugst!$R$4:$W$4,0))))</f>
        <v>142.36792289194113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(IF(B171="Vestdanmark",Skovbrug!$C$22-(Skovbrug!$C$22)*(1-Skovbrug!$C$9)^(C171-Skovbrug!$B$12),Skovbrug!$F$22-(Skovbrug!$F$22)*(1-Skovbrug!$C$9)^(C171-Skovbrug!$B$12)))*VLOOKUP(A171,Skovbrug!$A$13:$D$17,IF('Skovbrug-alder'!C171&lt;=År2,3,4),FALSE)
-IF(C171&gt;2020,SUM(INDEX($C$1:$D$311,MATCH(1,(2020=$C$1:$C$311)*(B171=$B$1:$B$311)*(A171=$A$1:$A$311),0),2):D170),0)</f>
        <v>29.651909523305221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90.460142113873019</v>
      </c>
      <c r="G171" s="168">
        <f ca="1">IF($C171-G$1&lt;År1,0,F170*(1-VLOOKUP($A171,[1]Hugst!$R$5:$W$9,MATCH(ROUNDUP((G$1)/10,0)*10,[1]Hugst!$R$4:$W$4,0))))</f>
        <v>90.609146684342022</v>
      </c>
      <c r="H171" s="168">
        <f ca="1">IF($C171-H$1&lt;År1,0,G170*(1-VLOOKUP($A171,[1]Hugst!$R$5:$W$9,MATCH(ROUNDUP((H$1)/10,0)*10,[1]Hugst!$R$4:$W$4,0))))</f>
        <v>90.7589000214968</v>
      </c>
      <c r="I171" s="168">
        <f ca="1">IF($C171-I$1&lt;År1,0,H170*(1-VLOOKUP($A171,[1]Hugst!$R$5:$W$9,MATCH(ROUNDUP((I$1)/10,0)*10,[1]Hugst!$R$4:$W$4,0))))</f>
        <v>90.909405887983326</v>
      </c>
      <c r="J171" s="168">
        <f ca="1">IF($C171-J$1&lt;År1,0,I170*(1-VLOOKUP($A171,[1]Hugst!$R$5:$W$9,MATCH(ROUNDUP((J$1)/10,0)*10,[1]Hugst!$R$4:$W$4,0))))</f>
        <v>140.8128583667318</v>
      </c>
      <c r="K171" s="168">
        <f ca="1">IF($C171-K$1&lt;År1,0,J170*(1-VLOOKUP($A171,[1]Hugst!$R$5:$W$9,MATCH(ROUNDUP((K$1)/10,0)*10,[1]Hugst!$R$4:$W$4,0))))</f>
        <v>140.96488065554865</v>
      </c>
      <c r="L171" s="168">
        <f ca="1">IF($C171-L$1&lt;År1,0,K170*(1-VLOOKUP($A171,[1]Hugst!$R$5:$W$9,MATCH(ROUNDUP((L$1)/10,0)*10,[1]Hugst!$R$4:$W$4,0))))</f>
        <v>141.11766687546753</v>
      </c>
      <c r="M171" s="168">
        <f ca="1">IF($C171-M$1&lt;År1,0,L170*(1-VLOOKUP($A171,[1]Hugst!$R$5:$W$9,MATCH(ROUNDUP((M$1)/10,0)*10,[1]Hugst!$R$4:$W$4,0))))</f>
        <v>141.27122086533404</v>
      </c>
      <c r="N171" s="168">
        <f ca="1">IF($C171-N$1&lt;År1,0,M170*(1-VLOOKUP($A171,[1]Hugst!$R$5:$W$9,MATCH(ROUNDUP((N$1)/10,0)*10,[1]Hugst!$R$4:$W$4,0))))</f>
        <v>141.42554648329155</v>
      </c>
      <c r="O171" s="168">
        <f ca="1">IF($C171-O$1&lt;År1,0,N170*(1-VLOOKUP($A171,[1]Hugst!$R$5:$W$9,MATCH(ROUNDUP((O$1)/10,0)*10,[1]Hugst!$R$4:$W$4,0))))</f>
        <v>141.58064760686528</v>
      </c>
      <c r="P171" s="168">
        <f ca="1">IF($C171-P$1&lt;År1,0,O170*(1-VLOOKUP($A171,[1]Hugst!$R$5:$W$9,MATCH(ROUNDUP((P$1)/10,0)*10,[1]Hugst!$R$4:$W$4,0))))</f>
        <v>141.73652813307041</v>
      </c>
      <c r="Q171" s="168">
        <f ca="1">IF($C171-Q$1&lt;År1,0,P170*(1-VLOOKUP($A171,[1]Hugst!$R$5:$W$9,MATCH(ROUNDUP((Q$1)/10,0)*10,[1]Hugst!$R$4:$W$4,0))))</f>
        <v>141.89319197850403</v>
      </c>
      <c r="R171" s="168">
        <f ca="1">IF($C171-R$1&lt;År1,0,Q170*(1-VLOOKUP($A171,[1]Hugst!$R$5:$W$9,MATCH(ROUNDUP((R$1)/10,0)*10,[1]Hugst!$R$4:$W$4,0))))</f>
        <v>142.05064307944181</v>
      </c>
      <c r="S171" s="168">
        <f ca="1">IF($C171-S$1&lt;År1,0,R170*(1-VLOOKUP($A171,[1]Hugst!$R$5:$W$9,MATCH(ROUNDUP((S$1)/10,0)*10,[1]Hugst!$R$4:$W$4,0))))</f>
        <v>142.20888539194115</v>
      </c>
      <c r="T171" s="168">
        <f ca="1">IF($C171-T$1&lt;År1,0,S170*(1-VLOOKUP($A171,[1]Hugst!$R$5:$W$9,MATCH(ROUNDUP((T$1)/10,0)*10,[1]Hugst!$R$4:$W$4,0))))</f>
        <v>142.36792289194113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(IF(B172="Vestdanmark",Skovbrug!$C$22-(Skovbrug!$C$22)*(1-Skovbrug!$C$9)^(C172-Skovbrug!$B$12),Skovbrug!$F$22-(Skovbrug!$F$22)*(1-Skovbrug!$C$9)^(C172-Skovbrug!$B$12)))*VLOOKUP(A172,Skovbrug!$A$13:$D$17,IF('Skovbrug-alder'!C172&lt;=År2,3,4),FALSE)
-IF(C172&gt;2020,SUM(INDEX($C$1:$D$311,MATCH(1,(2020=$C$1:$C$311)*(B172=$B$1:$B$311)*(A172=$A$1:$A$311),0),2):D171),0)</f>
        <v>29.503649975689768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90.311882566257566</v>
      </c>
      <c r="G172" s="168">
        <f ca="1">IF($C172-G$1&lt;År1,0,F171*(1-VLOOKUP($A172,[1]Hugst!$R$5:$W$9,MATCH(ROUNDUP((G$1)/10,0)*10,[1]Hugst!$R$4:$W$4,0))))</f>
        <v>90.460142113873019</v>
      </c>
      <c r="H172" s="168">
        <f ca="1">IF($C172-H$1&lt;År1,0,G171*(1-VLOOKUP($A172,[1]Hugst!$R$5:$W$9,MATCH(ROUNDUP((H$1)/10,0)*10,[1]Hugst!$R$4:$W$4,0))))</f>
        <v>90.609146684342022</v>
      </c>
      <c r="I172" s="168">
        <f ca="1">IF($C172-I$1&lt;År1,0,H171*(1-VLOOKUP($A172,[1]Hugst!$R$5:$W$9,MATCH(ROUNDUP((I$1)/10,0)*10,[1]Hugst!$R$4:$W$4,0))))</f>
        <v>90.7589000214968</v>
      </c>
      <c r="J172" s="168">
        <f ca="1">IF($C172-J$1&lt;År1,0,I171*(1-VLOOKUP($A172,[1]Hugst!$R$5:$W$9,MATCH(ROUNDUP((J$1)/10,0)*10,[1]Hugst!$R$4:$W$4,0))))</f>
        <v>90.909405887983326</v>
      </c>
      <c r="K172" s="168">
        <f ca="1">IF($C172-K$1&lt;År1,0,J171*(1-VLOOKUP($A172,[1]Hugst!$R$5:$W$9,MATCH(ROUNDUP((K$1)/10,0)*10,[1]Hugst!$R$4:$W$4,0))))</f>
        <v>140.8128583667318</v>
      </c>
      <c r="L172" s="168">
        <f ca="1">IF($C172-L$1&lt;År1,0,K171*(1-VLOOKUP($A172,[1]Hugst!$R$5:$W$9,MATCH(ROUNDUP((L$1)/10,0)*10,[1]Hugst!$R$4:$W$4,0))))</f>
        <v>140.96488065554865</v>
      </c>
      <c r="M172" s="168">
        <f ca="1">IF($C172-M$1&lt;År1,0,L171*(1-VLOOKUP($A172,[1]Hugst!$R$5:$W$9,MATCH(ROUNDUP((M$1)/10,0)*10,[1]Hugst!$R$4:$W$4,0))))</f>
        <v>141.11766687546753</v>
      </c>
      <c r="N172" s="168">
        <f ca="1">IF($C172-N$1&lt;År1,0,M171*(1-VLOOKUP($A172,[1]Hugst!$R$5:$W$9,MATCH(ROUNDUP((N$1)/10,0)*10,[1]Hugst!$R$4:$W$4,0))))</f>
        <v>141.27122086533404</v>
      </c>
      <c r="O172" s="168">
        <f ca="1">IF($C172-O$1&lt;År1,0,N171*(1-VLOOKUP($A172,[1]Hugst!$R$5:$W$9,MATCH(ROUNDUP((O$1)/10,0)*10,[1]Hugst!$R$4:$W$4,0))))</f>
        <v>141.42554648329155</v>
      </c>
      <c r="P172" s="168">
        <f ca="1">IF($C172-P$1&lt;År1,0,O171*(1-VLOOKUP($A172,[1]Hugst!$R$5:$W$9,MATCH(ROUNDUP((P$1)/10,0)*10,[1]Hugst!$R$4:$W$4,0))))</f>
        <v>141.58064760686528</v>
      </c>
      <c r="Q172" s="168">
        <f ca="1">IF($C172-Q$1&lt;År1,0,P171*(1-VLOOKUP($A172,[1]Hugst!$R$5:$W$9,MATCH(ROUNDUP((Q$1)/10,0)*10,[1]Hugst!$R$4:$W$4,0))))</f>
        <v>141.73652813307041</v>
      </c>
      <c r="R172" s="168">
        <f ca="1">IF($C172-R$1&lt;År1,0,Q171*(1-VLOOKUP($A172,[1]Hugst!$R$5:$W$9,MATCH(ROUNDUP((R$1)/10,0)*10,[1]Hugst!$R$4:$W$4,0))))</f>
        <v>141.89319197850403</v>
      </c>
      <c r="S172" s="168">
        <f ca="1">IF($C172-S$1&lt;År1,0,R171*(1-VLOOKUP($A172,[1]Hugst!$R$5:$W$9,MATCH(ROUNDUP((S$1)/10,0)*10,[1]Hugst!$R$4:$W$4,0))))</f>
        <v>142.05064307944181</v>
      </c>
      <c r="T172" s="168">
        <f ca="1">IF($C172-T$1&lt;År1,0,S171*(1-VLOOKUP($A172,[1]Hugst!$R$5:$W$9,MATCH(ROUNDUP((T$1)/10,0)*10,[1]Hugst!$R$4:$W$4,0))))</f>
        <v>142.20888539194115</v>
      </c>
      <c r="U172" s="168">
        <f ca="1">IF($C172-U$1&lt;År1,0,T171*(1-VLOOKUP($A172,[1]Hugst!$R$5:$W$9,MATCH(ROUNDUP((U$1)/10,0)*10,[1]Hugst!$R$4:$W$4,0))))</f>
        <v>142.36792289194113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(IF(B173="Vestdanmark",Skovbrug!$C$22-(Skovbrug!$C$22)*(1-Skovbrug!$C$9)^(C173-Skovbrug!$B$12),Skovbrug!$F$22-(Skovbrug!$F$22)*(1-Skovbrug!$C$9)^(C173-Skovbrug!$B$12)))*VLOOKUP(A173,Skovbrug!$A$13:$D$17,IF('Skovbrug-alder'!C173&lt;=År2,3,4),FALSE)
-IF(C173&gt;2020,SUM(INDEX($C$1:$D$311,MATCH(1,(2020=$C$1:$C$311)*(B173=$B$1:$B$311)*(A173=$A$1:$A$311),0),2):D172),0)</f>
        <v>29.356131725809973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90.164364316377771</v>
      </c>
      <c r="G173" s="168">
        <f ca="1">IF($C173-G$1&lt;År1,0,F172*(1-VLOOKUP($A173,[1]Hugst!$R$5:$W$9,MATCH(ROUNDUP((G$1)/10,0)*10,[1]Hugst!$R$4:$W$4,0))))</f>
        <v>90.311882566257566</v>
      </c>
      <c r="H173" s="168">
        <f ca="1">IF($C173-H$1&lt;År1,0,G172*(1-VLOOKUP($A173,[1]Hugst!$R$5:$W$9,MATCH(ROUNDUP((H$1)/10,0)*10,[1]Hugst!$R$4:$W$4,0))))</f>
        <v>90.460142113873019</v>
      </c>
      <c r="I173" s="168">
        <f ca="1">IF($C173-I$1&lt;År1,0,H172*(1-VLOOKUP($A173,[1]Hugst!$R$5:$W$9,MATCH(ROUNDUP((I$1)/10,0)*10,[1]Hugst!$R$4:$W$4,0))))</f>
        <v>90.609146684342022</v>
      </c>
      <c r="J173" s="168">
        <f ca="1">IF($C173-J$1&lt;År1,0,I172*(1-VLOOKUP($A173,[1]Hugst!$R$5:$W$9,MATCH(ROUNDUP((J$1)/10,0)*10,[1]Hugst!$R$4:$W$4,0))))</f>
        <v>90.7589000214968</v>
      </c>
      <c r="K173" s="168">
        <f ca="1">IF($C173-K$1&lt;År1,0,J172*(1-VLOOKUP($A173,[1]Hugst!$R$5:$W$9,MATCH(ROUNDUP((K$1)/10,0)*10,[1]Hugst!$R$4:$W$4,0))))</f>
        <v>90.909405887983326</v>
      </c>
      <c r="L173" s="168">
        <f ca="1">IF($C173-L$1&lt;År1,0,K172*(1-VLOOKUP($A173,[1]Hugst!$R$5:$W$9,MATCH(ROUNDUP((L$1)/10,0)*10,[1]Hugst!$R$4:$W$4,0))))</f>
        <v>140.8128583667318</v>
      </c>
      <c r="M173" s="168">
        <f ca="1">IF($C173-M$1&lt;År1,0,L172*(1-VLOOKUP($A173,[1]Hugst!$R$5:$W$9,MATCH(ROUNDUP((M$1)/10,0)*10,[1]Hugst!$R$4:$W$4,0))))</f>
        <v>140.96488065554865</v>
      </c>
      <c r="N173" s="168">
        <f ca="1">IF($C173-N$1&lt;År1,0,M172*(1-VLOOKUP($A173,[1]Hugst!$R$5:$W$9,MATCH(ROUNDUP((N$1)/10,0)*10,[1]Hugst!$R$4:$W$4,0))))</f>
        <v>141.11766687546753</v>
      </c>
      <c r="O173" s="168">
        <f ca="1">IF($C173-O$1&lt;År1,0,N172*(1-VLOOKUP($A173,[1]Hugst!$R$5:$W$9,MATCH(ROUNDUP((O$1)/10,0)*10,[1]Hugst!$R$4:$W$4,0))))</f>
        <v>141.27122086533404</v>
      </c>
      <c r="P173" s="168">
        <f ca="1">IF($C173-P$1&lt;År1,0,O172*(1-VLOOKUP($A173,[1]Hugst!$R$5:$W$9,MATCH(ROUNDUP((P$1)/10,0)*10,[1]Hugst!$R$4:$W$4,0))))</f>
        <v>141.42554648329155</v>
      </c>
      <c r="Q173" s="168">
        <f ca="1">IF($C173-Q$1&lt;År1,0,P172*(1-VLOOKUP($A173,[1]Hugst!$R$5:$W$9,MATCH(ROUNDUP((Q$1)/10,0)*10,[1]Hugst!$R$4:$W$4,0))))</f>
        <v>141.58064760686528</v>
      </c>
      <c r="R173" s="168">
        <f ca="1">IF($C173-R$1&lt;År1,0,Q172*(1-VLOOKUP($A173,[1]Hugst!$R$5:$W$9,MATCH(ROUNDUP((R$1)/10,0)*10,[1]Hugst!$R$4:$W$4,0))))</f>
        <v>141.73652813307041</v>
      </c>
      <c r="S173" s="168">
        <f ca="1">IF($C173-S$1&lt;År1,0,R172*(1-VLOOKUP($A173,[1]Hugst!$R$5:$W$9,MATCH(ROUNDUP((S$1)/10,0)*10,[1]Hugst!$R$4:$W$4,0))))</f>
        <v>141.89319197850403</v>
      </c>
      <c r="T173" s="168">
        <f ca="1">IF($C173-T$1&lt;År1,0,S172*(1-VLOOKUP($A173,[1]Hugst!$R$5:$W$9,MATCH(ROUNDUP((T$1)/10,0)*10,[1]Hugst!$R$4:$W$4,0))))</f>
        <v>142.05064307944181</v>
      </c>
      <c r="U173" s="168">
        <f ca="1">IF($C173-U$1&lt;År1,0,T172*(1-VLOOKUP($A173,[1]Hugst!$R$5:$W$9,MATCH(ROUNDUP((U$1)/10,0)*10,[1]Hugst!$R$4:$W$4,0))))</f>
        <v>142.20888539194115</v>
      </c>
      <c r="V173" s="168">
        <f ca="1">IF($C173-V$1&lt;År1,0,U172*(1-VLOOKUP($A173,[1]Hugst!$R$5:$W$9,MATCH(ROUNDUP((V$1)/10,0)*10,[1]Hugst!$R$4:$W$4,0))))</f>
        <v>142.36792289194113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(IF(B174="Vestdanmark",Skovbrug!$C$22-(Skovbrug!$C$22)*(1-Skovbrug!$C$9)^(C174-Skovbrug!$B$12),Skovbrug!$F$22-(Skovbrug!$F$22)*(1-Skovbrug!$C$9)^(C174-Skovbrug!$B$12)))*VLOOKUP(A174,Skovbrug!$A$13:$D$17,IF('Skovbrug-alder'!C174&lt;=År2,3,4),FALSE)
-IF(C174&gt;2020,SUM(INDEX($C$1:$D$311,MATCH(1,(2020=$C$1:$C$311)*(B174=$B$1:$B$311)*(A174=$A$1:$A$311),0),2):D173),0)</f>
        <v>29.209351067181728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90.017583657749526</v>
      </c>
      <c r="G174" s="168">
        <f ca="1">IF($C174-G$1&lt;År1,0,F173*(1-VLOOKUP($A174,[1]Hugst!$R$5:$W$9,MATCH(ROUNDUP((G$1)/10,0)*10,[1]Hugst!$R$4:$W$4,0))))</f>
        <v>90.164364316377771</v>
      </c>
      <c r="H174" s="168">
        <f ca="1">IF($C174-H$1&lt;År1,0,G173*(1-VLOOKUP($A174,[1]Hugst!$R$5:$W$9,MATCH(ROUNDUP((H$1)/10,0)*10,[1]Hugst!$R$4:$W$4,0))))</f>
        <v>90.311882566257566</v>
      </c>
      <c r="I174" s="168">
        <f ca="1">IF($C174-I$1&lt;År1,0,H173*(1-VLOOKUP($A174,[1]Hugst!$R$5:$W$9,MATCH(ROUNDUP((I$1)/10,0)*10,[1]Hugst!$R$4:$W$4,0))))</f>
        <v>90.460142113873019</v>
      </c>
      <c r="J174" s="168">
        <f ca="1">IF($C174-J$1&lt;År1,0,I173*(1-VLOOKUP($A174,[1]Hugst!$R$5:$W$9,MATCH(ROUNDUP((J$1)/10,0)*10,[1]Hugst!$R$4:$W$4,0))))</f>
        <v>90.609146684342022</v>
      </c>
      <c r="K174" s="168">
        <f ca="1">IF($C174-K$1&lt;År1,0,J173*(1-VLOOKUP($A174,[1]Hugst!$R$5:$W$9,MATCH(ROUNDUP((K$1)/10,0)*10,[1]Hugst!$R$4:$W$4,0))))</f>
        <v>90.7589000214968</v>
      </c>
      <c r="L174" s="168">
        <f ca="1">IF($C174-L$1&lt;År1,0,K173*(1-VLOOKUP($A174,[1]Hugst!$R$5:$W$9,MATCH(ROUNDUP((L$1)/10,0)*10,[1]Hugst!$R$4:$W$4,0))))</f>
        <v>90.909405887983326</v>
      </c>
      <c r="M174" s="168">
        <f ca="1">IF($C174-M$1&lt;År1,0,L173*(1-VLOOKUP($A174,[1]Hugst!$R$5:$W$9,MATCH(ROUNDUP((M$1)/10,0)*10,[1]Hugst!$R$4:$W$4,0))))</f>
        <v>140.8128583667318</v>
      </c>
      <c r="N174" s="168">
        <f ca="1">IF($C174-N$1&lt;År1,0,M173*(1-VLOOKUP($A174,[1]Hugst!$R$5:$W$9,MATCH(ROUNDUP((N$1)/10,0)*10,[1]Hugst!$R$4:$W$4,0))))</f>
        <v>140.96488065554865</v>
      </c>
      <c r="O174" s="168">
        <f ca="1">IF($C174-O$1&lt;År1,0,N173*(1-VLOOKUP($A174,[1]Hugst!$R$5:$W$9,MATCH(ROUNDUP((O$1)/10,0)*10,[1]Hugst!$R$4:$W$4,0))))</f>
        <v>141.11766687546753</v>
      </c>
      <c r="P174" s="168">
        <f ca="1">IF($C174-P$1&lt;År1,0,O173*(1-VLOOKUP($A174,[1]Hugst!$R$5:$W$9,MATCH(ROUNDUP((P$1)/10,0)*10,[1]Hugst!$R$4:$W$4,0))))</f>
        <v>141.27122086533404</v>
      </c>
      <c r="Q174" s="168">
        <f ca="1">IF($C174-Q$1&lt;År1,0,P173*(1-VLOOKUP($A174,[1]Hugst!$R$5:$W$9,MATCH(ROUNDUP((Q$1)/10,0)*10,[1]Hugst!$R$4:$W$4,0))))</f>
        <v>141.42554648329155</v>
      </c>
      <c r="R174" s="168">
        <f ca="1">IF($C174-R$1&lt;År1,0,Q173*(1-VLOOKUP($A174,[1]Hugst!$R$5:$W$9,MATCH(ROUNDUP((R$1)/10,0)*10,[1]Hugst!$R$4:$W$4,0))))</f>
        <v>141.58064760686528</v>
      </c>
      <c r="S174" s="168">
        <f ca="1">IF($C174-S$1&lt;År1,0,R173*(1-VLOOKUP($A174,[1]Hugst!$R$5:$W$9,MATCH(ROUNDUP((S$1)/10,0)*10,[1]Hugst!$R$4:$W$4,0))))</f>
        <v>141.73652813307041</v>
      </c>
      <c r="T174" s="168">
        <f ca="1">IF($C174-T$1&lt;År1,0,S173*(1-VLOOKUP($A174,[1]Hugst!$R$5:$W$9,MATCH(ROUNDUP((T$1)/10,0)*10,[1]Hugst!$R$4:$W$4,0))))</f>
        <v>141.89319197850403</v>
      </c>
      <c r="U174" s="168">
        <f ca="1">IF($C174-U$1&lt;År1,0,T173*(1-VLOOKUP($A174,[1]Hugst!$R$5:$W$9,MATCH(ROUNDUP((U$1)/10,0)*10,[1]Hugst!$R$4:$W$4,0))))</f>
        <v>142.05064307944181</v>
      </c>
      <c r="V174" s="168">
        <f ca="1">IF($C174-V$1&lt;År1,0,U173*(1-VLOOKUP($A174,[1]Hugst!$R$5:$W$9,MATCH(ROUNDUP((V$1)/10,0)*10,[1]Hugst!$R$4:$W$4,0))))</f>
        <v>142.20888539194115</v>
      </c>
      <c r="W174" s="168">
        <f ca="1">IF($C174-W$1&lt;År1,0,V173*(1-VLOOKUP($A174,[1]Hugst!$R$5:$W$9,MATCH(ROUNDUP((W$1)/10,0)*10,[1]Hugst!$R$4:$W$4,0))))</f>
        <v>142.36792289194113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(IF(B175="Vestdanmark",Skovbrug!$C$22-(Skovbrug!$C$22)*(1-Skovbrug!$C$9)^(C175-Skovbrug!$B$12),Skovbrug!$F$22-(Skovbrug!$F$22)*(1-Skovbrug!$C$9)^(C175-Skovbrug!$B$12)))*VLOOKUP(A175,Skovbrug!$A$13:$D$17,IF('Skovbrug-alder'!C175&lt;=År2,3,4),FALSE)
-IF(C175&gt;2020,SUM(INDEX($C$1:$D$311,MATCH(1,(2020=$C$1:$C$311)*(B175=$B$1:$B$311)*(A175=$A$1:$A$311),0),2):D174),0)</f>
        <v>29.063304311846082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89.871536902413879</v>
      </c>
      <c r="G175" s="168">
        <f ca="1">IF($C175-G$1&lt;År1,0,F174*(1-VLOOKUP($A175,[1]Hugst!$R$5:$W$9,MATCH(ROUNDUP((G$1)/10,0)*10,[1]Hugst!$R$4:$W$4,0))))</f>
        <v>90.017583657749526</v>
      </c>
      <c r="H175" s="168">
        <f ca="1">IF($C175-H$1&lt;År1,0,G174*(1-VLOOKUP($A175,[1]Hugst!$R$5:$W$9,MATCH(ROUNDUP((H$1)/10,0)*10,[1]Hugst!$R$4:$W$4,0))))</f>
        <v>90.164364316377771</v>
      </c>
      <c r="I175" s="168">
        <f ca="1">IF($C175-I$1&lt;År1,0,H174*(1-VLOOKUP($A175,[1]Hugst!$R$5:$W$9,MATCH(ROUNDUP((I$1)/10,0)*10,[1]Hugst!$R$4:$W$4,0))))</f>
        <v>90.311882566257566</v>
      </c>
      <c r="J175" s="168">
        <f ca="1">IF($C175-J$1&lt;År1,0,I174*(1-VLOOKUP($A175,[1]Hugst!$R$5:$W$9,MATCH(ROUNDUP((J$1)/10,0)*10,[1]Hugst!$R$4:$W$4,0))))</f>
        <v>90.460142113873019</v>
      </c>
      <c r="K175" s="168">
        <f ca="1">IF($C175-K$1&lt;År1,0,J174*(1-VLOOKUP($A175,[1]Hugst!$R$5:$W$9,MATCH(ROUNDUP((K$1)/10,0)*10,[1]Hugst!$R$4:$W$4,0))))</f>
        <v>90.609146684342022</v>
      </c>
      <c r="L175" s="168">
        <f ca="1">IF($C175-L$1&lt;År1,0,K174*(1-VLOOKUP($A175,[1]Hugst!$R$5:$W$9,MATCH(ROUNDUP((L$1)/10,0)*10,[1]Hugst!$R$4:$W$4,0))))</f>
        <v>90.7589000214968</v>
      </c>
      <c r="M175" s="168">
        <f ca="1">IF($C175-M$1&lt;År1,0,L174*(1-VLOOKUP($A175,[1]Hugst!$R$5:$W$9,MATCH(ROUNDUP((M$1)/10,0)*10,[1]Hugst!$R$4:$W$4,0))))</f>
        <v>90.909405887983326</v>
      </c>
      <c r="N175" s="168">
        <f ca="1">IF($C175-N$1&lt;År1,0,M174*(1-VLOOKUP($A175,[1]Hugst!$R$5:$W$9,MATCH(ROUNDUP((N$1)/10,0)*10,[1]Hugst!$R$4:$W$4,0))))</f>
        <v>140.8128583667318</v>
      </c>
      <c r="O175" s="168">
        <f ca="1">IF($C175-O$1&lt;År1,0,N174*(1-VLOOKUP($A175,[1]Hugst!$R$5:$W$9,MATCH(ROUNDUP((O$1)/10,0)*10,[1]Hugst!$R$4:$W$4,0))))</f>
        <v>140.96488065554865</v>
      </c>
      <c r="P175" s="168">
        <f ca="1">IF($C175-P$1&lt;År1,0,O174*(1-VLOOKUP($A175,[1]Hugst!$R$5:$W$9,MATCH(ROUNDUP((P$1)/10,0)*10,[1]Hugst!$R$4:$W$4,0))))</f>
        <v>141.11766687546753</v>
      </c>
      <c r="Q175" s="168">
        <f ca="1">IF($C175-Q$1&lt;År1,0,P174*(1-VLOOKUP($A175,[1]Hugst!$R$5:$W$9,MATCH(ROUNDUP((Q$1)/10,0)*10,[1]Hugst!$R$4:$W$4,0))))</f>
        <v>141.27122086533404</v>
      </c>
      <c r="R175" s="168">
        <f ca="1">IF($C175-R$1&lt;År1,0,Q174*(1-VLOOKUP($A175,[1]Hugst!$R$5:$W$9,MATCH(ROUNDUP((R$1)/10,0)*10,[1]Hugst!$R$4:$W$4,0))))</f>
        <v>141.42554648329155</v>
      </c>
      <c r="S175" s="168">
        <f ca="1">IF($C175-S$1&lt;År1,0,R174*(1-VLOOKUP($A175,[1]Hugst!$R$5:$W$9,MATCH(ROUNDUP((S$1)/10,0)*10,[1]Hugst!$R$4:$W$4,0))))</f>
        <v>141.58064760686528</v>
      </c>
      <c r="T175" s="168">
        <f ca="1">IF($C175-T$1&lt;År1,0,S174*(1-VLOOKUP($A175,[1]Hugst!$R$5:$W$9,MATCH(ROUNDUP((T$1)/10,0)*10,[1]Hugst!$R$4:$W$4,0))))</f>
        <v>141.73652813307041</v>
      </c>
      <c r="U175" s="168">
        <f ca="1">IF($C175-U$1&lt;År1,0,T174*(1-VLOOKUP($A175,[1]Hugst!$R$5:$W$9,MATCH(ROUNDUP((U$1)/10,0)*10,[1]Hugst!$R$4:$W$4,0))))</f>
        <v>141.89319197850403</v>
      </c>
      <c r="V175" s="168">
        <f ca="1">IF($C175-V$1&lt;År1,0,U174*(1-VLOOKUP($A175,[1]Hugst!$R$5:$W$9,MATCH(ROUNDUP((V$1)/10,0)*10,[1]Hugst!$R$4:$W$4,0))))</f>
        <v>142.05064307944181</v>
      </c>
      <c r="W175" s="168">
        <f ca="1">IF($C175-W$1&lt;År1,0,V174*(1-VLOOKUP($A175,[1]Hugst!$R$5:$W$9,MATCH(ROUNDUP((W$1)/10,0)*10,[1]Hugst!$R$4:$W$4,0))))</f>
        <v>142.20888539194115</v>
      </c>
      <c r="X175" s="168">
        <f ca="1">IF($C175-X$1&lt;År1,0,W174*(1-VLOOKUP($A175,[1]Hugst!$R$5:$W$9,MATCH(ROUNDUP((X$1)/10,0)*10,[1]Hugst!$R$4:$W$4,0))))</f>
        <v>142.36792289194113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(IF(B176="Vestdanmark",Skovbrug!$C$22-(Skovbrug!$C$22)*(1-Skovbrug!$C$9)^(C176-Skovbrug!$B$12),Skovbrug!$F$22-(Skovbrug!$F$22)*(1-Skovbrug!$C$9)^(C176-Skovbrug!$B$12)))*VLOOKUP(A176,Skovbrug!$A$13:$D$17,IF('Skovbrug-alder'!C176&lt;=År2,3,4),FALSE)
-IF(C176&gt;2020,SUM(INDEX($C$1:$D$311,MATCH(1,(2020=$C$1:$C$311)*(B176=$B$1:$B$311)*(A176=$A$1:$A$311),0),2):D175),0)</f>
        <v>28.917987790286134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89.726220380853931</v>
      </c>
      <c r="G176" s="168">
        <f ca="1">IF($C176-G$1&lt;År1,0,F175*(1-VLOOKUP($A176,[1]Hugst!$R$5:$W$9,MATCH(ROUNDUP((G$1)/10,0)*10,[1]Hugst!$R$4:$W$4,0))))</f>
        <v>89.871536902413879</v>
      </c>
      <c r="H176" s="168">
        <f ca="1">IF($C176-H$1&lt;År1,0,G175*(1-VLOOKUP($A176,[1]Hugst!$R$5:$W$9,MATCH(ROUNDUP((H$1)/10,0)*10,[1]Hugst!$R$4:$W$4,0))))</f>
        <v>90.017583657749526</v>
      </c>
      <c r="I176" s="168">
        <f ca="1">IF($C176-I$1&lt;År1,0,H175*(1-VLOOKUP($A176,[1]Hugst!$R$5:$W$9,MATCH(ROUNDUP((I$1)/10,0)*10,[1]Hugst!$R$4:$W$4,0))))</f>
        <v>90.164364316377771</v>
      </c>
      <c r="J176" s="168">
        <f ca="1">IF($C176-J$1&lt;År1,0,I175*(1-VLOOKUP($A176,[1]Hugst!$R$5:$W$9,MATCH(ROUNDUP((J$1)/10,0)*10,[1]Hugst!$R$4:$W$4,0))))</f>
        <v>90.311882566257566</v>
      </c>
      <c r="K176" s="168">
        <f ca="1">IF($C176-K$1&lt;År1,0,J175*(1-VLOOKUP($A176,[1]Hugst!$R$5:$W$9,MATCH(ROUNDUP((K$1)/10,0)*10,[1]Hugst!$R$4:$W$4,0))))</f>
        <v>90.460142113873019</v>
      </c>
      <c r="L176" s="168">
        <f ca="1">IF($C176-L$1&lt;År1,0,K175*(1-VLOOKUP($A176,[1]Hugst!$R$5:$W$9,MATCH(ROUNDUP((L$1)/10,0)*10,[1]Hugst!$R$4:$W$4,0))))</f>
        <v>90.609146684342022</v>
      </c>
      <c r="M176" s="168">
        <f ca="1">IF($C176-M$1&lt;År1,0,L175*(1-VLOOKUP($A176,[1]Hugst!$R$5:$W$9,MATCH(ROUNDUP((M$1)/10,0)*10,[1]Hugst!$R$4:$W$4,0))))</f>
        <v>90.7589000214968</v>
      </c>
      <c r="N176" s="168">
        <f ca="1">IF($C176-N$1&lt;År1,0,M175*(1-VLOOKUP($A176,[1]Hugst!$R$5:$W$9,MATCH(ROUNDUP((N$1)/10,0)*10,[1]Hugst!$R$4:$W$4,0))))</f>
        <v>90.909405887983326</v>
      </c>
      <c r="O176" s="168">
        <f ca="1">IF($C176-O$1&lt;År1,0,N175*(1-VLOOKUP($A176,[1]Hugst!$R$5:$W$9,MATCH(ROUNDUP((O$1)/10,0)*10,[1]Hugst!$R$4:$W$4,0))))</f>
        <v>140.8128583667318</v>
      </c>
      <c r="P176" s="168">
        <f ca="1">IF($C176-P$1&lt;År1,0,O175*(1-VLOOKUP($A176,[1]Hugst!$R$5:$W$9,MATCH(ROUNDUP((P$1)/10,0)*10,[1]Hugst!$R$4:$W$4,0))))</f>
        <v>140.96488065554865</v>
      </c>
      <c r="Q176" s="168">
        <f ca="1">IF($C176-Q$1&lt;År1,0,P175*(1-VLOOKUP($A176,[1]Hugst!$R$5:$W$9,MATCH(ROUNDUP((Q$1)/10,0)*10,[1]Hugst!$R$4:$W$4,0))))</f>
        <v>141.11766687546753</v>
      </c>
      <c r="R176" s="168">
        <f ca="1">IF($C176-R$1&lt;År1,0,Q175*(1-VLOOKUP($A176,[1]Hugst!$R$5:$W$9,MATCH(ROUNDUP((R$1)/10,0)*10,[1]Hugst!$R$4:$W$4,0))))</f>
        <v>141.27122086533404</v>
      </c>
      <c r="S176" s="168">
        <f ca="1">IF($C176-S$1&lt;År1,0,R175*(1-VLOOKUP($A176,[1]Hugst!$R$5:$W$9,MATCH(ROUNDUP((S$1)/10,0)*10,[1]Hugst!$R$4:$W$4,0))))</f>
        <v>141.42554648329155</v>
      </c>
      <c r="T176" s="168">
        <f ca="1">IF($C176-T$1&lt;År1,0,S175*(1-VLOOKUP($A176,[1]Hugst!$R$5:$W$9,MATCH(ROUNDUP((T$1)/10,0)*10,[1]Hugst!$R$4:$W$4,0))))</f>
        <v>141.58064760686528</v>
      </c>
      <c r="U176" s="168">
        <f ca="1">IF($C176-U$1&lt;År1,0,T175*(1-VLOOKUP($A176,[1]Hugst!$R$5:$W$9,MATCH(ROUNDUP((U$1)/10,0)*10,[1]Hugst!$R$4:$W$4,0))))</f>
        <v>141.73652813307041</v>
      </c>
      <c r="V176" s="168">
        <f ca="1">IF($C176-V$1&lt;År1,0,U175*(1-VLOOKUP($A176,[1]Hugst!$R$5:$W$9,MATCH(ROUNDUP((V$1)/10,0)*10,[1]Hugst!$R$4:$W$4,0))))</f>
        <v>141.89319197850403</v>
      </c>
      <c r="W176" s="168">
        <f ca="1">IF($C176-W$1&lt;År1,0,V175*(1-VLOOKUP($A176,[1]Hugst!$R$5:$W$9,MATCH(ROUNDUP((W$1)/10,0)*10,[1]Hugst!$R$4:$W$4,0))))</f>
        <v>142.05064307944181</v>
      </c>
      <c r="X176" s="168">
        <f ca="1">IF($C176-X$1&lt;År1,0,W175*(1-VLOOKUP($A176,[1]Hugst!$R$5:$W$9,MATCH(ROUNDUP((X$1)/10,0)*10,[1]Hugst!$R$4:$W$4,0))))</f>
        <v>142.20888539194115</v>
      </c>
      <c r="Y176" s="168">
        <f ca="1">IF($C176-Y$1&lt;År1,0,X175*(1-VLOOKUP($A176,[1]Hugst!$R$5:$W$9,MATCH(ROUNDUP((Y$1)/10,0)*10,[1]Hugst!$R$4:$W$4,0))))</f>
        <v>142.36792289194113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(IF(B177="Vestdanmark",Skovbrug!$C$22-(Skovbrug!$C$22)*(1-Skovbrug!$C$9)^(C177-Skovbrug!$B$12),Skovbrug!$F$22-(Skovbrug!$F$22)*(1-Skovbrug!$C$9)^(C177-Skovbrug!$B$12)))*VLOOKUP(A177,Skovbrug!$A$13:$D$17,IF('Skovbrug-alder'!C177&lt;=År2,3,4),FALSE)
-IF(C177&gt;2020,SUM(INDEX($C$1:$D$311,MATCH(1,(2020=$C$1:$C$311)*(B177=$B$1:$B$311)*(A177=$A$1:$A$311),0),2):D176),0)</f>
        <v>28.773397851334494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89.581630441902291</v>
      </c>
      <c r="G177" s="168">
        <f ca="1">IF($C177-G$1&lt;År1,0,F176*(1-VLOOKUP($A177,[1]Hugst!$R$5:$W$9,MATCH(ROUNDUP((G$1)/10,0)*10,[1]Hugst!$R$4:$W$4,0))))</f>
        <v>89.726220380853931</v>
      </c>
      <c r="H177" s="168">
        <f ca="1">IF($C177-H$1&lt;År1,0,G176*(1-VLOOKUP($A177,[1]Hugst!$R$5:$W$9,MATCH(ROUNDUP((H$1)/10,0)*10,[1]Hugst!$R$4:$W$4,0))))</f>
        <v>89.871536902413879</v>
      </c>
      <c r="I177" s="168">
        <f ca="1">IF($C177-I$1&lt;År1,0,H176*(1-VLOOKUP($A177,[1]Hugst!$R$5:$W$9,MATCH(ROUNDUP((I$1)/10,0)*10,[1]Hugst!$R$4:$W$4,0))))</f>
        <v>90.017583657749526</v>
      </c>
      <c r="J177" s="168">
        <f ca="1">IF($C177-J$1&lt;År1,0,I176*(1-VLOOKUP($A177,[1]Hugst!$R$5:$W$9,MATCH(ROUNDUP((J$1)/10,0)*10,[1]Hugst!$R$4:$W$4,0))))</f>
        <v>90.164364316377771</v>
      </c>
      <c r="K177" s="168">
        <f ca="1">IF($C177-K$1&lt;År1,0,J176*(1-VLOOKUP($A177,[1]Hugst!$R$5:$W$9,MATCH(ROUNDUP((K$1)/10,0)*10,[1]Hugst!$R$4:$W$4,0))))</f>
        <v>90.311882566257566</v>
      </c>
      <c r="L177" s="168">
        <f ca="1">IF($C177-L$1&lt;År1,0,K176*(1-VLOOKUP($A177,[1]Hugst!$R$5:$W$9,MATCH(ROUNDUP((L$1)/10,0)*10,[1]Hugst!$R$4:$W$4,0))))</f>
        <v>90.460142113873019</v>
      </c>
      <c r="M177" s="168">
        <f ca="1">IF($C177-M$1&lt;År1,0,L176*(1-VLOOKUP($A177,[1]Hugst!$R$5:$W$9,MATCH(ROUNDUP((M$1)/10,0)*10,[1]Hugst!$R$4:$W$4,0))))</f>
        <v>90.609146684342022</v>
      </c>
      <c r="N177" s="168">
        <f ca="1">IF($C177-N$1&lt;År1,0,M176*(1-VLOOKUP($A177,[1]Hugst!$R$5:$W$9,MATCH(ROUNDUP((N$1)/10,0)*10,[1]Hugst!$R$4:$W$4,0))))</f>
        <v>90.7589000214968</v>
      </c>
      <c r="O177" s="168">
        <f ca="1">IF($C177-O$1&lt;År1,0,N176*(1-VLOOKUP($A177,[1]Hugst!$R$5:$W$9,MATCH(ROUNDUP((O$1)/10,0)*10,[1]Hugst!$R$4:$W$4,0))))</f>
        <v>90.909405887983326</v>
      </c>
      <c r="P177" s="168">
        <f ca="1">IF($C177-P$1&lt;År1,0,O176*(1-VLOOKUP($A177,[1]Hugst!$R$5:$W$9,MATCH(ROUNDUP((P$1)/10,0)*10,[1]Hugst!$R$4:$W$4,0))))</f>
        <v>140.8128583667318</v>
      </c>
      <c r="Q177" s="168">
        <f ca="1">IF($C177-Q$1&lt;År1,0,P176*(1-VLOOKUP($A177,[1]Hugst!$R$5:$W$9,MATCH(ROUNDUP((Q$1)/10,0)*10,[1]Hugst!$R$4:$W$4,0))))</f>
        <v>140.96488065554865</v>
      </c>
      <c r="R177" s="168">
        <f ca="1">IF($C177-R$1&lt;År1,0,Q176*(1-VLOOKUP($A177,[1]Hugst!$R$5:$W$9,MATCH(ROUNDUP((R$1)/10,0)*10,[1]Hugst!$R$4:$W$4,0))))</f>
        <v>141.11766687546753</v>
      </c>
      <c r="S177" s="168">
        <f ca="1">IF($C177-S$1&lt;År1,0,R176*(1-VLOOKUP($A177,[1]Hugst!$R$5:$W$9,MATCH(ROUNDUP((S$1)/10,0)*10,[1]Hugst!$R$4:$W$4,0))))</f>
        <v>141.27122086533404</v>
      </c>
      <c r="T177" s="168">
        <f ca="1">IF($C177-T$1&lt;År1,0,S176*(1-VLOOKUP($A177,[1]Hugst!$R$5:$W$9,MATCH(ROUNDUP((T$1)/10,0)*10,[1]Hugst!$R$4:$W$4,0))))</f>
        <v>141.42554648329155</v>
      </c>
      <c r="U177" s="168">
        <f ca="1">IF($C177-U$1&lt;År1,0,T176*(1-VLOOKUP($A177,[1]Hugst!$R$5:$W$9,MATCH(ROUNDUP((U$1)/10,0)*10,[1]Hugst!$R$4:$W$4,0))))</f>
        <v>141.58064760686528</v>
      </c>
      <c r="V177" s="168">
        <f ca="1">IF($C177-V$1&lt;År1,0,U176*(1-VLOOKUP($A177,[1]Hugst!$R$5:$W$9,MATCH(ROUNDUP((V$1)/10,0)*10,[1]Hugst!$R$4:$W$4,0))))</f>
        <v>141.73652813307041</v>
      </c>
      <c r="W177" s="168">
        <f ca="1">IF($C177-W$1&lt;År1,0,V176*(1-VLOOKUP($A177,[1]Hugst!$R$5:$W$9,MATCH(ROUNDUP((W$1)/10,0)*10,[1]Hugst!$R$4:$W$4,0))))</f>
        <v>141.89319197850403</v>
      </c>
      <c r="X177" s="168">
        <f ca="1">IF($C177-X$1&lt;År1,0,W176*(1-VLOOKUP($A177,[1]Hugst!$R$5:$W$9,MATCH(ROUNDUP((X$1)/10,0)*10,[1]Hugst!$R$4:$W$4,0))))</f>
        <v>142.05064307944181</v>
      </c>
      <c r="Y177" s="168">
        <f ca="1">IF($C177-Y$1&lt;År1,0,X176*(1-VLOOKUP($A177,[1]Hugst!$R$5:$W$9,MATCH(ROUNDUP((Y$1)/10,0)*10,[1]Hugst!$R$4:$W$4,0))))</f>
        <v>142.20888539194115</v>
      </c>
      <c r="Z177" s="168">
        <f ca="1">IF($C177-Z$1&lt;År1,0,Y176*(1-VLOOKUP($A177,[1]Hugst!$R$5:$W$9,MATCH(ROUNDUP((Z$1)/10,0)*10,[1]Hugst!$R$4:$W$4,0))))</f>
        <v>142.36792289194113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(IF(B178="Vestdanmark",Skovbrug!$C$22-(Skovbrug!$C$22)*(1-Skovbrug!$C$9)^(C178-Skovbrug!$B$12),Skovbrug!$F$22-(Skovbrug!$F$22)*(1-Skovbrug!$C$9)^(C178-Skovbrug!$B$12)))*VLOOKUP(A178,Skovbrug!$A$13:$D$17,IF('Skovbrug-alder'!C178&lt;=År2,3,4),FALSE)
-IF(C178&gt;2020,SUM(INDEX($C$1:$D$311,MATCH(1,(2020=$C$1:$C$311)*(B178=$B$1:$B$311)*(A178=$A$1:$A$311),0),2):D177),0)</f>
        <v>28.629530862077786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89.437763452645584</v>
      </c>
      <c r="G178" s="168">
        <f ca="1">IF($C178-G$1&lt;År1,0,F177*(1-VLOOKUP($A178,[1]Hugst!$R$5:$W$9,MATCH(ROUNDUP((G$1)/10,0)*10,[1]Hugst!$R$4:$W$4,0))))</f>
        <v>89.581630441902291</v>
      </c>
      <c r="H178" s="168">
        <f ca="1">IF($C178-H$1&lt;År1,0,G177*(1-VLOOKUP($A178,[1]Hugst!$R$5:$W$9,MATCH(ROUNDUP((H$1)/10,0)*10,[1]Hugst!$R$4:$W$4,0))))</f>
        <v>89.726220380853931</v>
      </c>
      <c r="I178" s="168">
        <f ca="1">IF($C178-I$1&lt;År1,0,H177*(1-VLOOKUP($A178,[1]Hugst!$R$5:$W$9,MATCH(ROUNDUP((I$1)/10,0)*10,[1]Hugst!$R$4:$W$4,0))))</f>
        <v>89.871536902413879</v>
      </c>
      <c r="J178" s="168">
        <f ca="1">IF($C178-J$1&lt;År1,0,I177*(1-VLOOKUP($A178,[1]Hugst!$R$5:$W$9,MATCH(ROUNDUP((J$1)/10,0)*10,[1]Hugst!$R$4:$W$4,0))))</f>
        <v>90.017583657749526</v>
      </c>
      <c r="K178" s="168">
        <f ca="1">IF($C178-K$1&lt;År1,0,J177*(1-VLOOKUP($A178,[1]Hugst!$R$5:$W$9,MATCH(ROUNDUP((K$1)/10,0)*10,[1]Hugst!$R$4:$W$4,0))))</f>
        <v>90.164364316377771</v>
      </c>
      <c r="L178" s="168">
        <f ca="1">IF($C178-L$1&lt;År1,0,K177*(1-VLOOKUP($A178,[1]Hugst!$R$5:$W$9,MATCH(ROUNDUP((L$1)/10,0)*10,[1]Hugst!$R$4:$W$4,0))))</f>
        <v>90.311882566257566</v>
      </c>
      <c r="M178" s="168">
        <f ca="1">IF($C178-M$1&lt;År1,0,L177*(1-VLOOKUP($A178,[1]Hugst!$R$5:$W$9,MATCH(ROUNDUP((M$1)/10,0)*10,[1]Hugst!$R$4:$W$4,0))))</f>
        <v>90.460142113873019</v>
      </c>
      <c r="N178" s="168">
        <f ca="1">IF($C178-N$1&lt;År1,0,M177*(1-VLOOKUP($A178,[1]Hugst!$R$5:$W$9,MATCH(ROUNDUP((N$1)/10,0)*10,[1]Hugst!$R$4:$W$4,0))))</f>
        <v>90.609146684342022</v>
      </c>
      <c r="O178" s="168">
        <f ca="1">IF($C178-O$1&lt;År1,0,N177*(1-VLOOKUP($A178,[1]Hugst!$R$5:$W$9,MATCH(ROUNDUP((O$1)/10,0)*10,[1]Hugst!$R$4:$W$4,0))))</f>
        <v>90.7589000214968</v>
      </c>
      <c r="P178" s="168">
        <f ca="1">IF($C178-P$1&lt;År1,0,O177*(1-VLOOKUP($A178,[1]Hugst!$R$5:$W$9,MATCH(ROUNDUP((P$1)/10,0)*10,[1]Hugst!$R$4:$W$4,0))))</f>
        <v>90.909405887983326</v>
      </c>
      <c r="Q178" s="168">
        <f ca="1">IF($C178-Q$1&lt;År1,0,P177*(1-VLOOKUP($A178,[1]Hugst!$R$5:$W$9,MATCH(ROUNDUP((Q$1)/10,0)*10,[1]Hugst!$R$4:$W$4,0))))</f>
        <v>140.8128583667318</v>
      </c>
      <c r="R178" s="168">
        <f ca="1">IF($C178-R$1&lt;År1,0,Q177*(1-VLOOKUP($A178,[1]Hugst!$R$5:$W$9,MATCH(ROUNDUP((R$1)/10,0)*10,[1]Hugst!$R$4:$W$4,0))))</f>
        <v>140.96488065554865</v>
      </c>
      <c r="S178" s="168">
        <f ca="1">IF($C178-S$1&lt;År1,0,R177*(1-VLOOKUP($A178,[1]Hugst!$R$5:$W$9,MATCH(ROUNDUP((S$1)/10,0)*10,[1]Hugst!$R$4:$W$4,0))))</f>
        <v>141.11766687546753</v>
      </c>
      <c r="T178" s="168">
        <f ca="1">IF($C178-T$1&lt;År1,0,S177*(1-VLOOKUP($A178,[1]Hugst!$R$5:$W$9,MATCH(ROUNDUP((T$1)/10,0)*10,[1]Hugst!$R$4:$W$4,0))))</f>
        <v>141.27122086533404</v>
      </c>
      <c r="U178" s="168">
        <f ca="1">IF($C178-U$1&lt;År1,0,T177*(1-VLOOKUP($A178,[1]Hugst!$R$5:$W$9,MATCH(ROUNDUP((U$1)/10,0)*10,[1]Hugst!$R$4:$W$4,0))))</f>
        <v>141.42554648329155</v>
      </c>
      <c r="V178" s="168">
        <f ca="1">IF($C178-V$1&lt;År1,0,U177*(1-VLOOKUP($A178,[1]Hugst!$R$5:$W$9,MATCH(ROUNDUP((V$1)/10,0)*10,[1]Hugst!$R$4:$W$4,0))))</f>
        <v>141.58064760686528</v>
      </c>
      <c r="W178" s="168">
        <f ca="1">IF($C178-W$1&lt;År1,0,V177*(1-VLOOKUP($A178,[1]Hugst!$R$5:$W$9,MATCH(ROUNDUP((W$1)/10,0)*10,[1]Hugst!$R$4:$W$4,0))))</f>
        <v>141.73652813307041</v>
      </c>
      <c r="X178" s="168">
        <f ca="1">IF($C178-X$1&lt;År1,0,W177*(1-VLOOKUP($A178,[1]Hugst!$R$5:$W$9,MATCH(ROUNDUP((X$1)/10,0)*10,[1]Hugst!$R$4:$W$4,0))))</f>
        <v>141.89319197850403</v>
      </c>
      <c r="Y178" s="168">
        <f ca="1">IF($C178-Y$1&lt;År1,0,X177*(1-VLOOKUP($A178,[1]Hugst!$R$5:$W$9,MATCH(ROUNDUP((Y$1)/10,0)*10,[1]Hugst!$R$4:$W$4,0))))</f>
        <v>142.05064307944181</v>
      </c>
      <c r="Z178" s="168">
        <f ca="1">IF($C178-Z$1&lt;År1,0,Y177*(1-VLOOKUP($A178,[1]Hugst!$R$5:$W$9,MATCH(ROUNDUP((Z$1)/10,0)*10,[1]Hugst!$R$4:$W$4,0))))</f>
        <v>142.20888539194115</v>
      </c>
      <c r="AA178" s="168">
        <f ca="1">IF($C178-AA$1&lt;År1,0,Z177*(1-VLOOKUP($A178,[1]Hugst!$R$5:$W$9,MATCH(ROUNDUP((AA$1)/10,0)*10,[1]Hugst!$R$4:$W$4,0))))</f>
        <v>142.36792289194113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(IF(B179="Vestdanmark",Skovbrug!$C$22-(Skovbrug!$C$22)*(1-Skovbrug!$C$9)^(C179-Skovbrug!$B$12),Skovbrug!$F$22-(Skovbrug!$F$22)*(1-Skovbrug!$C$9)^(C179-Skovbrug!$B$12)))*VLOOKUP(A179,Skovbrug!$A$13:$D$17,IF('Skovbrug-alder'!C179&lt;=År2,3,4),FALSE)
-IF(C179&gt;2020,SUM(INDEX($C$1:$D$311,MATCH(1,(2020=$C$1:$C$311)*(B179=$B$1:$B$311)*(A179=$A$1:$A$311),0),2):D178),0)</f>
        <v>28.486383207768881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89.294615798336679</v>
      </c>
      <c r="G179" s="168">
        <f ca="1">IF($C179-G$1&lt;År1,0,F178*(1-VLOOKUP($A179,[1]Hugst!$R$5:$W$9,MATCH(ROUNDUP((G$1)/10,0)*10,[1]Hugst!$R$4:$W$4,0))))</f>
        <v>89.437763452645584</v>
      </c>
      <c r="H179" s="168">
        <f ca="1">IF($C179-H$1&lt;År1,0,G178*(1-VLOOKUP($A179,[1]Hugst!$R$5:$W$9,MATCH(ROUNDUP((H$1)/10,0)*10,[1]Hugst!$R$4:$W$4,0))))</f>
        <v>89.581630441902291</v>
      </c>
      <c r="I179" s="168">
        <f ca="1">IF($C179-I$1&lt;År1,0,H178*(1-VLOOKUP($A179,[1]Hugst!$R$5:$W$9,MATCH(ROUNDUP((I$1)/10,0)*10,[1]Hugst!$R$4:$W$4,0))))</f>
        <v>89.726220380853931</v>
      </c>
      <c r="J179" s="168">
        <f ca="1">IF($C179-J$1&lt;År1,0,I178*(1-VLOOKUP($A179,[1]Hugst!$R$5:$W$9,MATCH(ROUNDUP((J$1)/10,0)*10,[1]Hugst!$R$4:$W$4,0))))</f>
        <v>89.871536902413879</v>
      </c>
      <c r="K179" s="168">
        <f ca="1">IF($C179-K$1&lt;År1,0,J178*(1-VLOOKUP($A179,[1]Hugst!$R$5:$W$9,MATCH(ROUNDUP((K$1)/10,0)*10,[1]Hugst!$R$4:$W$4,0))))</f>
        <v>90.017583657749526</v>
      </c>
      <c r="L179" s="168">
        <f ca="1">IF($C179-L$1&lt;År1,0,K178*(1-VLOOKUP($A179,[1]Hugst!$R$5:$W$9,MATCH(ROUNDUP((L$1)/10,0)*10,[1]Hugst!$R$4:$W$4,0))))</f>
        <v>90.164364316377771</v>
      </c>
      <c r="M179" s="168">
        <f ca="1">IF($C179-M$1&lt;År1,0,L178*(1-VLOOKUP($A179,[1]Hugst!$R$5:$W$9,MATCH(ROUNDUP((M$1)/10,0)*10,[1]Hugst!$R$4:$W$4,0))))</f>
        <v>90.311882566257566</v>
      </c>
      <c r="N179" s="168">
        <f ca="1">IF($C179-N$1&lt;År1,0,M178*(1-VLOOKUP($A179,[1]Hugst!$R$5:$W$9,MATCH(ROUNDUP((N$1)/10,0)*10,[1]Hugst!$R$4:$W$4,0))))</f>
        <v>90.460142113873019</v>
      </c>
      <c r="O179" s="168">
        <f ca="1">IF($C179-O$1&lt;År1,0,N178*(1-VLOOKUP($A179,[1]Hugst!$R$5:$W$9,MATCH(ROUNDUP((O$1)/10,0)*10,[1]Hugst!$R$4:$W$4,0))))</f>
        <v>90.609146684342022</v>
      </c>
      <c r="P179" s="168">
        <f ca="1">IF($C179-P$1&lt;År1,0,O178*(1-VLOOKUP($A179,[1]Hugst!$R$5:$W$9,MATCH(ROUNDUP((P$1)/10,0)*10,[1]Hugst!$R$4:$W$4,0))))</f>
        <v>90.7589000214968</v>
      </c>
      <c r="Q179" s="168">
        <f ca="1">IF($C179-Q$1&lt;År1,0,P178*(1-VLOOKUP($A179,[1]Hugst!$R$5:$W$9,MATCH(ROUNDUP((Q$1)/10,0)*10,[1]Hugst!$R$4:$W$4,0))))</f>
        <v>90.909405887983326</v>
      </c>
      <c r="R179" s="168">
        <f ca="1">IF($C179-R$1&lt;År1,0,Q178*(1-VLOOKUP($A179,[1]Hugst!$R$5:$W$9,MATCH(ROUNDUP((R$1)/10,0)*10,[1]Hugst!$R$4:$W$4,0))))</f>
        <v>140.8128583667318</v>
      </c>
      <c r="S179" s="168">
        <f ca="1">IF($C179-S$1&lt;År1,0,R178*(1-VLOOKUP($A179,[1]Hugst!$R$5:$W$9,MATCH(ROUNDUP((S$1)/10,0)*10,[1]Hugst!$R$4:$W$4,0))))</f>
        <v>140.96488065554865</v>
      </c>
      <c r="T179" s="168">
        <f ca="1">IF($C179-T$1&lt;År1,0,S178*(1-VLOOKUP($A179,[1]Hugst!$R$5:$W$9,MATCH(ROUNDUP((T$1)/10,0)*10,[1]Hugst!$R$4:$W$4,0))))</f>
        <v>141.11766687546753</v>
      </c>
      <c r="U179" s="168">
        <f ca="1">IF($C179-U$1&lt;År1,0,T178*(1-VLOOKUP($A179,[1]Hugst!$R$5:$W$9,MATCH(ROUNDUP((U$1)/10,0)*10,[1]Hugst!$R$4:$W$4,0))))</f>
        <v>141.27122086533404</v>
      </c>
      <c r="V179" s="168">
        <f ca="1">IF($C179-V$1&lt;År1,0,U178*(1-VLOOKUP($A179,[1]Hugst!$R$5:$W$9,MATCH(ROUNDUP((V$1)/10,0)*10,[1]Hugst!$R$4:$W$4,0))))</f>
        <v>141.42554648329155</v>
      </c>
      <c r="W179" s="168">
        <f ca="1">IF($C179-W$1&lt;År1,0,V178*(1-VLOOKUP($A179,[1]Hugst!$R$5:$W$9,MATCH(ROUNDUP((W$1)/10,0)*10,[1]Hugst!$R$4:$W$4,0))))</f>
        <v>141.58064760686528</v>
      </c>
      <c r="X179" s="168">
        <f ca="1">IF($C179-X$1&lt;År1,0,W178*(1-VLOOKUP($A179,[1]Hugst!$R$5:$W$9,MATCH(ROUNDUP((X$1)/10,0)*10,[1]Hugst!$R$4:$W$4,0))))</f>
        <v>141.73652813307041</v>
      </c>
      <c r="Y179" s="168">
        <f ca="1">IF($C179-Y$1&lt;År1,0,X178*(1-VLOOKUP($A179,[1]Hugst!$R$5:$W$9,MATCH(ROUNDUP((Y$1)/10,0)*10,[1]Hugst!$R$4:$W$4,0))))</f>
        <v>141.89319197850403</v>
      </c>
      <c r="Z179" s="168">
        <f ca="1">IF($C179-Z$1&lt;År1,0,Y178*(1-VLOOKUP($A179,[1]Hugst!$R$5:$W$9,MATCH(ROUNDUP((Z$1)/10,0)*10,[1]Hugst!$R$4:$W$4,0))))</f>
        <v>142.05064307944181</v>
      </c>
      <c r="AA179" s="168">
        <f ca="1">IF($C179-AA$1&lt;År1,0,Z178*(1-VLOOKUP($A179,[1]Hugst!$R$5:$W$9,MATCH(ROUNDUP((AA$1)/10,0)*10,[1]Hugst!$R$4:$W$4,0))))</f>
        <v>142.20888539194115</v>
      </c>
      <c r="AB179" s="168">
        <f ca="1">IF($C179-AB$1&lt;År1,0,AA178*(1-VLOOKUP($A179,[1]Hugst!$R$5:$W$9,MATCH(ROUNDUP((AB$1)/10,0)*10,[1]Hugst!$R$4:$W$4,0))))</f>
        <v>142.36792289194113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(IF(B180="Vestdanmark",Skovbrug!$C$22-(Skovbrug!$C$22)*(1-Skovbrug!$C$9)^(C180-Skovbrug!$B$12),Skovbrug!$F$22-(Skovbrug!$F$22)*(1-Skovbrug!$C$9)^(C180-Skovbrug!$B$12)))*VLOOKUP(A180,Skovbrug!$A$13:$D$17,IF('Skovbrug-alder'!C180&lt;=År2,3,4),FALSE)
-IF(C180&gt;2020,SUM(INDEX($C$1:$D$311,MATCH(1,(2020=$C$1:$C$311)*(B180=$B$1:$B$311)*(A180=$A$1:$A$311),0),2):D179),0)</f>
        <v>28.343951291728445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89.152183882296242</v>
      </c>
      <c r="G180" s="168">
        <f ca="1">IF($C180-G$1&lt;År1,0,F179*(1-VLOOKUP($A180,[1]Hugst!$R$5:$W$9,MATCH(ROUNDUP((G$1)/10,0)*10,[1]Hugst!$R$4:$W$4,0))))</f>
        <v>89.294615798336679</v>
      </c>
      <c r="H180" s="168">
        <f ca="1">IF($C180-H$1&lt;År1,0,G179*(1-VLOOKUP($A180,[1]Hugst!$R$5:$W$9,MATCH(ROUNDUP((H$1)/10,0)*10,[1]Hugst!$R$4:$W$4,0))))</f>
        <v>89.437763452645584</v>
      </c>
      <c r="I180" s="168">
        <f ca="1">IF($C180-I$1&lt;År1,0,H179*(1-VLOOKUP($A180,[1]Hugst!$R$5:$W$9,MATCH(ROUNDUP((I$1)/10,0)*10,[1]Hugst!$R$4:$W$4,0))))</f>
        <v>89.581630441902291</v>
      </c>
      <c r="J180" s="168">
        <f ca="1">IF($C180-J$1&lt;År1,0,I179*(1-VLOOKUP($A180,[1]Hugst!$R$5:$W$9,MATCH(ROUNDUP((J$1)/10,0)*10,[1]Hugst!$R$4:$W$4,0))))</f>
        <v>89.726220380853931</v>
      </c>
      <c r="K180" s="168">
        <f ca="1">IF($C180-K$1&lt;År1,0,J179*(1-VLOOKUP($A180,[1]Hugst!$R$5:$W$9,MATCH(ROUNDUP((K$1)/10,0)*10,[1]Hugst!$R$4:$W$4,0))))</f>
        <v>89.871536902413879</v>
      </c>
      <c r="L180" s="168">
        <f ca="1">IF($C180-L$1&lt;År1,0,K179*(1-VLOOKUP($A180,[1]Hugst!$R$5:$W$9,MATCH(ROUNDUP((L$1)/10,0)*10,[1]Hugst!$R$4:$W$4,0))))</f>
        <v>90.017583657749526</v>
      </c>
      <c r="M180" s="168">
        <f ca="1">IF($C180-M$1&lt;År1,0,L179*(1-VLOOKUP($A180,[1]Hugst!$R$5:$W$9,MATCH(ROUNDUP((M$1)/10,0)*10,[1]Hugst!$R$4:$W$4,0))))</f>
        <v>90.164364316377771</v>
      </c>
      <c r="N180" s="168">
        <f ca="1">IF($C180-N$1&lt;År1,0,M179*(1-VLOOKUP($A180,[1]Hugst!$R$5:$W$9,MATCH(ROUNDUP((N$1)/10,0)*10,[1]Hugst!$R$4:$W$4,0))))</f>
        <v>90.311882566257566</v>
      </c>
      <c r="O180" s="168">
        <f ca="1">IF($C180-O$1&lt;År1,0,N179*(1-VLOOKUP($A180,[1]Hugst!$R$5:$W$9,MATCH(ROUNDUP((O$1)/10,0)*10,[1]Hugst!$R$4:$W$4,0))))</f>
        <v>90.460142113873019</v>
      </c>
      <c r="P180" s="168">
        <f ca="1">IF($C180-P$1&lt;År1,0,O179*(1-VLOOKUP($A180,[1]Hugst!$R$5:$W$9,MATCH(ROUNDUP((P$1)/10,0)*10,[1]Hugst!$R$4:$W$4,0))))</f>
        <v>90.609146684342022</v>
      </c>
      <c r="Q180" s="168">
        <f ca="1">IF($C180-Q$1&lt;År1,0,P179*(1-VLOOKUP($A180,[1]Hugst!$R$5:$W$9,MATCH(ROUNDUP((Q$1)/10,0)*10,[1]Hugst!$R$4:$W$4,0))))</f>
        <v>90.7589000214968</v>
      </c>
      <c r="R180" s="168">
        <f ca="1">IF($C180-R$1&lt;År1,0,Q179*(1-VLOOKUP($A180,[1]Hugst!$R$5:$W$9,MATCH(ROUNDUP((R$1)/10,0)*10,[1]Hugst!$R$4:$W$4,0))))</f>
        <v>90.909405887983326</v>
      </c>
      <c r="S180" s="168">
        <f ca="1">IF($C180-S$1&lt;År1,0,R179*(1-VLOOKUP($A180,[1]Hugst!$R$5:$W$9,MATCH(ROUNDUP((S$1)/10,0)*10,[1]Hugst!$R$4:$W$4,0))))</f>
        <v>140.8128583667318</v>
      </c>
      <c r="T180" s="168">
        <f ca="1">IF($C180-T$1&lt;År1,0,S179*(1-VLOOKUP($A180,[1]Hugst!$R$5:$W$9,MATCH(ROUNDUP((T$1)/10,0)*10,[1]Hugst!$R$4:$W$4,0))))</f>
        <v>140.96488065554865</v>
      </c>
      <c r="U180" s="168">
        <f ca="1">IF($C180-U$1&lt;År1,0,T179*(1-VLOOKUP($A180,[1]Hugst!$R$5:$W$9,MATCH(ROUNDUP((U$1)/10,0)*10,[1]Hugst!$R$4:$W$4,0))))</f>
        <v>141.11766687546753</v>
      </c>
      <c r="V180" s="168">
        <f ca="1">IF($C180-V$1&lt;År1,0,U179*(1-VLOOKUP($A180,[1]Hugst!$R$5:$W$9,MATCH(ROUNDUP((V$1)/10,0)*10,[1]Hugst!$R$4:$W$4,0))))</f>
        <v>141.27122086533404</v>
      </c>
      <c r="W180" s="168">
        <f ca="1">IF($C180-W$1&lt;År1,0,V179*(1-VLOOKUP($A180,[1]Hugst!$R$5:$W$9,MATCH(ROUNDUP((W$1)/10,0)*10,[1]Hugst!$R$4:$W$4,0))))</f>
        <v>141.42554648329155</v>
      </c>
      <c r="X180" s="168">
        <f ca="1">IF($C180-X$1&lt;År1,0,W179*(1-VLOOKUP($A180,[1]Hugst!$R$5:$W$9,MATCH(ROUNDUP((X$1)/10,0)*10,[1]Hugst!$R$4:$W$4,0))))</f>
        <v>141.58064760686528</v>
      </c>
      <c r="Y180" s="168">
        <f ca="1">IF($C180-Y$1&lt;År1,0,X179*(1-VLOOKUP($A180,[1]Hugst!$R$5:$W$9,MATCH(ROUNDUP((Y$1)/10,0)*10,[1]Hugst!$R$4:$W$4,0))))</f>
        <v>141.73652813307041</v>
      </c>
      <c r="Z180" s="168">
        <f ca="1">IF($C180-Z$1&lt;År1,0,Y179*(1-VLOOKUP($A180,[1]Hugst!$R$5:$W$9,MATCH(ROUNDUP((Z$1)/10,0)*10,[1]Hugst!$R$4:$W$4,0))))</f>
        <v>141.89319197850403</v>
      </c>
      <c r="AA180" s="168">
        <f ca="1">IF($C180-AA$1&lt;År1,0,Z179*(1-VLOOKUP($A180,[1]Hugst!$R$5:$W$9,MATCH(ROUNDUP((AA$1)/10,0)*10,[1]Hugst!$R$4:$W$4,0))))</f>
        <v>142.05064307944181</v>
      </c>
      <c r="AB180" s="168">
        <f ca="1">IF($C180-AB$1&lt;År1,0,AA179*(1-VLOOKUP($A180,[1]Hugst!$R$5:$W$9,MATCH(ROUNDUP((AB$1)/10,0)*10,[1]Hugst!$R$4:$W$4,0))))</f>
        <v>142.20888539194115</v>
      </c>
      <c r="AC180" s="168">
        <f ca="1">IF($C180-AC$1&lt;År1,0,AB179*(1-VLOOKUP($A180,[1]Hugst!$R$5:$W$9,MATCH(ROUNDUP((AC$1)/10,0)*10,[1]Hugst!$R$4:$W$4,0))))</f>
        <v>142.36792289194113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(IF(B181="Vestdanmark",Skovbrug!$C$22-(Skovbrug!$C$22)*(1-Skovbrug!$C$9)^(C181-Skovbrug!$B$12),Skovbrug!$F$22-(Skovbrug!$F$22)*(1-Skovbrug!$C$9)^(C181-Skovbrug!$B$12)))*VLOOKUP(A181,Skovbrug!$A$13:$D$17,IF('Skovbrug-alder'!C181&lt;=År2,3,4),FALSE)
-IF(C181&gt;2020,SUM(INDEX($C$1:$D$311,MATCH(1,(2020=$C$1:$C$311)*(B181=$B$1:$B$311)*(A181=$A$1:$A$311),0),2):D180),0)</f>
        <v>28.202231535270357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89.010464125838155</v>
      </c>
      <c r="G181" s="168">
        <f ca="1">IF($C181-G$1&lt;År1,0,F180*(1-VLOOKUP($A181,[1]Hugst!$R$5:$W$9,MATCH(ROUNDUP((G$1)/10,0)*10,[1]Hugst!$R$4:$W$4,0))))</f>
        <v>89.152183882296242</v>
      </c>
      <c r="H181" s="168">
        <f ca="1">IF($C181-H$1&lt;År1,0,G180*(1-VLOOKUP($A181,[1]Hugst!$R$5:$W$9,MATCH(ROUNDUP((H$1)/10,0)*10,[1]Hugst!$R$4:$W$4,0))))</f>
        <v>89.294615798336679</v>
      </c>
      <c r="I181" s="168">
        <f ca="1">IF($C181-I$1&lt;År1,0,H180*(1-VLOOKUP($A181,[1]Hugst!$R$5:$W$9,MATCH(ROUNDUP((I$1)/10,0)*10,[1]Hugst!$R$4:$W$4,0))))</f>
        <v>89.437763452645584</v>
      </c>
      <c r="J181" s="168">
        <f ca="1">IF($C181-J$1&lt;År1,0,I180*(1-VLOOKUP($A181,[1]Hugst!$R$5:$W$9,MATCH(ROUNDUP((J$1)/10,0)*10,[1]Hugst!$R$4:$W$4,0))))</f>
        <v>89.581630441902291</v>
      </c>
      <c r="K181" s="168">
        <f ca="1">IF($C181-K$1&lt;År1,0,J180*(1-VLOOKUP($A181,[1]Hugst!$R$5:$W$9,MATCH(ROUNDUP((K$1)/10,0)*10,[1]Hugst!$R$4:$W$4,0))))</f>
        <v>89.726220380853931</v>
      </c>
      <c r="L181" s="168">
        <f ca="1">IF($C181-L$1&lt;År1,0,K180*(1-VLOOKUP($A181,[1]Hugst!$R$5:$W$9,MATCH(ROUNDUP((L$1)/10,0)*10,[1]Hugst!$R$4:$W$4,0))))</f>
        <v>89.871536902413879</v>
      </c>
      <c r="M181" s="168">
        <f ca="1">IF($C181-M$1&lt;År1,0,L180*(1-VLOOKUP($A181,[1]Hugst!$R$5:$W$9,MATCH(ROUNDUP((M$1)/10,0)*10,[1]Hugst!$R$4:$W$4,0))))</f>
        <v>90.017583657749526</v>
      </c>
      <c r="N181" s="168">
        <f ca="1">IF($C181-N$1&lt;År1,0,M180*(1-VLOOKUP($A181,[1]Hugst!$R$5:$W$9,MATCH(ROUNDUP((N$1)/10,0)*10,[1]Hugst!$R$4:$W$4,0))))</f>
        <v>90.164364316377771</v>
      </c>
      <c r="O181" s="168">
        <f ca="1">IF($C181-O$1&lt;År1,0,N180*(1-VLOOKUP($A181,[1]Hugst!$R$5:$W$9,MATCH(ROUNDUP((O$1)/10,0)*10,[1]Hugst!$R$4:$W$4,0))))</f>
        <v>90.311882566257566</v>
      </c>
      <c r="P181" s="168">
        <f ca="1">IF($C181-P$1&lt;År1,0,O180*(1-VLOOKUP($A181,[1]Hugst!$R$5:$W$9,MATCH(ROUNDUP((P$1)/10,0)*10,[1]Hugst!$R$4:$W$4,0))))</f>
        <v>90.460142113873019</v>
      </c>
      <c r="Q181" s="168">
        <f ca="1">IF($C181-Q$1&lt;År1,0,P180*(1-VLOOKUP($A181,[1]Hugst!$R$5:$W$9,MATCH(ROUNDUP((Q$1)/10,0)*10,[1]Hugst!$R$4:$W$4,0))))</f>
        <v>90.609146684342022</v>
      </c>
      <c r="R181" s="168">
        <f ca="1">IF($C181-R$1&lt;År1,0,Q180*(1-VLOOKUP($A181,[1]Hugst!$R$5:$W$9,MATCH(ROUNDUP((R$1)/10,0)*10,[1]Hugst!$R$4:$W$4,0))))</f>
        <v>90.7589000214968</v>
      </c>
      <c r="S181" s="168">
        <f ca="1">IF($C181-S$1&lt;År1,0,R180*(1-VLOOKUP($A181,[1]Hugst!$R$5:$W$9,MATCH(ROUNDUP((S$1)/10,0)*10,[1]Hugst!$R$4:$W$4,0))))</f>
        <v>90.909405887983326</v>
      </c>
      <c r="T181" s="168">
        <f ca="1">IF($C181-T$1&lt;År1,0,S180*(1-VLOOKUP($A181,[1]Hugst!$R$5:$W$9,MATCH(ROUNDUP((T$1)/10,0)*10,[1]Hugst!$R$4:$W$4,0))))</f>
        <v>140.8128583667318</v>
      </c>
      <c r="U181" s="168">
        <f ca="1">IF($C181-U$1&lt;År1,0,T180*(1-VLOOKUP($A181,[1]Hugst!$R$5:$W$9,MATCH(ROUNDUP((U$1)/10,0)*10,[1]Hugst!$R$4:$W$4,0))))</f>
        <v>140.96488065554865</v>
      </c>
      <c r="V181" s="168">
        <f ca="1">IF($C181-V$1&lt;År1,0,U180*(1-VLOOKUP($A181,[1]Hugst!$R$5:$W$9,MATCH(ROUNDUP((V$1)/10,0)*10,[1]Hugst!$R$4:$W$4,0))))</f>
        <v>141.11766687546753</v>
      </c>
      <c r="W181" s="168">
        <f ca="1">IF($C181-W$1&lt;År1,0,V180*(1-VLOOKUP($A181,[1]Hugst!$R$5:$W$9,MATCH(ROUNDUP((W$1)/10,0)*10,[1]Hugst!$R$4:$W$4,0))))</f>
        <v>141.27122086533404</v>
      </c>
      <c r="X181" s="168">
        <f ca="1">IF($C181-X$1&lt;År1,0,W180*(1-VLOOKUP($A181,[1]Hugst!$R$5:$W$9,MATCH(ROUNDUP((X$1)/10,0)*10,[1]Hugst!$R$4:$W$4,0))))</f>
        <v>141.42554648329155</v>
      </c>
      <c r="Y181" s="168">
        <f ca="1">IF($C181-Y$1&lt;År1,0,X180*(1-VLOOKUP($A181,[1]Hugst!$R$5:$W$9,MATCH(ROUNDUP((Y$1)/10,0)*10,[1]Hugst!$R$4:$W$4,0))))</f>
        <v>141.58064760686528</v>
      </c>
      <c r="Z181" s="168">
        <f ca="1">IF($C181-Z$1&lt;År1,0,Y180*(1-VLOOKUP($A181,[1]Hugst!$R$5:$W$9,MATCH(ROUNDUP((Z$1)/10,0)*10,[1]Hugst!$R$4:$W$4,0))))</f>
        <v>141.73652813307041</v>
      </c>
      <c r="AA181" s="168">
        <f ca="1">IF($C181-AA$1&lt;År1,0,Z180*(1-VLOOKUP($A181,[1]Hugst!$R$5:$W$9,MATCH(ROUNDUP((AA$1)/10,0)*10,[1]Hugst!$R$4:$W$4,0))))</f>
        <v>141.89319197850403</v>
      </c>
      <c r="AB181" s="168">
        <f ca="1">IF($C181-AB$1&lt;År1,0,AA180*(1-VLOOKUP($A181,[1]Hugst!$R$5:$W$9,MATCH(ROUNDUP((AB$1)/10,0)*10,[1]Hugst!$R$4:$W$4,0))))</f>
        <v>142.05064307944181</v>
      </c>
      <c r="AC181" s="168">
        <f ca="1">IF($C181-AC$1&lt;År1,0,AB180*(1-VLOOKUP($A181,[1]Hugst!$R$5:$W$9,MATCH(ROUNDUP((AC$1)/10,0)*10,[1]Hugst!$R$4:$W$4,0))))</f>
        <v>142.20888539194115</v>
      </c>
      <c r="AD181" s="168">
        <f ca="1">IF($C181-AD$1&lt;År1,0,AC180*(1-VLOOKUP($A181,[1]Hugst!$R$5:$W$9,MATCH(ROUNDUP((AD$1)/10,0)*10,[1]Hugst!$R$4:$W$4,0))))</f>
        <v>142.36792289194113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(IF(B182="Vestdanmark",Skovbrug!$C$22-(Skovbrug!$C$22)*(1-Skovbrug!$C$9)^(C182-Skovbrug!$B$12),Skovbrug!$F$22-(Skovbrug!$F$22)*(1-Skovbrug!$C$9)^(C182-Skovbrug!$B$12)))*VLOOKUP(A182,Skovbrug!$A$13:$D$17,IF('Skovbrug-alder'!C182&lt;=År2,3,4),FALSE)
-IF(C182&gt;2020,SUM(INDEX($C$1:$D$311,MATCH(1,(2020=$C$1:$C$311)*(B182=$B$1:$B$311)*(A182=$A$1:$A$311),0),2):D181),0)</f>
        <v>28.061220377593372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88.86945296816117</v>
      </c>
      <c r="G182" s="168">
        <f ca="1">IF($C182-G$1&lt;År1,0,F181*(1-VLOOKUP($A182,[1]Hugst!$R$5:$W$9,MATCH(ROUNDUP((G$1)/10,0)*10,[1]Hugst!$R$4:$W$4,0))))</f>
        <v>89.010464125838155</v>
      </c>
      <c r="H182" s="168">
        <f ca="1">IF($C182-H$1&lt;År1,0,G181*(1-VLOOKUP($A182,[1]Hugst!$R$5:$W$9,MATCH(ROUNDUP((H$1)/10,0)*10,[1]Hugst!$R$4:$W$4,0))))</f>
        <v>89.152183882296242</v>
      </c>
      <c r="I182" s="168">
        <f ca="1">IF($C182-I$1&lt;År1,0,H181*(1-VLOOKUP($A182,[1]Hugst!$R$5:$W$9,MATCH(ROUNDUP((I$1)/10,0)*10,[1]Hugst!$R$4:$W$4,0))))</f>
        <v>89.294615798336679</v>
      </c>
      <c r="J182" s="168">
        <f ca="1">IF($C182-J$1&lt;År1,0,I181*(1-VLOOKUP($A182,[1]Hugst!$R$5:$W$9,MATCH(ROUNDUP((J$1)/10,0)*10,[1]Hugst!$R$4:$W$4,0))))</f>
        <v>89.437763452645584</v>
      </c>
      <c r="K182" s="168">
        <f ca="1">IF($C182-K$1&lt;År1,0,J181*(1-VLOOKUP($A182,[1]Hugst!$R$5:$W$9,MATCH(ROUNDUP((K$1)/10,0)*10,[1]Hugst!$R$4:$W$4,0))))</f>
        <v>89.581630441902291</v>
      </c>
      <c r="L182" s="168">
        <f ca="1">IF($C182-L$1&lt;År1,0,K181*(1-VLOOKUP($A182,[1]Hugst!$R$5:$W$9,MATCH(ROUNDUP((L$1)/10,0)*10,[1]Hugst!$R$4:$W$4,0))))</f>
        <v>89.726220380853931</v>
      </c>
      <c r="M182" s="168">
        <f ca="1">IF($C182-M$1&lt;År1,0,L181*(1-VLOOKUP($A182,[1]Hugst!$R$5:$W$9,MATCH(ROUNDUP((M$1)/10,0)*10,[1]Hugst!$R$4:$W$4,0))))</f>
        <v>89.871536902413879</v>
      </c>
      <c r="N182" s="168">
        <f ca="1">IF($C182-N$1&lt;År1,0,M181*(1-VLOOKUP($A182,[1]Hugst!$R$5:$W$9,MATCH(ROUNDUP((N$1)/10,0)*10,[1]Hugst!$R$4:$W$4,0))))</f>
        <v>90.017583657749526</v>
      </c>
      <c r="O182" s="168">
        <f ca="1">IF($C182-O$1&lt;År1,0,N181*(1-VLOOKUP($A182,[1]Hugst!$R$5:$W$9,MATCH(ROUNDUP((O$1)/10,0)*10,[1]Hugst!$R$4:$W$4,0))))</f>
        <v>90.164364316377771</v>
      </c>
      <c r="P182" s="168">
        <f ca="1">IF($C182-P$1&lt;År1,0,O181*(1-VLOOKUP($A182,[1]Hugst!$R$5:$W$9,MATCH(ROUNDUP((P$1)/10,0)*10,[1]Hugst!$R$4:$W$4,0))))</f>
        <v>90.311882566257566</v>
      </c>
      <c r="Q182" s="168">
        <f ca="1">IF($C182-Q$1&lt;År1,0,P181*(1-VLOOKUP($A182,[1]Hugst!$R$5:$W$9,MATCH(ROUNDUP((Q$1)/10,0)*10,[1]Hugst!$R$4:$W$4,0))))</f>
        <v>90.460142113873019</v>
      </c>
      <c r="R182" s="168">
        <f ca="1">IF($C182-R$1&lt;År1,0,Q181*(1-VLOOKUP($A182,[1]Hugst!$R$5:$W$9,MATCH(ROUNDUP((R$1)/10,0)*10,[1]Hugst!$R$4:$W$4,0))))</f>
        <v>90.609146684342022</v>
      </c>
      <c r="S182" s="168">
        <f ca="1">IF($C182-S$1&lt;År1,0,R181*(1-VLOOKUP($A182,[1]Hugst!$R$5:$W$9,MATCH(ROUNDUP((S$1)/10,0)*10,[1]Hugst!$R$4:$W$4,0))))</f>
        <v>90.7589000214968</v>
      </c>
      <c r="T182" s="168">
        <f ca="1">IF($C182-T$1&lt;År1,0,S181*(1-VLOOKUP($A182,[1]Hugst!$R$5:$W$9,MATCH(ROUNDUP((T$1)/10,0)*10,[1]Hugst!$R$4:$W$4,0))))</f>
        <v>90.909405887983326</v>
      </c>
      <c r="U182" s="168">
        <f ca="1">IF($C182-U$1&lt;År1,0,T181*(1-VLOOKUP($A182,[1]Hugst!$R$5:$W$9,MATCH(ROUNDUP((U$1)/10,0)*10,[1]Hugst!$R$4:$W$4,0))))</f>
        <v>140.8128583667318</v>
      </c>
      <c r="V182" s="168">
        <f ca="1">IF($C182-V$1&lt;År1,0,U181*(1-VLOOKUP($A182,[1]Hugst!$R$5:$W$9,MATCH(ROUNDUP((V$1)/10,0)*10,[1]Hugst!$R$4:$W$4,0))))</f>
        <v>140.96488065554865</v>
      </c>
      <c r="W182" s="168">
        <f ca="1">IF($C182-W$1&lt;År1,0,V181*(1-VLOOKUP($A182,[1]Hugst!$R$5:$W$9,MATCH(ROUNDUP((W$1)/10,0)*10,[1]Hugst!$R$4:$W$4,0))))</f>
        <v>141.11766687546753</v>
      </c>
      <c r="X182" s="168">
        <f ca="1">IF($C182-X$1&lt;År1,0,W181*(1-VLOOKUP($A182,[1]Hugst!$R$5:$W$9,MATCH(ROUNDUP((X$1)/10,0)*10,[1]Hugst!$R$4:$W$4,0))))</f>
        <v>141.27122086533404</v>
      </c>
      <c r="Y182" s="168">
        <f ca="1">IF($C182-Y$1&lt;År1,0,X181*(1-VLOOKUP($A182,[1]Hugst!$R$5:$W$9,MATCH(ROUNDUP((Y$1)/10,0)*10,[1]Hugst!$R$4:$W$4,0))))</f>
        <v>141.42554648329155</v>
      </c>
      <c r="Z182" s="168">
        <f ca="1">IF($C182-Z$1&lt;År1,0,Y181*(1-VLOOKUP($A182,[1]Hugst!$R$5:$W$9,MATCH(ROUNDUP((Z$1)/10,0)*10,[1]Hugst!$R$4:$W$4,0))))</f>
        <v>141.58064760686528</v>
      </c>
      <c r="AA182" s="168">
        <f ca="1">IF($C182-AA$1&lt;År1,0,Z181*(1-VLOOKUP($A182,[1]Hugst!$R$5:$W$9,MATCH(ROUNDUP((AA$1)/10,0)*10,[1]Hugst!$R$4:$W$4,0))))</f>
        <v>141.73652813307041</v>
      </c>
      <c r="AB182" s="168">
        <f ca="1">IF($C182-AB$1&lt;År1,0,AA181*(1-VLOOKUP($A182,[1]Hugst!$R$5:$W$9,MATCH(ROUNDUP((AB$1)/10,0)*10,[1]Hugst!$R$4:$W$4,0))))</f>
        <v>141.89319197850403</v>
      </c>
      <c r="AC182" s="168">
        <f ca="1">IF($C182-AC$1&lt;År1,0,AB181*(1-VLOOKUP($A182,[1]Hugst!$R$5:$W$9,MATCH(ROUNDUP((AC$1)/10,0)*10,[1]Hugst!$R$4:$W$4,0))))</f>
        <v>142.05064307944181</v>
      </c>
      <c r="AD182" s="168">
        <f ca="1">IF($C182-AD$1&lt;År1,0,AC181*(1-VLOOKUP($A182,[1]Hugst!$R$5:$W$9,MATCH(ROUNDUP((AD$1)/10,0)*10,[1]Hugst!$R$4:$W$4,0))))</f>
        <v>142.20888539194115</v>
      </c>
      <c r="AE182" s="168">
        <f ca="1">IF($C182-AE$1&lt;År1,0,AD181*(1-VLOOKUP($A182,[1]Hugst!$R$5:$W$9,MATCH(ROUNDUP((AE$1)/10,0)*10,[1]Hugst!$R$4:$W$4,0))))</f>
        <v>142.36792289194113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(IF(B183="Vestdanmark",Skovbrug!$C$22-(Skovbrug!$C$22)*(1-Skovbrug!$C$9)^(C183-Skovbrug!$B$12),Skovbrug!$F$22-(Skovbrug!$F$22)*(1-Skovbrug!$C$9)^(C183-Skovbrug!$B$12)))*VLOOKUP(A183,Skovbrug!$A$13:$D$17,IF('Skovbrug-alder'!C183&lt;=År2,3,4),FALSE)
-IF(C183&gt;2020,SUM(INDEX($C$1:$D$311,MATCH(1,(2020=$C$1:$C$311)*(B183=$B$1:$B$311)*(A183=$A$1:$A$311),0),2):D182),0)</f>
        <v>27.920914275707105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88.729146866274903</v>
      </c>
      <c r="G183" s="168">
        <f ca="1">IF($C183-G$1&lt;År1,0,F182*(1-VLOOKUP($A183,[1]Hugst!$R$5:$W$9,MATCH(ROUNDUP((G$1)/10,0)*10,[1]Hugst!$R$4:$W$4,0))))</f>
        <v>88.86945296816117</v>
      </c>
      <c r="H183" s="168">
        <f ca="1">IF($C183-H$1&lt;År1,0,G182*(1-VLOOKUP($A183,[1]Hugst!$R$5:$W$9,MATCH(ROUNDUP((H$1)/10,0)*10,[1]Hugst!$R$4:$W$4,0))))</f>
        <v>89.010464125838155</v>
      </c>
      <c r="I183" s="168">
        <f ca="1">IF($C183-I$1&lt;År1,0,H182*(1-VLOOKUP($A183,[1]Hugst!$R$5:$W$9,MATCH(ROUNDUP((I$1)/10,0)*10,[1]Hugst!$R$4:$W$4,0))))</f>
        <v>89.152183882296242</v>
      </c>
      <c r="J183" s="168">
        <f ca="1">IF($C183-J$1&lt;År1,0,I182*(1-VLOOKUP($A183,[1]Hugst!$R$5:$W$9,MATCH(ROUNDUP((J$1)/10,0)*10,[1]Hugst!$R$4:$W$4,0))))</f>
        <v>89.294615798336679</v>
      </c>
      <c r="K183" s="168">
        <f ca="1">IF($C183-K$1&lt;År1,0,J182*(1-VLOOKUP($A183,[1]Hugst!$R$5:$W$9,MATCH(ROUNDUP((K$1)/10,0)*10,[1]Hugst!$R$4:$W$4,0))))</f>
        <v>89.437763452645584</v>
      </c>
      <c r="L183" s="168">
        <f ca="1">IF($C183-L$1&lt;År1,0,K182*(1-VLOOKUP($A183,[1]Hugst!$R$5:$W$9,MATCH(ROUNDUP((L$1)/10,0)*10,[1]Hugst!$R$4:$W$4,0))))</f>
        <v>89.581630441902291</v>
      </c>
      <c r="M183" s="168">
        <f ca="1">IF($C183-M$1&lt;År1,0,L182*(1-VLOOKUP($A183,[1]Hugst!$R$5:$W$9,MATCH(ROUNDUP((M$1)/10,0)*10,[1]Hugst!$R$4:$W$4,0))))</f>
        <v>89.726220380853931</v>
      </c>
      <c r="N183" s="168">
        <f ca="1">IF($C183-N$1&lt;År1,0,M182*(1-VLOOKUP($A183,[1]Hugst!$R$5:$W$9,MATCH(ROUNDUP((N$1)/10,0)*10,[1]Hugst!$R$4:$W$4,0))))</f>
        <v>89.871536902413879</v>
      </c>
      <c r="O183" s="168">
        <f ca="1">IF($C183-O$1&lt;År1,0,N182*(1-VLOOKUP($A183,[1]Hugst!$R$5:$W$9,MATCH(ROUNDUP((O$1)/10,0)*10,[1]Hugst!$R$4:$W$4,0))))</f>
        <v>90.017583657749526</v>
      </c>
      <c r="P183" s="168">
        <f ca="1">IF($C183-P$1&lt;År1,0,O182*(1-VLOOKUP($A183,[1]Hugst!$R$5:$W$9,MATCH(ROUNDUP((P$1)/10,0)*10,[1]Hugst!$R$4:$W$4,0))))</f>
        <v>90.164364316377771</v>
      </c>
      <c r="Q183" s="168">
        <f ca="1">IF($C183-Q$1&lt;År1,0,P182*(1-VLOOKUP($A183,[1]Hugst!$R$5:$W$9,MATCH(ROUNDUP((Q$1)/10,0)*10,[1]Hugst!$R$4:$W$4,0))))</f>
        <v>90.311882566257566</v>
      </c>
      <c r="R183" s="168">
        <f ca="1">IF($C183-R$1&lt;År1,0,Q182*(1-VLOOKUP($A183,[1]Hugst!$R$5:$W$9,MATCH(ROUNDUP((R$1)/10,0)*10,[1]Hugst!$R$4:$W$4,0))))</f>
        <v>90.460142113873019</v>
      </c>
      <c r="S183" s="168">
        <f ca="1">IF($C183-S$1&lt;År1,0,R182*(1-VLOOKUP($A183,[1]Hugst!$R$5:$W$9,MATCH(ROUNDUP((S$1)/10,0)*10,[1]Hugst!$R$4:$W$4,0))))</f>
        <v>90.609146684342022</v>
      </c>
      <c r="T183" s="168">
        <f ca="1">IF($C183-T$1&lt;År1,0,S182*(1-VLOOKUP($A183,[1]Hugst!$R$5:$W$9,MATCH(ROUNDUP((T$1)/10,0)*10,[1]Hugst!$R$4:$W$4,0))))</f>
        <v>90.7589000214968</v>
      </c>
      <c r="U183" s="168">
        <f ca="1">IF($C183-U$1&lt;År1,0,T182*(1-VLOOKUP($A183,[1]Hugst!$R$5:$W$9,MATCH(ROUNDUP((U$1)/10,0)*10,[1]Hugst!$R$4:$W$4,0))))</f>
        <v>90.909405887983326</v>
      </c>
      <c r="V183" s="168">
        <f ca="1">IF($C183-V$1&lt;År1,0,U182*(1-VLOOKUP($A183,[1]Hugst!$R$5:$W$9,MATCH(ROUNDUP((V$1)/10,0)*10,[1]Hugst!$R$4:$W$4,0))))</f>
        <v>140.8128583667318</v>
      </c>
      <c r="W183" s="168">
        <f ca="1">IF($C183-W$1&lt;År1,0,V182*(1-VLOOKUP($A183,[1]Hugst!$R$5:$W$9,MATCH(ROUNDUP((W$1)/10,0)*10,[1]Hugst!$R$4:$W$4,0))))</f>
        <v>140.96488065554865</v>
      </c>
      <c r="X183" s="168">
        <f ca="1">IF($C183-X$1&lt;År1,0,W182*(1-VLOOKUP($A183,[1]Hugst!$R$5:$W$9,MATCH(ROUNDUP((X$1)/10,0)*10,[1]Hugst!$R$4:$W$4,0))))</f>
        <v>141.11766687546753</v>
      </c>
      <c r="Y183" s="168">
        <f ca="1">IF($C183-Y$1&lt;År1,0,X182*(1-VLOOKUP($A183,[1]Hugst!$R$5:$W$9,MATCH(ROUNDUP((Y$1)/10,0)*10,[1]Hugst!$R$4:$W$4,0))))</f>
        <v>141.27122086533404</v>
      </c>
      <c r="Z183" s="168">
        <f ca="1">IF($C183-Z$1&lt;År1,0,Y182*(1-VLOOKUP($A183,[1]Hugst!$R$5:$W$9,MATCH(ROUNDUP((Z$1)/10,0)*10,[1]Hugst!$R$4:$W$4,0))))</f>
        <v>141.42554648329155</v>
      </c>
      <c r="AA183" s="168">
        <f ca="1">IF($C183-AA$1&lt;År1,0,Z182*(1-VLOOKUP($A183,[1]Hugst!$R$5:$W$9,MATCH(ROUNDUP((AA$1)/10,0)*10,[1]Hugst!$R$4:$W$4,0))))</f>
        <v>141.58064760686528</v>
      </c>
      <c r="AB183" s="168">
        <f ca="1">IF($C183-AB$1&lt;År1,0,AA182*(1-VLOOKUP($A183,[1]Hugst!$R$5:$W$9,MATCH(ROUNDUP((AB$1)/10,0)*10,[1]Hugst!$R$4:$W$4,0))))</f>
        <v>141.73652813307041</v>
      </c>
      <c r="AC183" s="168">
        <f ca="1">IF($C183-AC$1&lt;År1,0,AB182*(1-VLOOKUP($A183,[1]Hugst!$R$5:$W$9,MATCH(ROUNDUP((AC$1)/10,0)*10,[1]Hugst!$R$4:$W$4,0))))</f>
        <v>141.89319197850403</v>
      </c>
      <c r="AD183" s="168">
        <f ca="1">IF($C183-AD$1&lt;År1,0,AC182*(1-VLOOKUP($A183,[1]Hugst!$R$5:$W$9,MATCH(ROUNDUP((AD$1)/10,0)*10,[1]Hugst!$R$4:$W$4,0))))</f>
        <v>142.05064307944181</v>
      </c>
      <c r="AE183" s="168">
        <f ca="1">IF($C183-AE$1&lt;År1,0,AD182*(1-VLOOKUP($A183,[1]Hugst!$R$5:$W$9,MATCH(ROUNDUP((AE$1)/10,0)*10,[1]Hugst!$R$4:$W$4,0))))</f>
        <v>142.20888539194115</v>
      </c>
      <c r="AF183" s="168">
        <f ca="1">IF($C183-AF$1&lt;År1,0,AE182*(1-VLOOKUP($A183,[1]Hugst!$R$5:$W$9,MATCH(ROUNDUP((AF$1)/10,0)*10,[1]Hugst!$R$4:$W$4,0))))</f>
        <v>142.36792289194113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(IF(B184="Vestdanmark",Skovbrug!$C$22-(Skovbrug!$C$22)*(1-Skovbrug!$C$9)^(C184-Skovbrug!$B$12),Skovbrug!$F$22-(Skovbrug!$F$22)*(1-Skovbrug!$C$9)^(C184-Skovbrug!$B$12)))*VLOOKUP(A184,Skovbrug!$A$13:$D$17,IF('Skovbrug-alder'!C184&lt;=År2,3,4),FALSE)
-IF(C184&gt;2020,SUM(INDEX($C$1:$D$311,MATCH(1,(2020=$C$1:$C$311)*(B184=$B$1:$B$311)*(A184=$A$1:$A$311),0),2):D183),0)</f>
        <v>27.781309704326077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88.589542294893874</v>
      </c>
      <c r="G184" s="168">
        <f ca="1">IF($C184-G$1&lt;År1,0,F183*(1-VLOOKUP($A184,[1]Hugst!$R$5:$W$9,MATCH(ROUNDUP((G$1)/10,0)*10,[1]Hugst!$R$4:$W$4,0))))</f>
        <v>88.729146866274903</v>
      </c>
      <c r="H184" s="168">
        <f ca="1">IF($C184-H$1&lt;År1,0,G183*(1-VLOOKUP($A184,[1]Hugst!$R$5:$W$9,MATCH(ROUNDUP((H$1)/10,0)*10,[1]Hugst!$R$4:$W$4,0))))</f>
        <v>88.86945296816117</v>
      </c>
      <c r="I184" s="168">
        <f ca="1">IF($C184-I$1&lt;År1,0,H183*(1-VLOOKUP($A184,[1]Hugst!$R$5:$W$9,MATCH(ROUNDUP((I$1)/10,0)*10,[1]Hugst!$R$4:$W$4,0))))</f>
        <v>89.010464125838155</v>
      </c>
      <c r="J184" s="168">
        <f ca="1">IF($C184-J$1&lt;År1,0,I183*(1-VLOOKUP($A184,[1]Hugst!$R$5:$W$9,MATCH(ROUNDUP((J$1)/10,0)*10,[1]Hugst!$R$4:$W$4,0))))</f>
        <v>89.152183882296242</v>
      </c>
      <c r="K184" s="168">
        <f ca="1">IF($C184-K$1&lt;År1,0,J183*(1-VLOOKUP($A184,[1]Hugst!$R$5:$W$9,MATCH(ROUNDUP((K$1)/10,0)*10,[1]Hugst!$R$4:$W$4,0))))</f>
        <v>89.294615798336679</v>
      </c>
      <c r="L184" s="168">
        <f ca="1">IF($C184-L$1&lt;År1,0,K183*(1-VLOOKUP($A184,[1]Hugst!$R$5:$W$9,MATCH(ROUNDUP((L$1)/10,0)*10,[1]Hugst!$R$4:$W$4,0))))</f>
        <v>89.437763452645584</v>
      </c>
      <c r="M184" s="168">
        <f ca="1">IF($C184-M$1&lt;År1,0,L183*(1-VLOOKUP($A184,[1]Hugst!$R$5:$W$9,MATCH(ROUNDUP((M$1)/10,0)*10,[1]Hugst!$R$4:$W$4,0))))</f>
        <v>89.581630441902291</v>
      </c>
      <c r="N184" s="168">
        <f ca="1">IF($C184-N$1&lt;År1,0,M183*(1-VLOOKUP($A184,[1]Hugst!$R$5:$W$9,MATCH(ROUNDUP((N$1)/10,0)*10,[1]Hugst!$R$4:$W$4,0))))</f>
        <v>89.726220380853931</v>
      </c>
      <c r="O184" s="168">
        <f ca="1">IF($C184-O$1&lt;År1,0,N183*(1-VLOOKUP($A184,[1]Hugst!$R$5:$W$9,MATCH(ROUNDUP((O$1)/10,0)*10,[1]Hugst!$R$4:$W$4,0))))</f>
        <v>89.871536902413879</v>
      </c>
      <c r="P184" s="168">
        <f ca="1">IF($C184-P$1&lt;År1,0,O183*(1-VLOOKUP($A184,[1]Hugst!$R$5:$W$9,MATCH(ROUNDUP((P$1)/10,0)*10,[1]Hugst!$R$4:$W$4,0))))</f>
        <v>90.017583657749526</v>
      </c>
      <c r="Q184" s="168">
        <f ca="1">IF($C184-Q$1&lt;År1,0,P183*(1-VLOOKUP($A184,[1]Hugst!$R$5:$W$9,MATCH(ROUNDUP((Q$1)/10,0)*10,[1]Hugst!$R$4:$W$4,0))))</f>
        <v>90.164364316377771</v>
      </c>
      <c r="R184" s="168">
        <f ca="1">IF($C184-R$1&lt;År1,0,Q183*(1-VLOOKUP($A184,[1]Hugst!$R$5:$W$9,MATCH(ROUNDUP((R$1)/10,0)*10,[1]Hugst!$R$4:$W$4,0))))</f>
        <v>90.311882566257566</v>
      </c>
      <c r="S184" s="168">
        <f ca="1">IF($C184-S$1&lt;År1,0,R183*(1-VLOOKUP($A184,[1]Hugst!$R$5:$W$9,MATCH(ROUNDUP((S$1)/10,0)*10,[1]Hugst!$R$4:$W$4,0))))</f>
        <v>90.460142113873019</v>
      </c>
      <c r="T184" s="168">
        <f ca="1">IF($C184-T$1&lt;År1,0,S183*(1-VLOOKUP($A184,[1]Hugst!$R$5:$W$9,MATCH(ROUNDUP((T$1)/10,0)*10,[1]Hugst!$R$4:$W$4,0))))</f>
        <v>90.609146684342022</v>
      </c>
      <c r="U184" s="168">
        <f ca="1">IF($C184-U$1&lt;År1,0,T183*(1-VLOOKUP($A184,[1]Hugst!$R$5:$W$9,MATCH(ROUNDUP((U$1)/10,0)*10,[1]Hugst!$R$4:$W$4,0))))</f>
        <v>90.7589000214968</v>
      </c>
      <c r="V184" s="168">
        <f ca="1">IF($C184-V$1&lt;År1,0,U183*(1-VLOOKUP($A184,[1]Hugst!$R$5:$W$9,MATCH(ROUNDUP((V$1)/10,0)*10,[1]Hugst!$R$4:$W$4,0))))</f>
        <v>90.909405887983326</v>
      </c>
      <c r="W184" s="168">
        <f ca="1">IF($C184-W$1&lt;År1,0,V183*(1-VLOOKUP($A184,[1]Hugst!$R$5:$W$9,MATCH(ROUNDUP((W$1)/10,0)*10,[1]Hugst!$R$4:$W$4,0))))</f>
        <v>140.8128583667318</v>
      </c>
      <c r="X184" s="168">
        <f ca="1">IF($C184-X$1&lt;År1,0,W183*(1-VLOOKUP($A184,[1]Hugst!$R$5:$W$9,MATCH(ROUNDUP((X$1)/10,0)*10,[1]Hugst!$R$4:$W$4,0))))</f>
        <v>140.96488065554865</v>
      </c>
      <c r="Y184" s="168">
        <f ca="1">IF($C184-Y$1&lt;År1,0,X183*(1-VLOOKUP($A184,[1]Hugst!$R$5:$W$9,MATCH(ROUNDUP((Y$1)/10,0)*10,[1]Hugst!$R$4:$W$4,0))))</f>
        <v>141.11766687546753</v>
      </c>
      <c r="Z184" s="168">
        <f ca="1">IF($C184-Z$1&lt;År1,0,Y183*(1-VLOOKUP($A184,[1]Hugst!$R$5:$W$9,MATCH(ROUNDUP((Z$1)/10,0)*10,[1]Hugst!$R$4:$W$4,0))))</f>
        <v>141.27122086533404</v>
      </c>
      <c r="AA184" s="168">
        <f ca="1">IF($C184-AA$1&lt;År1,0,Z183*(1-VLOOKUP($A184,[1]Hugst!$R$5:$W$9,MATCH(ROUNDUP((AA$1)/10,0)*10,[1]Hugst!$R$4:$W$4,0))))</f>
        <v>141.42554648329155</v>
      </c>
      <c r="AB184" s="168">
        <f ca="1">IF($C184-AB$1&lt;År1,0,AA183*(1-VLOOKUP($A184,[1]Hugst!$R$5:$W$9,MATCH(ROUNDUP((AB$1)/10,0)*10,[1]Hugst!$R$4:$W$4,0))))</f>
        <v>141.58064760686528</v>
      </c>
      <c r="AC184" s="168">
        <f ca="1">IF($C184-AC$1&lt;År1,0,AB183*(1-VLOOKUP($A184,[1]Hugst!$R$5:$W$9,MATCH(ROUNDUP((AC$1)/10,0)*10,[1]Hugst!$R$4:$W$4,0))))</f>
        <v>141.73652813307041</v>
      </c>
      <c r="AD184" s="168">
        <f ca="1">IF($C184-AD$1&lt;År1,0,AC183*(1-VLOOKUP($A184,[1]Hugst!$R$5:$W$9,MATCH(ROUNDUP((AD$1)/10,0)*10,[1]Hugst!$R$4:$W$4,0))))</f>
        <v>141.89319197850403</v>
      </c>
      <c r="AE184" s="168">
        <f ca="1">IF($C184-AE$1&lt;År1,0,AD183*(1-VLOOKUP($A184,[1]Hugst!$R$5:$W$9,MATCH(ROUNDUP((AE$1)/10,0)*10,[1]Hugst!$R$4:$W$4,0))))</f>
        <v>142.05064307944181</v>
      </c>
      <c r="AF184" s="168">
        <f ca="1">IF($C184-AF$1&lt;År1,0,AE183*(1-VLOOKUP($A184,[1]Hugst!$R$5:$W$9,MATCH(ROUNDUP((AF$1)/10,0)*10,[1]Hugst!$R$4:$W$4,0))))</f>
        <v>142.20888539194115</v>
      </c>
      <c r="AG184" s="168">
        <f ca="1">IF($C184-AG$1&lt;År1,0,AF183*(1-VLOOKUP($A184,[1]Hugst!$R$5:$W$9,MATCH(ROUNDUP((AG$1)/10,0)*10,[1]Hugst!$R$4:$W$4,0))))</f>
        <v>142.36792289194113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(IF(B185="Vestdanmark",Skovbrug!$C$22-(Skovbrug!$C$22)*(1-Skovbrug!$C$9)^(C185-Skovbrug!$B$12),Skovbrug!$F$22-(Skovbrug!$F$22)*(1-Skovbrug!$C$9)^(C185-Skovbrug!$B$12)))*VLOOKUP(A185,Skovbrug!$A$13:$D$17,IF('Skovbrug-alder'!C185&lt;=År2,3,4),FALSE)
-IF(C185&gt;2020,SUM(INDEX($C$1:$D$311,MATCH(1,(2020=$C$1:$C$311)*(B185=$B$1:$B$311)*(A185=$A$1:$A$311),0),2):D184),0)</f>
        <v>27.642403155805368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88.450635746373166</v>
      </c>
      <c r="G185" s="168">
        <f ca="1">IF($C185-G$1&lt;År1,0,F184*(1-VLOOKUP($A185,[1]Hugst!$R$5:$W$9,MATCH(ROUNDUP((G$1)/10,0)*10,[1]Hugst!$R$4:$W$4,0))))</f>
        <v>88.589542294893874</v>
      </c>
      <c r="H185" s="168">
        <f ca="1">IF($C185-H$1&lt;År1,0,G184*(1-VLOOKUP($A185,[1]Hugst!$R$5:$W$9,MATCH(ROUNDUP((H$1)/10,0)*10,[1]Hugst!$R$4:$W$4,0))))</f>
        <v>88.729146866274903</v>
      </c>
      <c r="I185" s="168">
        <f ca="1">IF($C185-I$1&lt;År1,0,H184*(1-VLOOKUP($A185,[1]Hugst!$R$5:$W$9,MATCH(ROUNDUP((I$1)/10,0)*10,[1]Hugst!$R$4:$W$4,0))))</f>
        <v>88.86945296816117</v>
      </c>
      <c r="J185" s="168">
        <f ca="1">IF($C185-J$1&lt;År1,0,I184*(1-VLOOKUP($A185,[1]Hugst!$R$5:$W$9,MATCH(ROUNDUP((J$1)/10,0)*10,[1]Hugst!$R$4:$W$4,0))))</f>
        <v>89.010464125838155</v>
      </c>
      <c r="K185" s="168">
        <f ca="1">IF($C185-K$1&lt;År1,0,J184*(1-VLOOKUP($A185,[1]Hugst!$R$5:$W$9,MATCH(ROUNDUP((K$1)/10,0)*10,[1]Hugst!$R$4:$W$4,0))))</f>
        <v>89.152183882296242</v>
      </c>
      <c r="L185" s="168">
        <f ca="1">IF($C185-L$1&lt;År1,0,K184*(1-VLOOKUP($A185,[1]Hugst!$R$5:$W$9,MATCH(ROUNDUP((L$1)/10,0)*10,[1]Hugst!$R$4:$W$4,0))))</f>
        <v>89.294615798336679</v>
      </c>
      <c r="M185" s="168">
        <f ca="1">IF($C185-M$1&lt;År1,0,L184*(1-VLOOKUP($A185,[1]Hugst!$R$5:$W$9,MATCH(ROUNDUP((M$1)/10,0)*10,[1]Hugst!$R$4:$W$4,0))))</f>
        <v>89.437763452645584</v>
      </c>
      <c r="N185" s="168">
        <f ca="1">IF($C185-N$1&lt;År1,0,M184*(1-VLOOKUP($A185,[1]Hugst!$R$5:$W$9,MATCH(ROUNDUP((N$1)/10,0)*10,[1]Hugst!$R$4:$W$4,0))))</f>
        <v>89.581630441902291</v>
      </c>
      <c r="O185" s="168">
        <f ca="1">IF($C185-O$1&lt;År1,0,N184*(1-VLOOKUP($A185,[1]Hugst!$R$5:$W$9,MATCH(ROUNDUP((O$1)/10,0)*10,[1]Hugst!$R$4:$W$4,0))))</f>
        <v>89.726220380853931</v>
      </c>
      <c r="P185" s="168">
        <f ca="1">IF($C185-P$1&lt;År1,0,O184*(1-VLOOKUP($A185,[1]Hugst!$R$5:$W$9,MATCH(ROUNDUP((P$1)/10,0)*10,[1]Hugst!$R$4:$W$4,0))))</f>
        <v>89.871536902413879</v>
      </c>
      <c r="Q185" s="168">
        <f ca="1">IF($C185-Q$1&lt;År1,0,P184*(1-VLOOKUP($A185,[1]Hugst!$R$5:$W$9,MATCH(ROUNDUP((Q$1)/10,0)*10,[1]Hugst!$R$4:$W$4,0))))</f>
        <v>90.017583657749526</v>
      </c>
      <c r="R185" s="168">
        <f ca="1">IF($C185-R$1&lt;År1,0,Q184*(1-VLOOKUP($A185,[1]Hugst!$R$5:$W$9,MATCH(ROUNDUP((R$1)/10,0)*10,[1]Hugst!$R$4:$W$4,0))))</f>
        <v>90.164364316377771</v>
      </c>
      <c r="S185" s="168">
        <f ca="1">IF($C185-S$1&lt;År1,0,R184*(1-VLOOKUP($A185,[1]Hugst!$R$5:$W$9,MATCH(ROUNDUP((S$1)/10,0)*10,[1]Hugst!$R$4:$W$4,0))))</f>
        <v>90.311882566257566</v>
      </c>
      <c r="T185" s="168">
        <f ca="1">IF($C185-T$1&lt;År1,0,S184*(1-VLOOKUP($A185,[1]Hugst!$R$5:$W$9,MATCH(ROUNDUP((T$1)/10,0)*10,[1]Hugst!$R$4:$W$4,0))))</f>
        <v>90.460142113873019</v>
      </c>
      <c r="U185" s="168">
        <f ca="1">IF($C185-U$1&lt;År1,0,T184*(1-VLOOKUP($A185,[1]Hugst!$R$5:$W$9,MATCH(ROUNDUP((U$1)/10,0)*10,[1]Hugst!$R$4:$W$4,0))))</f>
        <v>90.609146684342022</v>
      </c>
      <c r="V185" s="168">
        <f ca="1">IF($C185-V$1&lt;År1,0,U184*(1-VLOOKUP($A185,[1]Hugst!$R$5:$W$9,MATCH(ROUNDUP((V$1)/10,0)*10,[1]Hugst!$R$4:$W$4,0))))</f>
        <v>90.7589000214968</v>
      </c>
      <c r="W185" s="168">
        <f ca="1">IF($C185-W$1&lt;År1,0,V184*(1-VLOOKUP($A185,[1]Hugst!$R$5:$W$9,MATCH(ROUNDUP((W$1)/10,0)*10,[1]Hugst!$R$4:$W$4,0))))</f>
        <v>90.909405887983326</v>
      </c>
      <c r="X185" s="168">
        <f ca="1">IF($C185-X$1&lt;År1,0,W184*(1-VLOOKUP($A185,[1]Hugst!$R$5:$W$9,MATCH(ROUNDUP((X$1)/10,0)*10,[1]Hugst!$R$4:$W$4,0))))</f>
        <v>140.8128583667318</v>
      </c>
      <c r="Y185" s="168">
        <f ca="1">IF($C185-Y$1&lt;År1,0,X184*(1-VLOOKUP($A185,[1]Hugst!$R$5:$W$9,MATCH(ROUNDUP((Y$1)/10,0)*10,[1]Hugst!$R$4:$W$4,0))))</f>
        <v>140.96488065554865</v>
      </c>
      <c r="Z185" s="168">
        <f ca="1">IF($C185-Z$1&lt;År1,0,Y184*(1-VLOOKUP($A185,[1]Hugst!$R$5:$W$9,MATCH(ROUNDUP((Z$1)/10,0)*10,[1]Hugst!$R$4:$W$4,0))))</f>
        <v>141.11766687546753</v>
      </c>
      <c r="AA185" s="168">
        <f ca="1">IF($C185-AA$1&lt;År1,0,Z184*(1-VLOOKUP($A185,[1]Hugst!$R$5:$W$9,MATCH(ROUNDUP((AA$1)/10,0)*10,[1]Hugst!$R$4:$W$4,0))))</f>
        <v>141.27122086533404</v>
      </c>
      <c r="AB185" s="168">
        <f ca="1">IF($C185-AB$1&lt;År1,0,AA184*(1-VLOOKUP($A185,[1]Hugst!$R$5:$W$9,MATCH(ROUNDUP((AB$1)/10,0)*10,[1]Hugst!$R$4:$W$4,0))))</f>
        <v>141.42554648329155</v>
      </c>
      <c r="AC185" s="168">
        <f ca="1">IF($C185-AC$1&lt;År1,0,AB184*(1-VLOOKUP($A185,[1]Hugst!$R$5:$W$9,MATCH(ROUNDUP((AC$1)/10,0)*10,[1]Hugst!$R$4:$W$4,0))))</f>
        <v>141.58064760686528</v>
      </c>
      <c r="AD185" s="168">
        <f ca="1">IF($C185-AD$1&lt;År1,0,AC184*(1-VLOOKUP($A185,[1]Hugst!$R$5:$W$9,MATCH(ROUNDUP((AD$1)/10,0)*10,[1]Hugst!$R$4:$W$4,0))))</f>
        <v>141.73652813307041</v>
      </c>
      <c r="AE185" s="168">
        <f ca="1">IF($C185-AE$1&lt;År1,0,AD184*(1-VLOOKUP($A185,[1]Hugst!$R$5:$W$9,MATCH(ROUNDUP((AE$1)/10,0)*10,[1]Hugst!$R$4:$W$4,0))))</f>
        <v>141.89319197850403</v>
      </c>
      <c r="AF185" s="168">
        <f ca="1">IF($C185-AF$1&lt;År1,0,AE184*(1-VLOOKUP($A185,[1]Hugst!$R$5:$W$9,MATCH(ROUNDUP((AF$1)/10,0)*10,[1]Hugst!$R$4:$W$4,0))))</f>
        <v>142.05064307944181</v>
      </c>
      <c r="AG185" s="168">
        <f ca="1">IF($C185-AG$1&lt;År1,0,AF184*(1-VLOOKUP($A185,[1]Hugst!$R$5:$W$9,MATCH(ROUNDUP((AG$1)/10,0)*10,[1]Hugst!$R$4:$W$4,0))))</f>
        <v>142.20888539194115</v>
      </c>
      <c r="AH185" s="168">
        <f ca="1">IF($C185-AH$1&lt;År1,0,AG184*(1-VLOOKUP($A185,[1]Hugst!$R$5:$W$9,MATCH(ROUNDUP((AH$1)/10,0)*10,[1]Hugst!$R$4:$W$4,0))))</f>
        <v>142.36792289194113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(IF(B186="Vestdanmark",Skovbrug!$C$22-(Skovbrug!$C$22)*(1-Skovbrug!$C$9)^(C186-Skovbrug!$B$12),Skovbrug!$F$22-(Skovbrug!$F$22)*(1-Skovbrug!$C$9)^(C186-Skovbrug!$B$12)))*VLOOKUP(A186,Skovbrug!$A$13:$D$17,IF('Skovbrug-alder'!C186&lt;=År2,3,4),FALSE)
-IF(C186&gt;2020,SUM(INDEX($C$1:$D$311,MATCH(1,(2020=$C$1:$C$311)*(B186=$B$1:$B$311)*(A186=$A$1:$A$311),0),2):D185),0)</f>
        <v>27.504191140027274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88.312423730595071</v>
      </c>
      <c r="G186" s="168">
        <f ca="1">IF($C186-G$1&lt;År1,0,F185*(1-VLOOKUP($A186,[1]Hugst!$R$5:$W$9,MATCH(ROUNDUP((G$1)/10,0)*10,[1]Hugst!$R$4:$W$4,0))))</f>
        <v>88.450635746373166</v>
      </c>
      <c r="H186" s="168">
        <f ca="1">IF($C186-H$1&lt;År1,0,G185*(1-VLOOKUP($A186,[1]Hugst!$R$5:$W$9,MATCH(ROUNDUP((H$1)/10,0)*10,[1]Hugst!$R$4:$W$4,0))))</f>
        <v>88.589542294893874</v>
      </c>
      <c r="I186" s="168">
        <f ca="1">IF($C186-I$1&lt;År1,0,H185*(1-VLOOKUP($A186,[1]Hugst!$R$5:$W$9,MATCH(ROUNDUP((I$1)/10,0)*10,[1]Hugst!$R$4:$W$4,0))))</f>
        <v>88.729146866274903</v>
      </c>
      <c r="J186" s="168">
        <f ca="1">IF($C186-J$1&lt;År1,0,I185*(1-VLOOKUP($A186,[1]Hugst!$R$5:$W$9,MATCH(ROUNDUP((J$1)/10,0)*10,[1]Hugst!$R$4:$W$4,0))))</f>
        <v>88.86945296816117</v>
      </c>
      <c r="K186" s="168">
        <f ca="1">IF($C186-K$1&lt;År1,0,J185*(1-VLOOKUP($A186,[1]Hugst!$R$5:$W$9,MATCH(ROUNDUP((K$1)/10,0)*10,[1]Hugst!$R$4:$W$4,0))))</f>
        <v>89.010464125838155</v>
      </c>
      <c r="L186" s="168">
        <f ca="1">IF($C186-L$1&lt;År1,0,K185*(1-VLOOKUP($A186,[1]Hugst!$R$5:$W$9,MATCH(ROUNDUP((L$1)/10,0)*10,[1]Hugst!$R$4:$W$4,0))))</f>
        <v>89.152183882296242</v>
      </c>
      <c r="M186" s="168">
        <f ca="1">IF($C186-M$1&lt;År1,0,L185*(1-VLOOKUP($A186,[1]Hugst!$R$5:$W$9,MATCH(ROUNDUP((M$1)/10,0)*10,[1]Hugst!$R$4:$W$4,0))))</f>
        <v>89.294615798336679</v>
      </c>
      <c r="N186" s="168">
        <f ca="1">IF($C186-N$1&lt;År1,0,M185*(1-VLOOKUP($A186,[1]Hugst!$R$5:$W$9,MATCH(ROUNDUP((N$1)/10,0)*10,[1]Hugst!$R$4:$W$4,0))))</f>
        <v>89.437763452645584</v>
      </c>
      <c r="O186" s="168">
        <f ca="1">IF($C186-O$1&lt;År1,0,N185*(1-VLOOKUP($A186,[1]Hugst!$R$5:$W$9,MATCH(ROUNDUP((O$1)/10,0)*10,[1]Hugst!$R$4:$W$4,0))))</f>
        <v>89.581630441902291</v>
      </c>
      <c r="P186" s="168">
        <f ca="1">IF($C186-P$1&lt;År1,0,O185*(1-VLOOKUP($A186,[1]Hugst!$R$5:$W$9,MATCH(ROUNDUP((P$1)/10,0)*10,[1]Hugst!$R$4:$W$4,0))))</f>
        <v>89.726220380853931</v>
      </c>
      <c r="Q186" s="168">
        <f ca="1">IF($C186-Q$1&lt;År1,0,P185*(1-VLOOKUP($A186,[1]Hugst!$R$5:$W$9,MATCH(ROUNDUP((Q$1)/10,0)*10,[1]Hugst!$R$4:$W$4,0))))</f>
        <v>89.871536902413879</v>
      </c>
      <c r="R186" s="168">
        <f ca="1">IF($C186-R$1&lt;År1,0,Q185*(1-VLOOKUP($A186,[1]Hugst!$R$5:$W$9,MATCH(ROUNDUP((R$1)/10,0)*10,[1]Hugst!$R$4:$W$4,0))))</f>
        <v>90.017583657749526</v>
      </c>
      <c r="S186" s="168">
        <f ca="1">IF($C186-S$1&lt;År1,0,R185*(1-VLOOKUP($A186,[1]Hugst!$R$5:$W$9,MATCH(ROUNDUP((S$1)/10,0)*10,[1]Hugst!$R$4:$W$4,0))))</f>
        <v>90.164364316377771</v>
      </c>
      <c r="T186" s="168">
        <f ca="1">IF($C186-T$1&lt;År1,0,S185*(1-VLOOKUP($A186,[1]Hugst!$R$5:$W$9,MATCH(ROUNDUP((T$1)/10,0)*10,[1]Hugst!$R$4:$W$4,0))))</f>
        <v>90.311882566257566</v>
      </c>
      <c r="U186" s="168">
        <f ca="1">IF($C186-U$1&lt;År1,0,T185*(1-VLOOKUP($A186,[1]Hugst!$R$5:$W$9,MATCH(ROUNDUP((U$1)/10,0)*10,[1]Hugst!$R$4:$W$4,0))))</f>
        <v>90.460142113873019</v>
      </c>
      <c r="V186" s="168">
        <f ca="1">IF($C186-V$1&lt;År1,0,U185*(1-VLOOKUP($A186,[1]Hugst!$R$5:$W$9,MATCH(ROUNDUP((V$1)/10,0)*10,[1]Hugst!$R$4:$W$4,0))))</f>
        <v>90.609146684342022</v>
      </c>
      <c r="W186" s="168">
        <f ca="1">IF($C186-W$1&lt;År1,0,V185*(1-VLOOKUP($A186,[1]Hugst!$R$5:$W$9,MATCH(ROUNDUP((W$1)/10,0)*10,[1]Hugst!$R$4:$W$4,0))))</f>
        <v>90.7589000214968</v>
      </c>
      <c r="X186" s="168">
        <f ca="1">IF($C186-X$1&lt;År1,0,W185*(1-VLOOKUP($A186,[1]Hugst!$R$5:$W$9,MATCH(ROUNDUP((X$1)/10,0)*10,[1]Hugst!$R$4:$W$4,0))))</f>
        <v>90.909405887983326</v>
      </c>
      <c r="Y186" s="168">
        <f ca="1">IF($C186-Y$1&lt;År1,0,X185*(1-VLOOKUP($A186,[1]Hugst!$R$5:$W$9,MATCH(ROUNDUP((Y$1)/10,0)*10,[1]Hugst!$R$4:$W$4,0))))</f>
        <v>140.8128583667318</v>
      </c>
      <c r="Z186" s="168">
        <f ca="1">IF($C186-Z$1&lt;År1,0,Y185*(1-VLOOKUP($A186,[1]Hugst!$R$5:$W$9,MATCH(ROUNDUP((Z$1)/10,0)*10,[1]Hugst!$R$4:$W$4,0))))</f>
        <v>140.96488065554865</v>
      </c>
      <c r="AA186" s="168">
        <f ca="1">IF($C186-AA$1&lt;År1,0,Z185*(1-VLOOKUP($A186,[1]Hugst!$R$5:$W$9,MATCH(ROUNDUP((AA$1)/10,0)*10,[1]Hugst!$R$4:$W$4,0))))</f>
        <v>141.11766687546753</v>
      </c>
      <c r="AB186" s="168">
        <f ca="1">IF($C186-AB$1&lt;År1,0,AA185*(1-VLOOKUP($A186,[1]Hugst!$R$5:$W$9,MATCH(ROUNDUP((AB$1)/10,0)*10,[1]Hugst!$R$4:$W$4,0))))</f>
        <v>141.27122086533404</v>
      </c>
      <c r="AC186" s="168">
        <f ca="1">IF($C186-AC$1&lt;År1,0,AB185*(1-VLOOKUP($A186,[1]Hugst!$R$5:$W$9,MATCH(ROUNDUP((AC$1)/10,0)*10,[1]Hugst!$R$4:$W$4,0))))</f>
        <v>141.42554648329155</v>
      </c>
      <c r="AD186" s="168">
        <f ca="1">IF($C186-AD$1&lt;År1,0,AC185*(1-VLOOKUP($A186,[1]Hugst!$R$5:$W$9,MATCH(ROUNDUP((AD$1)/10,0)*10,[1]Hugst!$R$4:$W$4,0))))</f>
        <v>141.58064760686528</v>
      </c>
      <c r="AE186" s="168">
        <f ca="1">IF($C186-AE$1&lt;År1,0,AD185*(1-VLOOKUP($A186,[1]Hugst!$R$5:$W$9,MATCH(ROUNDUP((AE$1)/10,0)*10,[1]Hugst!$R$4:$W$4,0))))</f>
        <v>141.73652813307041</v>
      </c>
      <c r="AF186" s="168">
        <f ca="1">IF($C186-AF$1&lt;År1,0,AE185*(1-VLOOKUP($A186,[1]Hugst!$R$5:$W$9,MATCH(ROUNDUP((AF$1)/10,0)*10,[1]Hugst!$R$4:$W$4,0))))</f>
        <v>141.89319197850403</v>
      </c>
      <c r="AG186" s="168">
        <f ca="1">IF($C186-AG$1&lt;År1,0,AF185*(1-VLOOKUP($A186,[1]Hugst!$R$5:$W$9,MATCH(ROUNDUP((AG$1)/10,0)*10,[1]Hugst!$R$4:$W$4,0))))</f>
        <v>142.05064307944181</v>
      </c>
      <c r="AH186" s="168">
        <f ca="1">IF($C186-AH$1&lt;År1,0,AG185*(1-VLOOKUP($A186,[1]Hugst!$R$5:$W$9,MATCH(ROUNDUP((AH$1)/10,0)*10,[1]Hugst!$R$4:$W$4,0))))</f>
        <v>142.20888539194115</v>
      </c>
      <c r="AI186" s="168">
        <f ca="1">IF($C186-AI$1&lt;År1,0,AH185*(1-VLOOKUP($A186,[1]Hugst!$R$5:$W$9,MATCH(ROUNDUP((AI$1)/10,0)*10,[1]Hugst!$R$4:$W$4,0))))</f>
        <v>142.36792289194113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(IF(B187="Vestdanmark",Skovbrug!$C$22-(Skovbrug!$C$22)*(1-Skovbrug!$C$9)^(C187-Skovbrug!$B$12),Skovbrug!$F$22-(Skovbrug!$F$22)*(1-Skovbrug!$C$9)^(C187-Skovbrug!$B$12)))*VLOOKUP(A187,Skovbrug!$A$13:$D$17,IF('Skovbrug-alder'!C187&lt;=År2,3,4),FALSE)
-IF(C187&gt;2020,SUM(INDEX($C$1:$D$311,MATCH(1,(2020=$C$1:$C$311)*(B187=$B$1:$B$311)*(A187=$A$1:$A$311),0),2):D186),0)</f>
        <v>27.366670184327063</v>
      </c>
      <c r="E187" s="168">
        <f t="shared" ca="1" si="3"/>
        <v>0.25885076889471748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88.433753543789578</v>
      </c>
      <c r="G187" s="168">
        <f ca="1">IF($C187-G$1&lt;År1,0,F186*(1-VLOOKUP($A187,[1]Hugst!$R$5:$W$9,MATCH(ROUNDUP((G$1)/10,0)*10,[1]Hugst!$R$4:$W$4,0))))</f>
        <v>88.312423730595071</v>
      </c>
      <c r="H187" s="168">
        <f ca="1">IF($C187-H$1&lt;År1,0,G186*(1-VLOOKUP($A187,[1]Hugst!$R$5:$W$9,MATCH(ROUNDUP((H$1)/10,0)*10,[1]Hugst!$R$4:$W$4,0))))</f>
        <v>88.450635746373166</v>
      </c>
      <c r="I187" s="168">
        <f ca="1">IF($C187-I$1&lt;År1,0,H186*(1-VLOOKUP($A187,[1]Hugst!$R$5:$W$9,MATCH(ROUNDUP((I$1)/10,0)*10,[1]Hugst!$R$4:$W$4,0))))</f>
        <v>88.589542294893874</v>
      </c>
      <c r="J187" s="168">
        <f ca="1">IF($C187-J$1&lt;År1,0,I186*(1-VLOOKUP($A187,[1]Hugst!$R$5:$W$9,MATCH(ROUNDUP((J$1)/10,0)*10,[1]Hugst!$R$4:$W$4,0))))</f>
        <v>88.729146866274903</v>
      </c>
      <c r="K187" s="168">
        <f ca="1">IF($C187-K$1&lt;År1,0,J186*(1-VLOOKUP($A187,[1]Hugst!$R$5:$W$9,MATCH(ROUNDUP((K$1)/10,0)*10,[1]Hugst!$R$4:$W$4,0))))</f>
        <v>88.86945296816117</v>
      </c>
      <c r="L187" s="168">
        <f ca="1">IF($C187-L$1&lt;År1,0,K186*(1-VLOOKUP($A187,[1]Hugst!$R$5:$W$9,MATCH(ROUNDUP((L$1)/10,0)*10,[1]Hugst!$R$4:$W$4,0))))</f>
        <v>89.010464125838155</v>
      </c>
      <c r="M187" s="168">
        <f ca="1">IF($C187-M$1&lt;År1,0,L186*(1-VLOOKUP($A187,[1]Hugst!$R$5:$W$9,MATCH(ROUNDUP((M$1)/10,0)*10,[1]Hugst!$R$4:$W$4,0))))</f>
        <v>89.152183882296242</v>
      </c>
      <c r="N187" s="168">
        <f ca="1">IF($C187-N$1&lt;År1,0,M186*(1-VLOOKUP($A187,[1]Hugst!$R$5:$W$9,MATCH(ROUNDUP((N$1)/10,0)*10,[1]Hugst!$R$4:$W$4,0))))</f>
        <v>89.294615798336679</v>
      </c>
      <c r="O187" s="168">
        <f ca="1">IF($C187-O$1&lt;År1,0,N186*(1-VLOOKUP($A187,[1]Hugst!$R$5:$W$9,MATCH(ROUNDUP((O$1)/10,0)*10,[1]Hugst!$R$4:$W$4,0))))</f>
        <v>89.437763452645584</v>
      </c>
      <c r="P187" s="168">
        <f ca="1">IF($C187-P$1&lt;År1,0,O186*(1-VLOOKUP($A187,[1]Hugst!$R$5:$W$9,MATCH(ROUNDUP((P$1)/10,0)*10,[1]Hugst!$R$4:$W$4,0))))</f>
        <v>89.581630441902291</v>
      </c>
      <c r="Q187" s="168">
        <f ca="1">IF($C187-Q$1&lt;År1,0,P186*(1-VLOOKUP($A187,[1]Hugst!$R$5:$W$9,MATCH(ROUNDUP((Q$1)/10,0)*10,[1]Hugst!$R$4:$W$4,0))))</f>
        <v>89.726220380853931</v>
      </c>
      <c r="R187" s="168">
        <f ca="1">IF($C187-R$1&lt;År1,0,Q186*(1-VLOOKUP($A187,[1]Hugst!$R$5:$W$9,MATCH(ROUNDUP((R$1)/10,0)*10,[1]Hugst!$R$4:$W$4,0))))</f>
        <v>89.871536902413879</v>
      </c>
      <c r="S187" s="168">
        <f ca="1">IF($C187-S$1&lt;År1,0,R186*(1-VLOOKUP($A187,[1]Hugst!$R$5:$W$9,MATCH(ROUNDUP((S$1)/10,0)*10,[1]Hugst!$R$4:$W$4,0))))</f>
        <v>90.017583657749526</v>
      </c>
      <c r="T187" s="168">
        <f ca="1">IF($C187-T$1&lt;År1,0,S186*(1-VLOOKUP($A187,[1]Hugst!$R$5:$W$9,MATCH(ROUNDUP((T$1)/10,0)*10,[1]Hugst!$R$4:$W$4,0))))</f>
        <v>90.164364316377771</v>
      </c>
      <c r="U187" s="168">
        <f ca="1">IF($C187-U$1&lt;År1,0,T186*(1-VLOOKUP($A187,[1]Hugst!$R$5:$W$9,MATCH(ROUNDUP((U$1)/10,0)*10,[1]Hugst!$R$4:$W$4,0))))</f>
        <v>90.311882566257566</v>
      </c>
      <c r="V187" s="168">
        <f ca="1">IF($C187-V$1&lt;År1,0,U186*(1-VLOOKUP($A187,[1]Hugst!$R$5:$W$9,MATCH(ROUNDUP((V$1)/10,0)*10,[1]Hugst!$R$4:$W$4,0))))</f>
        <v>90.460142113873019</v>
      </c>
      <c r="W187" s="168">
        <f ca="1">IF($C187-W$1&lt;År1,0,V186*(1-VLOOKUP($A187,[1]Hugst!$R$5:$W$9,MATCH(ROUNDUP((W$1)/10,0)*10,[1]Hugst!$R$4:$W$4,0))))</f>
        <v>90.609146684342022</v>
      </c>
      <c r="X187" s="168">
        <f ca="1">IF($C187-X$1&lt;År1,0,W186*(1-VLOOKUP($A187,[1]Hugst!$R$5:$W$9,MATCH(ROUNDUP((X$1)/10,0)*10,[1]Hugst!$R$4:$W$4,0))))</f>
        <v>90.7589000214968</v>
      </c>
      <c r="Y187" s="168">
        <f ca="1">IF($C187-Y$1&lt;År1,0,X186*(1-VLOOKUP($A187,[1]Hugst!$R$5:$W$9,MATCH(ROUNDUP((Y$1)/10,0)*10,[1]Hugst!$R$4:$W$4,0))))</f>
        <v>90.909405887983326</v>
      </c>
      <c r="Z187" s="168">
        <f ca="1">IF($C187-Z$1&lt;År1,0,Y186*(1-VLOOKUP($A187,[1]Hugst!$R$5:$W$9,MATCH(ROUNDUP((Z$1)/10,0)*10,[1]Hugst!$R$4:$W$4,0))))</f>
        <v>140.8128583667318</v>
      </c>
      <c r="AA187" s="168">
        <f ca="1">IF($C187-AA$1&lt;År1,0,Z186*(1-VLOOKUP($A187,[1]Hugst!$R$5:$W$9,MATCH(ROUNDUP((AA$1)/10,0)*10,[1]Hugst!$R$4:$W$4,0))))</f>
        <v>140.96488065554865</v>
      </c>
      <c r="AB187" s="168">
        <f ca="1">IF($C187-AB$1&lt;År1,0,AA186*(1-VLOOKUP($A187,[1]Hugst!$R$5:$W$9,MATCH(ROUNDUP((AB$1)/10,0)*10,[1]Hugst!$R$4:$W$4,0))))</f>
        <v>141.11766687546753</v>
      </c>
      <c r="AC187" s="168">
        <f ca="1">IF($C187-AC$1&lt;År1,0,AB186*(1-VLOOKUP($A187,[1]Hugst!$R$5:$W$9,MATCH(ROUNDUP((AC$1)/10,0)*10,[1]Hugst!$R$4:$W$4,0))))</f>
        <v>141.27122086533404</v>
      </c>
      <c r="AD187" s="168">
        <f ca="1">IF($C187-AD$1&lt;År1,0,AC186*(1-VLOOKUP($A187,[1]Hugst!$R$5:$W$9,MATCH(ROUNDUP((AD$1)/10,0)*10,[1]Hugst!$R$4:$W$4,0))))</f>
        <v>141.42554648329155</v>
      </c>
      <c r="AE187" s="168">
        <f ca="1">IF($C187-AE$1&lt;År1,0,AD186*(1-VLOOKUP($A187,[1]Hugst!$R$5:$W$9,MATCH(ROUNDUP((AE$1)/10,0)*10,[1]Hugst!$R$4:$W$4,0))))</f>
        <v>141.58064760686528</v>
      </c>
      <c r="AF187" s="168">
        <f ca="1">IF($C187-AF$1&lt;År1,0,AE186*(1-VLOOKUP($A187,[1]Hugst!$R$5:$W$9,MATCH(ROUNDUP((AF$1)/10,0)*10,[1]Hugst!$R$4:$W$4,0))))</f>
        <v>141.73652813307041</v>
      </c>
      <c r="AG187" s="168">
        <f ca="1">IF($C187-AG$1&lt;År1,0,AF186*(1-VLOOKUP($A187,[1]Hugst!$R$5:$W$9,MATCH(ROUNDUP((AG$1)/10,0)*10,[1]Hugst!$R$4:$W$4,0))))</f>
        <v>141.89319197850403</v>
      </c>
      <c r="AH187" s="168">
        <f ca="1">IF($C187-AH$1&lt;År1,0,AG186*(1-VLOOKUP($A187,[1]Hugst!$R$5:$W$9,MATCH(ROUNDUP((AH$1)/10,0)*10,[1]Hugst!$R$4:$W$4,0))))</f>
        <v>142.05064307944181</v>
      </c>
      <c r="AI187" s="168">
        <f ca="1">IF($C187-AI$1&lt;År1,0,AH186*(1-VLOOKUP($A187,[1]Hugst!$R$5:$W$9,MATCH(ROUNDUP((AI$1)/10,0)*10,[1]Hugst!$R$4:$W$4,0))))</f>
        <v>142.20888539194115</v>
      </c>
      <c r="AJ187" s="168">
        <f ca="1">IF($C187-AJ$1&lt;År1,0,AI186*(1-VLOOKUP($A187,[1]Hugst!$R$5:$W$9,MATCH(ROUNDUP((AJ$1)/10,0)*10,[1]Hugst!$R$4:$W$4,0))))</f>
        <v>142.1090721230467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(IF(B188="Vestdanmark",Skovbrug!$C$22-(Skovbrug!$C$22)*(1-Skovbrug!$C$9)^(C188-Skovbrug!$B$12),Skovbrug!$F$22-(Skovbrug!$F$22)*(1-Skovbrug!$C$9)^(C188-Skovbrug!$B$12)))*VLOOKUP(A188,Skovbrug!$A$13:$D$17,IF('Skovbrug-alder'!C188&lt;=År2,3,4),FALSE)
-IF(C188&gt;2020,SUM(INDEX($C$1:$D$311,MATCH(1,(2020=$C$1:$C$311)*(B188=$B$1:$B$311)*(A188=$A$1:$A$311),0),2):D187),0)</f>
        <v>978.00749999998959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10210.236421245245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(IF(B189="Vestdanmark",Skovbrug!$C$22-(Skovbrug!$C$22)*(1-Skovbrug!$C$9)^(C189-Skovbrug!$B$12),Skovbrug!$F$22-(Skovbrug!$F$22)*(1-Skovbrug!$C$9)^(C189-Skovbrug!$B$12)))*VLOOKUP(A189,Skovbrug!$A$13:$D$17,IF('Skovbrug-alder'!C189&lt;=År2,3,4),FALSE)
-IF(C189&gt;2020,SUM(INDEX($C$1:$D$311,MATCH(1,(2020=$C$1:$C$311)*(B189=$B$1:$B$311)*(A189=$A$1:$A$311),0),2):D188),0)</f>
        <v>973.11746249999567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10205.346383745251</v>
      </c>
      <c r="G189" s="168">
        <f ca="1">IF($C189-G$1&lt;År1,0,F188*(1-VLOOKUP($A189,[1]Hugst!$R$5:$W$9,MATCH(ROUNDUP((G$1)/10,0)*10,[1]Hugst!$R$4:$W$4,0))))</f>
        <v>10210.236421245245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(IF(B190="Vestdanmark",Skovbrug!$C$22-(Skovbrug!$C$22)*(1-Skovbrug!$C$9)^(C190-Skovbrug!$B$12),Skovbrug!$F$22-(Skovbrug!$F$22)*(1-Skovbrug!$C$9)^(C190-Skovbrug!$B$12)))*VLOOKUP(A190,Skovbrug!$A$13:$D$17,IF('Skovbrug-alder'!C190&lt;=År2,3,4),FALSE)
-IF(C190&gt;2020,SUM(INDEX($C$1:$D$311,MATCH(1,(2020=$C$1:$C$311)*(B190=$B$1:$B$311)*(A190=$A$1:$A$311),0),2):D189),0)</f>
        <v>968.25187518752068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10200.480796432777</v>
      </c>
      <c r="G190" s="168">
        <f ca="1">IF($C190-G$1&lt;År1,0,F189*(1-VLOOKUP($A190,[1]Hugst!$R$5:$W$9,MATCH(ROUNDUP((G$1)/10,0)*10,[1]Hugst!$R$4:$W$4,0))))</f>
        <v>10205.346383745251</v>
      </c>
      <c r="H190" s="168">
        <f ca="1">IF($C190-H$1&lt;År1,0,G189*(1-VLOOKUP($A190,[1]Hugst!$R$5:$W$9,MATCH(ROUNDUP((H$1)/10,0)*10,[1]Hugst!$R$4:$W$4,0))))</f>
        <v>10210.236421245245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(IF(B191="Vestdanmark",Skovbrug!$C$22-(Skovbrug!$C$22)*(1-Skovbrug!$C$9)^(C191-Skovbrug!$B$12),Skovbrug!$F$22-(Skovbrug!$F$22)*(1-Skovbrug!$C$9)^(C191-Skovbrug!$B$12)))*VLOOKUP(A191,Skovbrug!$A$13:$D$17,IF('Skovbrug-alder'!C191&lt;=År2,3,4),FALSE)
-IF(C191&gt;2020,SUM(INDEX($C$1:$D$311,MATCH(1,(2020=$C$1:$C$311)*(B191=$B$1:$B$311)*(A191=$A$1:$A$311),0),2):D190),0)</f>
        <v>963.41061581153781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10195.639537056793</v>
      </c>
      <c r="G191" s="168">
        <f ca="1">IF($C191-G$1&lt;År1,0,F190*(1-VLOOKUP($A191,[1]Hugst!$R$5:$W$9,MATCH(ROUNDUP((G$1)/10,0)*10,[1]Hugst!$R$4:$W$4,0))))</f>
        <v>10200.480796432777</v>
      </c>
      <c r="H191" s="168">
        <f ca="1">IF($C191-H$1&lt;År1,0,G190*(1-VLOOKUP($A191,[1]Hugst!$R$5:$W$9,MATCH(ROUNDUP((H$1)/10,0)*10,[1]Hugst!$R$4:$W$4,0))))</f>
        <v>10205.346383745251</v>
      </c>
      <c r="I191" s="168">
        <f ca="1">IF($C191-I$1&lt;År1,0,H190*(1-VLOOKUP($A191,[1]Hugst!$R$5:$W$9,MATCH(ROUNDUP((I$1)/10,0)*10,[1]Hugst!$R$4:$W$4,0))))</f>
        <v>10210.236421245245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(IF(B192="Vestdanmark",Skovbrug!$C$22-(Skovbrug!$C$22)*(1-Skovbrug!$C$9)^(C192-Skovbrug!$B$12),Skovbrug!$F$22-(Skovbrug!$F$22)*(1-Skovbrug!$C$9)^(C192-Skovbrug!$B$12)))*VLOOKUP(A192,Skovbrug!$A$13:$D$17,IF('Skovbrug-alder'!C192&lt;=År2,3,4),FALSE)
-IF(C192&gt;2020,SUM(INDEX($C$1:$D$311,MATCH(1,(2020=$C$1:$C$311)*(B192=$B$1:$B$311)*(A192=$A$1:$A$311),0),2):D191),0)</f>
        <v>958.59356273250569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10190.822483977761</v>
      </c>
      <c r="G192" s="168">
        <f ca="1">IF($C192-G$1&lt;År1,0,F191*(1-VLOOKUP($A192,[1]Hugst!$R$5:$W$9,MATCH(ROUNDUP((G$1)/10,0)*10,[1]Hugst!$R$4:$W$4,0))))</f>
        <v>10195.639537056793</v>
      </c>
      <c r="H192" s="168">
        <f ca="1">IF($C192-H$1&lt;År1,0,G191*(1-VLOOKUP($A192,[1]Hugst!$R$5:$W$9,MATCH(ROUNDUP((H$1)/10,0)*10,[1]Hugst!$R$4:$W$4,0))))</f>
        <v>10200.480796432777</v>
      </c>
      <c r="I192" s="168">
        <f ca="1">IF($C192-I$1&lt;År1,0,H191*(1-VLOOKUP($A192,[1]Hugst!$R$5:$W$9,MATCH(ROUNDUP((I$1)/10,0)*10,[1]Hugst!$R$4:$W$4,0))))</f>
        <v>10205.346383745251</v>
      </c>
      <c r="J192" s="168">
        <f ca="1">IF($C192-J$1&lt;År1,0,I191*(1-VLOOKUP($A192,[1]Hugst!$R$5:$W$9,MATCH(ROUNDUP((J$1)/10,0)*10,[1]Hugst!$R$4:$W$4,0))))</f>
        <v>10210.236421245245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(IF(B193="Vestdanmark",Skovbrug!$C$22-(Skovbrug!$C$22)*(1-Skovbrug!$C$9)^(C193-Skovbrug!$B$12),Skovbrug!$F$22-(Skovbrug!$F$22)*(1-Skovbrug!$C$9)^(C193-Skovbrug!$B$12)))*VLOOKUP(A193,Skovbrug!$A$13:$D$17,IF('Skovbrug-alder'!C193&lt;=År2,3,4),FALSE)
-IF(C193&gt;2020,SUM(INDEX($C$1:$D$311,MATCH(1,(2020=$C$1:$C$311)*(B193=$B$1:$B$311)*(A193=$A$1:$A$311),0),2):D192),0)</f>
        <v>953.80059491883458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10186.02951616409</v>
      </c>
      <c r="G193" s="168">
        <f ca="1">IF($C193-G$1&lt;År1,0,F192*(1-VLOOKUP($A193,[1]Hugst!$R$5:$W$9,MATCH(ROUNDUP((G$1)/10,0)*10,[1]Hugst!$R$4:$W$4,0))))</f>
        <v>10190.822483977761</v>
      </c>
      <c r="H193" s="168">
        <f ca="1">IF($C193-H$1&lt;År1,0,G192*(1-VLOOKUP($A193,[1]Hugst!$R$5:$W$9,MATCH(ROUNDUP((H$1)/10,0)*10,[1]Hugst!$R$4:$W$4,0))))</f>
        <v>10195.639537056793</v>
      </c>
      <c r="I193" s="168">
        <f ca="1">IF($C193-I$1&lt;År1,0,H192*(1-VLOOKUP($A193,[1]Hugst!$R$5:$W$9,MATCH(ROUNDUP((I$1)/10,0)*10,[1]Hugst!$R$4:$W$4,0))))</f>
        <v>10200.480796432777</v>
      </c>
      <c r="J193" s="168">
        <f ca="1">IF($C193-J$1&lt;År1,0,I192*(1-VLOOKUP($A193,[1]Hugst!$R$5:$W$9,MATCH(ROUNDUP((J$1)/10,0)*10,[1]Hugst!$R$4:$W$4,0))))</f>
        <v>10205.346383745251</v>
      </c>
      <c r="K193" s="168">
        <f ca="1">IF($C193-K$1&lt;År1,0,J192*(1-VLOOKUP($A193,[1]Hugst!$R$5:$W$9,MATCH(ROUNDUP((K$1)/10,0)*10,[1]Hugst!$R$4:$W$4,0))))</f>
        <v>10210.236421245245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(IF(B194="Vestdanmark",Skovbrug!$C$22-(Skovbrug!$C$22)*(1-Skovbrug!$C$9)^(C194-Skovbrug!$B$12),Skovbrug!$F$22-(Skovbrug!$F$22)*(1-Skovbrug!$C$9)^(C194-Skovbrug!$B$12)))*VLOOKUP(A194,Skovbrug!$A$13:$D$17,IF('Skovbrug-alder'!C194&lt;=År2,3,4),FALSE)
-IF(C194&gt;2020,SUM(INDEX($C$1:$D$311,MATCH(1,(2020=$C$1:$C$311)*(B194=$B$1:$B$311)*(A194=$A$1:$A$311),0),2):D193),0)</f>
        <v>949.0315919442628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10181.260513189518</v>
      </c>
      <c r="G194" s="168">
        <f ca="1">IF($C194-G$1&lt;År1,0,F193*(1-VLOOKUP($A194,[1]Hugst!$R$5:$W$9,MATCH(ROUNDUP((G$1)/10,0)*10,[1]Hugst!$R$4:$W$4,0))))</f>
        <v>10186.02951616409</v>
      </c>
      <c r="H194" s="168">
        <f ca="1">IF($C194-H$1&lt;År1,0,G193*(1-VLOOKUP($A194,[1]Hugst!$R$5:$W$9,MATCH(ROUNDUP((H$1)/10,0)*10,[1]Hugst!$R$4:$W$4,0))))</f>
        <v>10190.822483977761</v>
      </c>
      <c r="I194" s="168">
        <f ca="1">IF($C194-I$1&lt;År1,0,H193*(1-VLOOKUP($A194,[1]Hugst!$R$5:$W$9,MATCH(ROUNDUP((I$1)/10,0)*10,[1]Hugst!$R$4:$W$4,0))))</f>
        <v>10195.639537056793</v>
      </c>
      <c r="J194" s="168">
        <f ca="1">IF($C194-J$1&lt;År1,0,I193*(1-VLOOKUP($A194,[1]Hugst!$R$5:$W$9,MATCH(ROUNDUP((J$1)/10,0)*10,[1]Hugst!$R$4:$W$4,0))))</f>
        <v>10200.480796432777</v>
      </c>
      <c r="K194" s="168">
        <f ca="1">IF($C194-K$1&lt;År1,0,J193*(1-VLOOKUP($A194,[1]Hugst!$R$5:$W$9,MATCH(ROUNDUP((K$1)/10,0)*10,[1]Hugst!$R$4:$W$4,0))))</f>
        <v>10205.346383745251</v>
      </c>
      <c r="L194" s="168">
        <f ca="1">IF($C194-L$1&lt;År1,0,K193*(1-VLOOKUP($A194,[1]Hugst!$R$5:$W$9,MATCH(ROUNDUP((L$1)/10,0)*10,[1]Hugst!$R$4:$W$4,0))))</f>
        <v>10210.236421245245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(IF(B195="Vestdanmark",Skovbrug!$C$22-(Skovbrug!$C$22)*(1-Skovbrug!$C$9)^(C195-Skovbrug!$B$12),Skovbrug!$F$22-(Skovbrug!$F$22)*(1-Skovbrug!$C$9)^(C195-Skovbrug!$B$12)))*VLOOKUP(A195,Skovbrug!$A$13:$D$17,IF('Skovbrug-alder'!C195&lt;=År2,3,4),FALSE)
-IF(C195&gt;2020,SUM(INDEX($C$1:$D$311,MATCH(1,(2020=$C$1:$C$311)*(B195=$B$1:$B$311)*(A195=$A$1:$A$311),0),2):D194),0)</f>
        <v>944.28643398453369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10176.515355229789</v>
      </c>
      <c r="G195" s="168">
        <f ca="1">IF($C195-G$1&lt;År1,0,F194*(1-VLOOKUP($A195,[1]Hugst!$R$5:$W$9,MATCH(ROUNDUP((G$1)/10,0)*10,[1]Hugst!$R$4:$W$4,0))))</f>
        <v>10181.260513189518</v>
      </c>
      <c r="H195" s="168">
        <f ca="1">IF($C195-H$1&lt;År1,0,G194*(1-VLOOKUP($A195,[1]Hugst!$R$5:$W$9,MATCH(ROUNDUP((H$1)/10,0)*10,[1]Hugst!$R$4:$W$4,0))))</f>
        <v>10186.02951616409</v>
      </c>
      <c r="I195" s="168">
        <f ca="1">IF($C195-I$1&lt;År1,0,H194*(1-VLOOKUP($A195,[1]Hugst!$R$5:$W$9,MATCH(ROUNDUP((I$1)/10,0)*10,[1]Hugst!$R$4:$W$4,0))))</f>
        <v>10190.822483977761</v>
      </c>
      <c r="J195" s="168">
        <f ca="1">IF($C195-J$1&lt;År1,0,I194*(1-VLOOKUP($A195,[1]Hugst!$R$5:$W$9,MATCH(ROUNDUP((J$1)/10,0)*10,[1]Hugst!$R$4:$W$4,0))))</f>
        <v>10195.639537056793</v>
      </c>
      <c r="K195" s="168">
        <f ca="1">IF($C195-K$1&lt;År1,0,J194*(1-VLOOKUP($A195,[1]Hugst!$R$5:$W$9,MATCH(ROUNDUP((K$1)/10,0)*10,[1]Hugst!$R$4:$W$4,0))))</f>
        <v>10200.480796432777</v>
      </c>
      <c r="L195" s="168">
        <f ca="1">IF($C195-L$1&lt;År1,0,K194*(1-VLOOKUP($A195,[1]Hugst!$R$5:$W$9,MATCH(ROUNDUP((L$1)/10,0)*10,[1]Hugst!$R$4:$W$4,0))))</f>
        <v>10205.346383745251</v>
      </c>
      <c r="M195" s="168">
        <f ca="1">IF($C195-M$1&lt;År1,0,L194*(1-VLOOKUP($A195,[1]Hugst!$R$5:$W$9,MATCH(ROUNDUP((M$1)/10,0)*10,[1]Hugst!$R$4:$W$4,0))))</f>
        <v>10210.236421245245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(IF(B196="Vestdanmark",Skovbrug!$C$22-(Skovbrug!$C$22)*(1-Skovbrug!$C$9)^(C196-Skovbrug!$B$12),Skovbrug!$F$22-(Skovbrug!$F$22)*(1-Skovbrug!$C$9)^(C196-Skovbrug!$B$12)))*VLOOKUP(A196,Skovbrug!$A$13:$D$17,IF('Skovbrug-alder'!C196&lt;=År2,3,4),FALSE)
-IF(C196&gt;2020,SUM(INDEX($C$1:$D$311,MATCH(1,(2020=$C$1:$C$311)*(B196=$B$1:$B$311)*(A196=$A$1:$A$311),0),2):D195),0)</f>
        <v>939.56500181459432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10171.793923059849</v>
      </c>
      <c r="G196" s="168">
        <f ca="1">IF($C196-G$1&lt;År1,0,F195*(1-VLOOKUP($A196,[1]Hugst!$R$5:$W$9,MATCH(ROUNDUP((G$1)/10,0)*10,[1]Hugst!$R$4:$W$4,0))))</f>
        <v>10176.515355229789</v>
      </c>
      <c r="H196" s="168">
        <f ca="1">IF($C196-H$1&lt;År1,0,G195*(1-VLOOKUP($A196,[1]Hugst!$R$5:$W$9,MATCH(ROUNDUP((H$1)/10,0)*10,[1]Hugst!$R$4:$W$4,0))))</f>
        <v>10181.260513189518</v>
      </c>
      <c r="I196" s="168">
        <f ca="1">IF($C196-I$1&lt;År1,0,H195*(1-VLOOKUP($A196,[1]Hugst!$R$5:$W$9,MATCH(ROUNDUP((I$1)/10,0)*10,[1]Hugst!$R$4:$W$4,0))))</f>
        <v>10186.02951616409</v>
      </c>
      <c r="J196" s="168">
        <f ca="1">IF($C196-J$1&lt;År1,0,I195*(1-VLOOKUP($A196,[1]Hugst!$R$5:$W$9,MATCH(ROUNDUP((J$1)/10,0)*10,[1]Hugst!$R$4:$W$4,0))))</f>
        <v>10190.822483977761</v>
      </c>
      <c r="K196" s="168">
        <f ca="1">IF($C196-K$1&lt;År1,0,J195*(1-VLOOKUP($A196,[1]Hugst!$R$5:$W$9,MATCH(ROUNDUP((K$1)/10,0)*10,[1]Hugst!$R$4:$W$4,0))))</f>
        <v>10195.639537056793</v>
      </c>
      <c r="L196" s="168">
        <f ca="1">IF($C196-L$1&lt;År1,0,K195*(1-VLOOKUP($A196,[1]Hugst!$R$5:$W$9,MATCH(ROUNDUP((L$1)/10,0)*10,[1]Hugst!$R$4:$W$4,0))))</f>
        <v>10200.480796432777</v>
      </c>
      <c r="M196" s="168">
        <f ca="1">IF($C196-M$1&lt;År1,0,L195*(1-VLOOKUP($A196,[1]Hugst!$R$5:$W$9,MATCH(ROUNDUP((M$1)/10,0)*10,[1]Hugst!$R$4:$W$4,0))))</f>
        <v>10205.346383745251</v>
      </c>
      <c r="N196" s="168">
        <f ca="1">IF($C196-N$1&lt;År1,0,M195*(1-VLOOKUP($A196,[1]Hugst!$R$5:$W$9,MATCH(ROUNDUP((N$1)/10,0)*10,[1]Hugst!$R$4:$W$4,0))))</f>
        <v>10210.236421245245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(IF(B197="Vestdanmark",Skovbrug!$C$22-(Skovbrug!$C$22)*(1-Skovbrug!$C$9)^(C197-Skovbrug!$B$12),Skovbrug!$F$22-(Skovbrug!$F$22)*(1-Skovbrug!$C$9)^(C197-Skovbrug!$B$12)))*VLOOKUP(A197,Skovbrug!$A$13:$D$17,IF('Skovbrug-alder'!C197&lt;=År2,3,4),FALSE)
-IF(C197&gt;2020,SUM(INDEX($C$1:$D$311,MATCH(1,(2020=$C$1:$C$311)*(B197=$B$1:$B$311)*(A197=$A$1:$A$311),0),2):D196),0)</f>
        <v>934.86717680552465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10167.096098050781</v>
      </c>
      <c r="G197" s="168">
        <f ca="1">IF($C197-G$1&lt;År1,0,F196*(1-VLOOKUP($A197,[1]Hugst!$R$5:$W$9,MATCH(ROUNDUP((G$1)/10,0)*10,[1]Hugst!$R$4:$W$4,0))))</f>
        <v>10171.793923059849</v>
      </c>
      <c r="H197" s="168">
        <f ca="1">IF($C197-H$1&lt;År1,0,G196*(1-VLOOKUP($A197,[1]Hugst!$R$5:$W$9,MATCH(ROUNDUP((H$1)/10,0)*10,[1]Hugst!$R$4:$W$4,0))))</f>
        <v>10176.515355229789</v>
      </c>
      <c r="I197" s="168">
        <f ca="1">IF($C197-I$1&lt;År1,0,H196*(1-VLOOKUP($A197,[1]Hugst!$R$5:$W$9,MATCH(ROUNDUP((I$1)/10,0)*10,[1]Hugst!$R$4:$W$4,0))))</f>
        <v>10181.260513189518</v>
      </c>
      <c r="J197" s="168">
        <f ca="1">IF($C197-J$1&lt;År1,0,I196*(1-VLOOKUP($A197,[1]Hugst!$R$5:$W$9,MATCH(ROUNDUP((J$1)/10,0)*10,[1]Hugst!$R$4:$W$4,0))))</f>
        <v>10186.02951616409</v>
      </c>
      <c r="K197" s="168">
        <f ca="1">IF($C197-K$1&lt;År1,0,J196*(1-VLOOKUP($A197,[1]Hugst!$R$5:$W$9,MATCH(ROUNDUP((K$1)/10,0)*10,[1]Hugst!$R$4:$W$4,0))))</f>
        <v>10190.822483977761</v>
      </c>
      <c r="L197" s="168">
        <f ca="1">IF($C197-L$1&lt;År1,0,K196*(1-VLOOKUP($A197,[1]Hugst!$R$5:$W$9,MATCH(ROUNDUP((L$1)/10,0)*10,[1]Hugst!$R$4:$W$4,0))))</f>
        <v>10195.639537056793</v>
      </c>
      <c r="M197" s="168">
        <f ca="1">IF($C197-M$1&lt;År1,0,L196*(1-VLOOKUP($A197,[1]Hugst!$R$5:$W$9,MATCH(ROUNDUP((M$1)/10,0)*10,[1]Hugst!$R$4:$W$4,0))))</f>
        <v>10200.480796432777</v>
      </c>
      <c r="N197" s="168">
        <f ca="1">IF($C197-N$1&lt;År1,0,M196*(1-VLOOKUP($A197,[1]Hugst!$R$5:$W$9,MATCH(ROUNDUP((N$1)/10,0)*10,[1]Hugst!$R$4:$W$4,0))))</f>
        <v>10205.346383745251</v>
      </c>
      <c r="O197" s="168">
        <f ca="1">IF($C197-O$1&lt;År1,0,N196*(1-VLOOKUP($A197,[1]Hugst!$R$5:$W$9,MATCH(ROUNDUP((O$1)/10,0)*10,[1]Hugst!$R$4:$W$4,0))))</f>
        <v>10210.236421245245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(IF(B198="Vestdanmark",Skovbrug!$C$22-(Skovbrug!$C$22)*(1-Skovbrug!$C$9)^(C198-Skovbrug!$B$12),Skovbrug!$F$22-(Skovbrug!$F$22)*(1-Skovbrug!$C$9)^(C198-Skovbrug!$B$12)))*VLOOKUP(A198,Skovbrug!$A$13:$D$17,IF('Skovbrug-alder'!C198&lt;=År2,3,4),FALSE)
-IF(C198&gt;2020,SUM(INDEX($C$1:$D$311,MATCH(1,(2020=$C$1:$C$311)*(B198=$B$1:$B$311)*(A198=$A$1:$A$311),0),2):D197),0)</f>
        <v>930.19284092152884</v>
      </c>
      <c r="E198" s="168">
        <f t="shared" ca="1" si="4"/>
        <v>22.412714095407864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10184.834476262193</v>
      </c>
      <c r="G198" s="168">
        <f ca="1">IF($C198-G$1&lt;År1,0,F197*(1-VLOOKUP($A198,[1]Hugst!$R$5:$W$9,MATCH(ROUNDUP((G$1)/10,0)*10,[1]Hugst!$R$4:$W$4,0))))</f>
        <v>10167.096098050781</v>
      </c>
      <c r="H198" s="168">
        <f ca="1">IF($C198-H$1&lt;År1,0,G197*(1-VLOOKUP($A198,[1]Hugst!$R$5:$W$9,MATCH(ROUNDUP((H$1)/10,0)*10,[1]Hugst!$R$4:$W$4,0))))</f>
        <v>10171.793923059849</v>
      </c>
      <c r="I198" s="168">
        <f ca="1">IF($C198-I$1&lt;År1,0,H197*(1-VLOOKUP($A198,[1]Hugst!$R$5:$W$9,MATCH(ROUNDUP((I$1)/10,0)*10,[1]Hugst!$R$4:$W$4,0))))</f>
        <v>10176.515355229789</v>
      </c>
      <c r="J198" s="168">
        <f ca="1">IF($C198-J$1&lt;År1,0,I197*(1-VLOOKUP($A198,[1]Hugst!$R$5:$W$9,MATCH(ROUNDUP((J$1)/10,0)*10,[1]Hugst!$R$4:$W$4,0))))</f>
        <v>10181.260513189518</v>
      </c>
      <c r="K198" s="168">
        <f ca="1">IF($C198-K$1&lt;År1,0,J197*(1-VLOOKUP($A198,[1]Hugst!$R$5:$W$9,MATCH(ROUNDUP((K$1)/10,0)*10,[1]Hugst!$R$4:$W$4,0))))</f>
        <v>10186.02951616409</v>
      </c>
      <c r="L198" s="168">
        <f ca="1">IF($C198-L$1&lt;År1,0,K197*(1-VLOOKUP($A198,[1]Hugst!$R$5:$W$9,MATCH(ROUNDUP((L$1)/10,0)*10,[1]Hugst!$R$4:$W$4,0))))</f>
        <v>10190.822483977761</v>
      </c>
      <c r="M198" s="168">
        <f ca="1">IF($C198-M$1&lt;År1,0,L197*(1-VLOOKUP($A198,[1]Hugst!$R$5:$W$9,MATCH(ROUNDUP((M$1)/10,0)*10,[1]Hugst!$R$4:$W$4,0))))</f>
        <v>10195.639537056793</v>
      </c>
      <c r="N198" s="168">
        <f ca="1">IF($C198-N$1&lt;År1,0,M197*(1-VLOOKUP($A198,[1]Hugst!$R$5:$W$9,MATCH(ROUNDUP((N$1)/10,0)*10,[1]Hugst!$R$4:$W$4,0))))</f>
        <v>10200.480796432777</v>
      </c>
      <c r="O198" s="168">
        <f ca="1">IF($C198-O$1&lt;År1,0,N197*(1-VLOOKUP($A198,[1]Hugst!$R$5:$W$9,MATCH(ROUNDUP((O$1)/10,0)*10,[1]Hugst!$R$4:$W$4,0))))</f>
        <v>10205.346383745251</v>
      </c>
      <c r="P198" s="168">
        <f ca="1">IF($C198-P$1&lt;År1,0,O197*(1-VLOOKUP($A198,[1]Hugst!$R$5:$W$9,MATCH(ROUNDUP((P$1)/10,0)*10,[1]Hugst!$R$4:$W$4,0))))</f>
        <v>10187.823707149828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(IF(B199="Vestdanmark",Skovbrug!$C$22-(Skovbrug!$C$22)*(1-Skovbrug!$C$9)^(C199-Skovbrug!$B$12),Skovbrug!$F$22-(Skovbrug!$F$22)*(1-Skovbrug!$C$9)^(C199-Skovbrug!$B$12)))*VLOOKUP(A199,Skovbrug!$A$13:$D$17,IF('Skovbrug-alder'!C199&lt;=År2,3,4),FALSE)
-IF(C199&gt;2020,SUM(INDEX($C$1:$D$311,MATCH(1,(2020=$C$1:$C$311)*(B199=$B$1:$B$311)*(A199=$A$1:$A$311),0),2):D198),0)</f>
        <v>925.5418767168776</v>
      </c>
      <c r="E199" s="168">
        <f t="shared" ca="1" si="4"/>
        <v>44.765495321480557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6048.0332787232483</v>
      </c>
      <c r="G199" s="168">
        <f ca="1">IF($C199-G$1&lt;År1,0,F198*(1-VLOOKUP($A199,[1]Hugst!$R$5:$W$9,MATCH(ROUNDUP((G$1)/10,0)*10,[1]Hugst!$R$4:$W$4,0))))</f>
        <v>10184.834476262193</v>
      </c>
      <c r="H199" s="168">
        <f ca="1">IF($C199-H$1&lt;År1,0,G198*(1-VLOOKUP($A199,[1]Hugst!$R$5:$W$9,MATCH(ROUNDUP((H$1)/10,0)*10,[1]Hugst!$R$4:$W$4,0))))</f>
        <v>10167.096098050781</v>
      </c>
      <c r="I199" s="168">
        <f ca="1">IF($C199-I$1&lt;År1,0,H198*(1-VLOOKUP($A199,[1]Hugst!$R$5:$W$9,MATCH(ROUNDUP((I$1)/10,0)*10,[1]Hugst!$R$4:$W$4,0))))</f>
        <v>10171.793923059849</v>
      </c>
      <c r="J199" s="168">
        <f ca="1">IF($C199-J$1&lt;År1,0,I198*(1-VLOOKUP($A199,[1]Hugst!$R$5:$W$9,MATCH(ROUNDUP((J$1)/10,0)*10,[1]Hugst!$R$4:$W$4,0))))</f>
        <v>10176.515355229789</v>
      </c>
      <c r="K199" s="168">
        <f ca="1">IF($C199-K$1&lt;År1,0,J198*(1-VLOOKUP($A199,[1]Hugst!$R$5:$W$9,MATCH(ROUNDUP((K$1)/10,0)*10,[1]Hugst!$R$4:$W$4,0))))</f>
        <v>10181.260513189518</v>
      </c>
      <c r="L199" s="168">
        <f ca="1">IF($C199-L$1&lt;År1,0,K198*(1-VLOOKUP($A199,[1]Hugst!$R$5:$W$9,MATCH(ROUNDUP((L$1)/10,0)*10,[1]Hugst!$R$4:$W$4,0))))</f>
        <v>10186.02951616409</v>
      </c>
      <c r="M199" s="168">
        <f ca="1">IF($C199-M$1&lt;År1,0,L198*(1-VLOOKUP($A199,[1]Hugst!$R$5:$W$9,MATCH(ROUNDUP((M$1)/10,0)*10,[1]Hugst!$R$4:$W$4,0))))</f>
        <v>10190.822483977761</v>
      </c>
      <c r="N199" s="168">
        <f ca="1">IF($C199-N$1&lt;År1,0,M198*(1-VLOOKUP($A199,[1]Hugst!$R$5:$W$9,MATCH(ROUNDUP((N$1)/10,0)*10,[1]Hugst!$R$4:$W$4,0))))</f>
        <v>10195.639537056793</v>
      </c>
      <c r="O199" s="168">
        <f ca="1">IF($C199-O$1&lt;År1,0,N198*(1-VLOOKUP($A199,[1]Hugst!$R$5:$W$9,MATCH(ROUNDUP((O$1)/10,0)*10,[1]Hugst!$R$4:$W$4,0))))</f>
        <v>10200.480796432777</v>
      </c>
      <c r="P199" s="168">
        <f ca="1">IF($C199-P$1&lt;År1,0,O198*(1-VLOOKUP($A199,[1]Hugst!$R$5:$W$9,MATCH(ROUNDUP((P$1)/10,0)*10,[1]Hugst!$R$4:$W$4,0))))</f>
        <v>10182.944403878493</v>
      </c>
      <c r="Q199" s="168">
        <f ca="1">IF($C199-Q$1&lt;År1,0,P198*(1-VLOOKUP($A199,[1]Hugst!$R$5:$W$9,MATCH(ROUNDUP((Q$1)/10,0)*10,[1]Hugst!$R$4:$W$4,0))))</f>
        <v>10165.460191695109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(IF(B200="Vestdanmark",Skovbrug!$C$22-(Skovbrug!$C$22)*(1-Skovbrug!$C$9)^(C200-Skovbrug!$B$12),Skovbrug!$F$22-(Skovbrug!$F$22)*(1-Skovbrug!$C$9)^(C200-Skovbrug!$B$12)))*VLOOKUP(A200,Skovbrug!$A$13:$D$17,IF('Skovbrug-alder'!C200&lt;=År2,3,4),FALSE)
-IF(C200&gt;2020,SUM(INDEX($C$1:$D$311,MATCH(1,(2020=$C$1:$C$311)*(B200=$B$1:$B$311)*(A200=$A$1:$A$311),0),2):D199),0)</f>
        <v>920.91416733329788</v>
      </c>
      <c r="E200" s="168">
        <f t="shared" ca="1" si="4"/>
        <v>67.058528909270535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6065.6986029274585</v>
      </c>
      <c r="G200" s="168">
        <f ca="1">IF($C200-G$1&lt;År1,0,F199*(1-VLOOKUP($A200,[1]Hugst!$R$5:$W$9,MATCH(ROUNDUP((G$1)/10,0)*10,[1]Hugst!$R$4:$W$4,0))))</f>
        <v>6048.0332787232483</v>
      </c>
      <c r="H200" s="168">
        <f ca="1">IF($C200-H$1&lt;År1,0,G199*(1-VLOOKUP($A200,[1]Hugst!$R$5:$W$9,MATCH(ROUNDUP((H$1)/10,0)*10,[1]Hugst!$R$4:$W$4,0))))</f>
        <v>10184.834476262193</v>
      </c>
      <c r="I200" s="168">
        <f ca="1">IF($C200-I$1&lt;År1,0,H199*(1-VLOOKUP($A200,[1]Hugst!$R$5:$W$9,MATCH(ROUNDUP((I$1)/10,0)*10,[1]Hugst!$R$4:$W$4,0))))</f>
        <v>10167.096098050781</v>
      </c>
      <c r="J200" s="168">
        <f ca="1">IF($C200-J$1&lt;År1,0,I199*(1-VLOOKUP($A200,[1]Hugst!$R$5:$W$9,MATCH(ROUNDUP((J$1)/10,0)*10,[1]Hugst!$R$4:$W$4,0))))</f>
        <v>10171.793923059849</v>
      </c>
      <c r="K200" s="168">
        <f ca="1">IF($C200-K$1&lt;År1,0,J199*(1-VLOOKUP($A200,[1]Hugst!$R$5:$W$9,MATCH(ROUNDUP((K$1)/10,0)*10,[1]Hugst!$R$4:$W$4,0))))</f>
        <v>10176.515355229789</v>
      </c>
      <c r="L200" s="168">
        <f ca="1">IF($C200-L$1&lt;År1,0,K199*(1-VLOOKUP($A200,[1]Hugst!$R$5:$W$9,MATCH(ROUNDUP((L$1)/10,0)*10,[1]Hugst!$R$4:$W$4,0))))</f>
        <v>10181.260513189518</v>
      </c>
      <c r="M200" s="168">
        <f ca="1">IF($C200-M$1&lt;År1,0,L199*(1-VLOOKUP($A200,[1]Hugst!$R$5:$W$9,MATCH(ROUNDUP((M$1)/10,0)*10,[1]Hugst!$R$4:$W$4,0))))</f>
        <v>10186.02951616409</v>
      </c>
      <c r="N200" s="168">
        <f ca="1">IF($C200-N$1&lt;År1,0,M199*(1-VLOOKUP($A200,[1]Hugst!$R$5:$W$9,MATCH(ROUNDUP((N$1)/10,0)*10,[1]Hugst!$R$4:$W$4,0))))</f>
        <v>10190.822483977761</v>
      </c>
      <c r="O200" s="168">
        <f ca="1">IF($C200-O$1&lt;År1,0,N199*(1-VLOOKUP($A200,[1]Hugst!$R$5:$W$9,MATCH(ROUNDUP((O$1)/10,0)*10,[1]Hugst!$R$4:$W$4,0))))</f>
        <v>10195.639537056793</v>
      </c>
      <c r="P200" s="168">
        <f ca="1">IF($C200-P$1&lt;År1,0,O199*(1-VLOOKUP($A200,[1]Hugst!$R$5:$W$9,MATCH(ROUNDUP((P$1)/10,0)*10,[1]Hugst!$R$4:$W$4,0))))</f>
        <v>10178.089497123534</v>
      </c>
      <c r="Q200" s="168">
        <f ca="1">IF($C200-Q$1&lt;År1,0,P199*(1-VLOOKUP($A200,[1]Hugst!$R$5:$W$9,MATCH(ROUNDUP((Q$1)/10,0)*10,[1]Hugst!$R$4:$W$4,0))))</f>
        <v>10160.591599089492</v>
      </c>
      <c r="R200" s="168">
        <f ca="1">IF($C200-R$1&lt;År1,0,Q199*(1-VLOOKUP($A200,[1]Hugst!$R$5:$W$9,MATCH(ROUNDUP((R$1)/10,0)*10,[1]Hugst!$R$4:$W$4,0))))</f>
        <v>10143.14576688407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(IF(B201="Vestdanmark",Skovbrug!$C$22-(Skovbrug!$C$22)*(1-Skovbrug!$C$9)^(C201-Skovbrug!$B$12),Skovbrug!$F$22-(Skovbrug!$F$22)*(1-Skovbrug!$C$9)^(C201-Skovbrug!$B$12)))*VLOOKUP(A201,Skovbrug!$A$13:$D$17,IF('Skovbrug-alder'!C201&lt;=År2,3,4),FALSE)
-IF(C201&gt;2020,SUM(INDEX($C$1:$D$311,MATCH(1,(2020=$C$1:$C$311)*(B201=$B$1:$B$311)*(A201=$A$1:$A$311),0),2):D200),0)</f>
        <v>916.30959649663964</v>
      </c>
      <c r="E201" s="168">
        <f t="shared" ca="1" si="4"/>
        <v>89.291999414985185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6083.3275025965149</v>
      </c>
      <c r="G201" s="168">
        <f ca="1">IF($C201-G$1&lt;År1,0,F200*(1-VLOOKUP($A201,[1]Hugst!$R$5:$W$9,MATCH(ROUNDUP((G$1)/10,0)*10,[1]Hugst!$R$4:$W$4,0))))</f>
        <v>6065.6986029274585</v>
      </c>
      <c r="H201" s="168">
        <f ca="1">IF($C201-H$1&lt;År1,0,G200*(1-VLOOKUP($A201,[1]Hugst!$R$5:$W$9,MATCH(ROUNDUP((H$1)/10,0)*10,[1]Hugst!$R$4:$W$4,0))))</f>
        <v>6048.0332787232483</v>
      </c>
      <c r="I201" s="168">
        <f ca="1">IF($C201-I$1&lt;År1,0,H200*(1-VLOOKUP($A201,[1]Hugst!$R$5:$W$9,MATCH(ROUNDUP((I$1)/10,0)*10,[1]Hugst!$R$4:$W$4,0))))</f>
        <v>10184.834476262193</v>
      </c>
      <c r="J201" s="168">
        <f ca="1">IF($C201-J$1&lt;År1,0,I200*(1-VLOOKUP($A201,[1]Hugst!$R$5:$W$9,MATCH(ROUNDUP((J$1)/10,0)*10,[1]Hugst!$R$4:$W$4,0))))</f>
        <v>10167.096098050781</v>
      </c>
      <c r="K201" s="168">
        <f ca="1">IF($C201-K$1&lt;År1,0,J200*(1-VLOOKUP($A201,[1]Hugst!$R$5:$W$9,MATCH(ROUNDUP((K$1)/10,0)*10,[1]Hugst!$R$4:$W$4,0))))</f>
        <v>10171.793923059849</v>
      </c>
      <c r="L201" s="168">
        <f ca="1">IF($C201-L$1&lt;År1,0,K200*(1-VLOOKUP($A201,[1]Hugst!$R$5:$W$9,MATCH(ROUNDUP((L$1)/10,0)*10,[1]Hugst!$R$4:$W$4,0))))</f>
        <v>10176.515355229789</v>
      </c>
      <c r="M201" s="168">
        <f ca="1">IF($C201-M$1&lt;År1,0,L200*(1-VLOOKUP($A201,[1]Hugst!$R$5:$W$9,MATCH(ROUNDUP((M$1)/10,0)*10,[1]Hugst!$R$4:$W$4,0))))</f>
        <v>10181.260513189518</v>
      </c>
      <c r="N201" s="168">
        <f ca="1">IF($C201-N$1&lt;År1,0,M200*(1-VLOOKUP($A201,[1]Hugst!$R$5:$W$9,MATCH(ROUNDUP((N$1)/10,0)*10,[1]Hugst!$R$4:$W$4,0))))</f>
        <v>10186.02951616409</v>
      </c>
      <c r="O201" s="168">
        <f ca="1">IF($C201-O$1&lt;År1,0,N200*(1-VLOOKUP($A201,[1]Hugst!$R$5:$W$9,MATCH(ROUNDUP((O$1)/10,0)*10,[1]Hugst!$R$4:$W$4,0))))</f>
        <v>10190.822483977761</v>
      </c>
      <c r="P201" s="168">
        <f ca="1">IF($C201-P$1&lt;År1,0,O200*(1-VLOOKUP($A201,[1]Hugst!$R$5:$W$9,MATCH(ROUNDUP((P$1)/10,0)*10,[1]Hugst!$R$4:$W$4,0))))</f>
        <v>10173.258864902278</v>
      </c>
      <c r="Q201" s="168">
        <f ca="1">IF($C201-Q$1&lt;År1,0,P200*(1-VLOOKUP($A201,[1]Hugst!$R$5:$W$9,MATCH(ROUNDUP((Q$1)/10,0)*10,[1]Hugst!$R$4:$W$4,0))))</f>
        <v>10155.747349446921</v>
      </c>
      <c r="R201" s="168">
        <f ca="1">IF($C201-R$1&lt;År1,0,Q200*(1-VLOOKUP($A201,[1]Hugst!$R$5:$W$9,MATCH(ROUNDUP((R$1)/10,0)*10,[1]Hugst!$R$4:$W$4,0))))</f>
        <v>10138.287861432955</v>
      </c>
      <c r="S201" s="168">
        <f ca="1">IF($C201-S$1&lt;År1,0,R200*(1-VLOOKUP($A201,[1]Hugst!$R$5:$W$9,MATCH(ROUNDUP((S$1)/10,0)*10,[1]Hugst!$R$4:$W$4,0))))</f>
        <v>10120.880324956765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(IF(B202="Vestdanmark",Skovbrug!$C$22-(Skovbrug!$C$22)*(1-Skovbrug!$C$9)^(C202-Skovbrug!$B$12),Skovbrug!$F$22-(Skovbrug!$F$22)*(1-Skovbrug!$C$9)^(C202-Skovbrug!$B$12)))*VLOOKUP(A202,Skovbrug!$A$13:$D$17,IF('Skovbrug-alder'!C202&lt;=År2,3,4),FALSE)
-IF(C202&gt;2020,SUM(INDEX($C$1:$D$311,MATCH(1,(2020=$C$1:$C$311)*(B202=$B$1:$B$311)*(A202=$A$1:$A$311),0),2):D201),0)</f>
        <v>911.72804851416549</v>
      </c>
      <c r="E202" s="168">
        <f t="shared" ca="1" si="4"/>
        <v>111.46609072253341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6100.920045921589</v>
      </c>
      <c r="G202" s="168">
        <f ca="1">IF($C202-G$1&lt;År1,0,F201*(1-VLOOKUP($A202,[1]Hugst!$R$5:$W$9,MATCH(ROUNDUP((G$1)/10,0)*10,[1]Hugst!$R$4:$W$4,0))))</f>
        <v>6083.3275025965149</v>
      </c>
      <c r="H202" s="168">
        <f ca="1">IF($C202-H$1&lt;År1,0,G201*(1-VLOOKUP($A202,[1]Hugst!$R$5:$W$9,MATCH(ROUNDUP((H$1)/10,0)*10,[1]Hugst!$R$4:$W$4,0))))</f>
        <v>6065.6986029274585</v>
      </c>
      <c r="I202" s="168">
        <f ca="1">IF($C202-I$1&lt;År1,0,H201*(1-VLOOKUP($A202,[1]Hugst!$R$5:$W$9,MATCH(ROUNDUP((I$1)/10,0)*10,[1]Hugst!$R$4:$W$4,0))))</f>
        <v>6048.0332787232483</v>
      </c>
      <c r="J202" s="168">
        <f ca="1">IF($C202-J$1&lt;År1,0,I201*(1-VLOOKUP($A202,[1]Hugst!$R$5:$W$9,MATCH(ROUNDUP((J$1)/10,0)*10,[1]Hugst!$R$4:$W$4,0))))</f>
        <v>10184.834476262193</v>
      </c>
      <c r="K202" s="168">
        <f ca="1">IF($C202-K$1&lt;År1,0,J201*(1-VLOOKUP($A202,[1]Hugst!$R$5:$W$9,MATCH(ROUNDUP((K$1)/10,0)*10,[1]Hugst!$R$4:$W$4,0))))</f>
        <v>10167.096098050781</v>
      </c>
      <c r="L202" s="168">
        <f ca="1">IF($C202-L$1&lt;År1,0,K201*(1-VLOOKUP($A202,[1]Hugst!$R$5:$W$9,MATCH(ROUNDUP((L$1)/10,0)*10,[1]Hugst!$R$4:$W$4,0))))</f>
        <v>10171.793923059849</v>
      </c>
      <c r="M202" s="168">
        <f ca="1">IF($C202-M$1&lt;År1,0,L201*(1-VLOOKUP($A202,[1]Hugst!$R$5:$W$9,MATCH(ROUNDUP((M$1)/10,0)*10,[1]Hugst!$R$4:$W$4,0))))</f>
        <v>10176.515355229789</v>
      </c>
      <c r="N202" s="168">
        <f ca="1">IF($C202-N$1&lt;År1,0,M201*(1-VLOOKUP($A202,[1]Hugst!$R$5:$W$9,MATCH(ROUNDUP((N$1)/10,0)*10,[1]Hugst!$R$4:$W$4,0))))</f>
        <v>10181.260513189518</v>
      </c>
      <c r="O202" s="168">
        <f ca="1">IF($C202-O$1&lt;År1,0,N201*(1-VLOOKUP($A202,[1]Hugst!$R$5:$W$9,MATCH(ROUNDUP((O$1)/10,0)*10,[1]Hugst!$R$4:$W$4,0))))</f>
        <v>10186.02951616409</v>
      </c>
      <c r="P202" s="168">
        <f ca="1">IF($C202-P$1&lt;År1,0,O201*(1-VLOOKUP($A202,[1]Hugst!$R$5:$W$9,MATCH(ROUNDUP((P$1)/10,0)*10,[1]Hugst!$R$4:$W$4,0))))</f>
        <v>10168.4523858422</v>
      </c>
      <c r="Q202" s="168">
        <f ca="1">IF($C202-Q$1&lt;År1,0,P201*(1-VLOOKUP($A202,[1]Hugst!$R$5:$W$9,MATCH(ROUNDUP((Q$1)/10,0)*10,[1]Hugst!$R$4:$W$4,0))))</f>
        <v>10150.927321052493</v>
      </c>
      <c r="R202" s="168">
        <f ca="1">IF($C202-R$1&lt;År1,0,Q201*(1-VLOOKUP($A202,[1]Hugst!$R$5:$W$9,MATCH(ROUNDUP((R$1)/10,0)*10,[1]Hugst!$R$4:$W$4,0))))</f>
        <v>10133.45424550911</v>
      </c>
      <c r="S202" s="168">
        <f ca="1">IF($C202-S$1&lt;År1,0,R201*(1-VLOOKUP($A202,[1]Hugst!$R$5:$W$9,MATCH(ROUNDUP((S$1)/10,0)*10,[1]Hugst!$R$4:$W$4,0))))</f>
        <v>10116.03308320054</v>
      </c>
      <c r="T202" s="168">
        <f ca="1">IF($C202-T$1&lt;År1,0,S201*(1-VLOOKUP($A202,[1]Hugst!$R$5:$W$9,MATCH(ROUNDUP((T$1)/10,0)*10,[1]Hugst!$R$4:$W$4,0))))</f>
        <v>10098.663758389786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(IF(B203="Vestdanmark",Skovbrug!$C$22-(Skovbrug!$C$22)*(1-Skovbrug!$C$9)^(C203-Skovbrug!$B$12),Skovbrug!$F$22-(Skovbrug!$F$22)*(1-Skovbrug!$C$9)^(C203-Skovbrug!$B$12)))*VLOOKUP(A203,Skovbrug!$A$13:$D$17,IF('Skovbrug-alder'!C203&lt;=År2,3,4),FALSE)
-IF(C203&gt;2020,SUM(INDEX($C$1:$D$311,MATCH(1,(2020=$C$1:$C$311)*(B203=$B$1:$B$311)*(A203=$A$1:$A$311),0),2):D202),0)</f>
        <v>907.16940827158942</v>
      </c>
      <c r="E203" s="168">
        <f t="shared" ca="1" si="4"/>
        <v>133.58098604669794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6118.4763010031775</v>
      </c>
      <c r="G203" s="168">
        <f ca="1">IF($C203-G$1&lt;År1,0,F202*(1-VLOOKUP($A203,[1]Hugst!$R$5:$W$9,MATCH(ROUNDUP((G$1)/10,0)*10,[1]Hugst!$R$4:$W$4,0))))</f>
        <v>6100.920045921589</v>
      </c>
      <c r="H203" s="168">
        <f ca="1">IF($C203-H$1&lt;År1,0,G202*(1-VLOOKUP($A203,[1]Hugst!$R$5:$W$9,MATCH(ROUNDUP((H$1)/10,0)*10,[1]Hugst!$R$4:$W$4,0))))</f>
        <v>6083.3275025965149</v>
      </c>
      <c r="I203" s="168">
        <f ca="1">IF($C203-I$1&lt;År1,0,H202*(1-VLOOKUP($A203,[1]Hugst!$R$5:$W$9,MATCH(ROUNDUP((I$1)/10,0)*10,[1]Hugst!$R$4:$W$4,0))))</f>
        <v>6065.6986029274585</v>
      </c>
      <c r="J203" s="168">
        <f ca="1">IF($C203-J$1&lt;År1,0,I202*(1-VLOOKUP($A203,[1]Hugst!$R$5:$W$9,MATCH(ROUNDUP((J$1)/10,0)*10,[1]Hugst!$R$4:$W$4,0))))</f>
        <v>6048.0332787232483</v>
      </c>
      <c r="K203" s="168">
        <f ca="1">IF($C203-K$1&lt;År1,0,J202*(1-VLOOKUP($A203,[1]Hugst!$R$5:$W$9,MATCH(ROUNDUP((K$1)/10,0)*10,[1]Hugst!$R$4:$W$4,0))))</f>
        <v>10184.834476262193</v>
      </c>
      <c r="L203" s="168">
        <f ca="1">IF($C203-L$1&lt;År1,0,K202*(1-VLOOKUP($A203,[1]Hugst!$R$5:$W$9,MATCH(ROUNDUP((L$1)/10,0)*10,[1]Hugst!$R$4:$W$4,0))))</f>
        <v>10167.096098050781</v>
      </c>
      <c r="M203" s="168">
        <f ca="1">IF($C203-M$1&lt;År1,0,L202*(1-VLOOKUP($A203,[1]Hugst!$R$5:$W$9,MATCH(ROUNDUP((M$1)/10,0)*10,[1]Hugst!$R$4:$W$4,0))))</f>
        <v>10171.793923059849</v>
      </c>
      <c r="N203" s="168">
        <f ca="1">IF($C203-N$1&lt;År1,0,M202*(1-VLOOKUP($A203,[1]Hugst!$R$5:$W$9,MATCH(ROUNDUP((N$1)/10,0)*10,[1]Hugst!$R$4:$W$4,0))))</f>
        <v>10176.515355229789</v>
      </c>
      <c r="O203" s="168">
        <f ca="1">IF($C203-O$1&lt;År1,0,N202*(1-VLOOKUP($A203,[1]Hugst!$R$5:$W$9,MATCH(ROUNDUP((O$1)/10,0)*10,[1]Hugst!$R$4:$W$4,0))))</f>
        <v>10181.260513189518</v>
      </c>
      <c r="P203" s="168">
        <f ca="1">IF($C203-P$1&lt;År1,0,O202*(1-VLOOKUP($A203,[1]Hugst!$R$5:$W$9,MATCH(ROUNDUP((P$1)/10,0)*10,[1]Hugst!$R$4:$W$4,0))))</f>
        <v>10163.669939177387</v>
      </c>
      <c r="Q203" s="168">
        <f ca="1">IF($C203-Q$1&lt;År1,0,P202*(1-VLOOKUP($A203,[1]Hugst!$R$5:$W$9,MATCH(ROUNDUP((Q$1)/10,0)*10,[1]Hugst!$R$4:$W$4,0))))</f>
        <v>10146.131392800107</v>
      </c>
      <c r="R203" s="168">
        <f ca="1">IF($C203-R$1&lt;År1,0,Q202*(1-VLOOKUP($A203,[1]Hugst!$R$5:$W$9,MATCH(ROUNDUP((R$1)/10,0)*10,[1]Hugst!$R$4:$W$4,0))))</f>
        <v>10128.644797664818</v>
      </c>
      <c r="S203" s="168">
        <f ca="1">IF($C203-S$1&lt;År1,0,R202*(1-VLOOKUP($A203,[1]Hugst!$R$5:$W$9,MATCH(ROUNDUP((S$1)/10,0)*10,[1]Hugst!$R$4:$W$4,0))))</f>
        <v>10111.210077653115</v>
      </c>
      <c r="T203" s="168">
        <f ca="1">IF($C203-T$1&lt;År1,0,S202*(1-VLOOKUP($A203,[1]Hugst!$R$5:$W$9,MATCH(ROUNDUP((T$1)/10,0)*10,[1]Hugst!$R$4:$W$4,0))))</f>
        <v>10093.827156920344</v>
      </c>
      <c r="U203" s="168">
        <f ca="1">IF($C203-U$1&lt;År1,0,T202*(1-VLOOKUP($A203,[1]Hugst!$R$5:$W$9,MATCH(ROUNDUP((U$1)/10,0)*10,[1]Hugst!$R$4:$W$4,0))))</f>
        <v>10076.495959895759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(IF(B204="Vestdanmark",Skovbrug!$C$22-(Skovbrug!$C$22)*(1-Skovbrug!$C$9)^(C204-Skovbrug!$B$12),Skovbrug!$F$22-(Skovbrug!$F$22)*(1-Skovbrug!$C$9)^(C204-Skovbrug!$B$12)))*VLOOKUP(A204,Skovbrug!$A$13:$D$17,IF('Skovbrug-alder'!C204&lt;=År2,3,4),FALSE)
-IF(C204&gt;2020,SUM(INDEX($C$1:$D$311,MATCH(1,(2020=$C$1:$C$311)*(B204=$B$1:$B$311)*(A204=$A$1:$A$311),0),2):D203),0)</f>
        <v>902.6335612302355</v>
      </c>
      <c r="E204" s="168">
        <f t="shared" ca="1" si="4"/>
        <v>155.63686793553643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6135.996335850662</v>
      </c>
      <c r="G204" s="168">
        <f ca="1">IF($C204-G$1&lt;År1,0,F203*(1-VLOOKUP($A204,[1]Hugst!$R$5:$W$9,MATCH(ROUNDUP((G$1)/10,0)*10,[1]Hugst!$R$4:$W$4,0))))</f>
        <v>6118.4763010031775</v>
      </c>
      <c r="H204" s="168">
        <f ca="1">IF($C204-H$1&lt;År1,0,G203*(1-VLOOKUP($A204,[1]Hugst!$R$5:$W$9,MATCH(ROUNDUP((H$1)/10,0)*10,[1]Hugst!$R$4:$W$4,0))))</f>
        <v>6100.920045921589</v>
      </c>
      <c r="I204" s="168">
        <f ca="1">IF($C204-I$1&lt;År1,0,H203*(1-VLOOKUP($A204,[1]Hugst!$R$5:$W$9,MATCH(ROUNDUP((I$1)/10,0)*10,[1]Hugst!$R$4:$W$4,0))))</f>
        <v>6083.3275025965149</v>
      </c>
      <c r="J204" s="168">
        <f ca="1">IF($C204-J$1&lt;År1,0,I203*(1-VLOOKUP($A204,[1]Hugst!$R$5:$W$9,MATCH(ROUNDUP((J$1)/10,0)*10,[1]Hugst!$R$4:$W$4,0))))</f>
        <v>6065.6986029274585</v>
      </c>
      <c r="K204" s="168">
        <f ca="1">IF($C204-K$1&lt;År1,0,J203*(1-VLOOKUP($A204,[1]Hugst!$R$5:$W$9,MATCH(ROUNDUP((K$1)/10,0)*10,[1]Hugst!$R$4:$W$4,0))))</f>
        <v>6048.0332787232483</v>
      </c>
      <c r="L204" s="168">
        <f ca="1">IF($C204-L$1&lt;År1,0,K203*(1-VLOOKUP($A204,[1]Hugst!$R$5:$W$9,MATCH(ROUNDUP((L$1)/10,0)*10,[1]Hugst!$R$4:$W$4,0))))</f>
        <v>10184.834476262193</v>
      </c>
      <c r="M204" s="168">
        <f ca="1">IF($C204-M$1&lt;År1,0,L203*(1-VLOOKUP($A204,[1]Hugst!$R$5:$W$9,MATCH(ROUNDUP((M$1)/10,0)*10,[1]Hugst!$R$4:$W$4,0))))</f>
        <v>10167.096098050781</v>
      </c>
      <c r="N204" s="168">
        <f ca="1">IF($C204-N$1&lt;År1,0,M203*(1-VLOOKUP($A204,[1]Hugst!$R$5:$W$9,MATCH(ROUNDUP((N$1)/10,0)*10,[1]Hugst!$R$4:$W$4,0))))</f>
        <v>10171.793923059849</v>
      </c>
      <c r="O204" s="168">
        <f ca="1">IF($C204-O$1&lt;År1,0,N203*(1-VLOOKUP($A204,[1]Hugst!$R$5:$W$9,MATCH(ROUNDUP((O$1)/10,0)*10,[1]Hugst!$R$4:$W$4,0))))</f>
        <v>10176.515355229789</v>
      </c>
      <c r="P204" s="168">
        <f ca="1">IF($C204-P$1&lt;År1,0,O203*(1-VLOOKUP($A204,[1]Hugst!$R$5:$W$9,MATCH(ROUNDUP((P$1)/10,0)*10,[1]Hugst!$R$4:$W$4,0))))</f>
        <v>10158.911404745932</v>
      </c>
      <c r="Q204" s="168">
        <f ca="1">IF($C204-Q$1&lt;År1,0,P203*(1-VLOOKUP($A204,[1]Hugst!$R$5:$W$9,MATCH(ROUNDUP((Q$1)/10,0)*10,[1]Hugst!$R$4:$W$4,0))))</f>
        <v>10141.359444188949</v>
      </c>
      <c r="R204" s="168">
        <f ca="1">IF($C204-R$1&lt;År1,0,Q203*(1-VLOOKUP($A204,[1]Hugst!$R$5:$W$9,MATCH(ROUNDUP((R$1)/10,0)*10,[1]Hugst!$R$4:$W$4,0))))</f>
        <v>10123.859397059814</v>
      </c>
      <c r="S204" s="168">
        <f ca="1">IF($C204-S$1&lt;År1,0,R203*(1-VLOOKUP($A204,[1]Hugst!$R$5:$W$9,MATCH(ROUNDUP((S$1)/10,0)*10,[1]Hugst!$R$4:$W$4,0))))</f>
        <v>10106.411187133359</v>
      </c>
      <c r="T204" s="168">
        <f ca="1">IF($C204-T$1&lt;År1,0,S203*(1-VLOOKUP($A204,[1]Hugst!$R$5:$W$9,MATCH(ROUNDUP((T$1)/10,0)*10,[1]Hugst!$R$4:$W$4,0))))</f>
        <v>10089.014738458267</v>
      </c>
      <c r="U204" s="168">
        <f ca="1">IF($C204-U$1&lt;År1,0,T203*(1-VLOOKUP($A204,[1]Hugst!$R$5:$W$9,MATCH(ROUNDUP((U$1)/10,0)*10,[1]Hugst!$R$4:$W$4,0))))</f>
        <v>10071.669975356373</v>
      </c>
      <c r="V204" s="168">
        <f ca="1">IF($C204-V$1&lt;År1,0,U203*(1-VLOOKUP($A204,[1]Hugst!$R$5:$W$9,MATCH(ROUNDUP((V$1)/10,0)*10,[1]Hugst!$R$4:$W$4,0))))</f>
        <v>10054.376822422817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(IF(B205="Vestdanmark",Skovbrug!$C$22-(Skovbrug!$C$22)*(1-Skovbrug!$C$9)^(C205-Skovbrug!$B$12),Skovbrug!$F$22-(Skovbrug!$F$22)*(1-Skovbrug!$C$9)^(C205-Skovbrug!$B$12)))*VLOOKUP(A205,Skovbrug!$A$13:$D$17,IF('Skovbrug-alder'!C205&lt;=År2,3,4),FALSE)
-IF(C205&gt;2020,SUM(INDEX($C$1:$D$311,MATCH(1,(2020=$C$1:$C$311)*(B205=$B$1:$B$311)*(A205=$A$1:$A$311),0),2):D204),0)</f>
        <v>898.12039342408752</v>
      </c>
      <c r="E205" s="168">
        <f t="shared" ca="1" si="4"/>
        <v>177.63391827352461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6153.4802183825022</v>
      </c>
      <c r="G205" s="168">
        <f ca="1">IF($C205-G$1&lt;År1,0,F204*(1-VLOOKUP($A205,[1]Hugst!$R$5:$W$9,MATCH(ROUNDUP((G$1)/10,0)*10,[1]Hugst!$R$4:$W$4,0))))</f>
        <v>6135.996335850662</v>
      </c>
      <c r="H205" s="168">
        <f ca="1">IF($C205-H$1&lt;År1,0,G204*(1-VLOOKUP($A205,[1]Hugst!$R$5:$W$9,MATCH(ROUNDUP((H$1)/10,0)*10,[1]Hugst!$R$4:$W$4,0))))</f>
        <v>6118.4763010031775</v>
      </c>
      <c r="I205" s="168">
        <f ca="1">IF($C205-I$1&lt;År1,0,H204*(1-VLOOKUP($A205,[1]Hugst!$R$5:$W$9,MATCH(ROUNDUP((I$1)/10,0)*10,[1]Hugst!$R$4:$W$4,0))))</f>
        <v>6100.920045921589</v>
      </c>
      <c r="J205" s="168">
        <f ca="1">IF($C205-J$1&lt;År1,0,I204*(1-VLOOKUP($A205,[1]Hugst!$R$5:$W$9,MATCH(ROUNDUP((J$1)/10,0)*10,[1]Hugst!$R$4:$W$4,0))))</f>
        <v>6083.3275025965149</v>
      </c>
      <c r="K205" s="168">
        <f ca="1">IF($C205-K$1&lt;År1,0,J204*(1-VLOOKUP($A205,[1]Hugst!$R$5:$W$9,MATCH(ROUNDUP((K$1)/10,0)*10,[1]Hugst!$R$4:$W$4,0))))</f>
        <v>6065.6986029274585</v>
      </c>
      <c r="L205" s="168">
        <f ca="1">IF($C205-L$1&lt;År1,0,K204*(1-VLOOKUP($A205,[1]Hugst!$R$5:$W$9,MATCH(ROUNDUP((L$1)/10,0)*10,[1]Hugst!$R$4:$W$4,0))))</f>
        <v>6048.0332787232483</v>
      </c>
      <c r="M205" s="168">
        <f ca="1">IF($C205-M$1&lt;År1,0,L204*(1-VLOOKUP($A205,[1]Hugst!$R$5:$W$9,MATCH(ROUNDUP((M$1)/10,0)*10,[1]Hugst!$R$4:$W$4,0))))</f>
        <v>10184.834476262193</v>
      </c>
      <c r="N205" s="168">
        <f ca="1">IF($C205-N$1&lt;År1,0,M204*(1-VLOOKUP($A205,[1]Hugst!$R$5:$W$9,MATCH(ROUNDUP((N$1)/10,0)*10,[1]Hugst!$R$4:$W$4,0))))</f>
        <v>10167.096098050781</v>
      </c>
      <c r="O205" s="168">
        <f ca="1">IF($C205-O$1&lt;År1,0,N204*(1-VLOOKUP($A205,[1]Hugst!$R$5:$W$9,MATCH(ROUNDUP((O$1)/10,0)*10,[1]Hugst!$R$4:$W$4,0))))</f>
        <v>10171.793923059849</v>
      </c>
      <c r="P205" s="168">
        <f ca="1">IF($C205-P$1&lt;År1,0,O204*(1-VLOOKUP($A205,[1]Hugst!$R$5:$W$9,MATCH(ROUNDUP((P$1)/10,0)*10,[1]Hugst!$R$4:$W$4,0))))</f>
        <v>10154.176662986602</v>
      </c>
      <c r="Q205" s="168">
        <f ca="1">IF($C205-Q$1&lt;År1,0,P204*(1-VLOOKUP($A205,[1]Hugst!$R$5:$W$9,MATCH(ROUNDUP((Q$1)/10,0)*10,[1]Hugst!$R$4:$W$4,0))))</f>
        <v>10136.61135532088</v>
      </c>
      <c r="R205" s="168">
        <f ca="1">IF($C205-R$1&lt;År1,0,Q204*(1-VLOOKUP($A205,[1]Hugst!$R$5:$W$9,MATCH(ROUNDUP((R$1)/10,0)*10,[1]Hugst!$R$4:$W$4,0))))</f>
        <v>10119.097923457803</v>
      </c>
      <c r="S205" s="168">
        <f ca="1">IF($C205-S$1&lt;År1,0,R204*(1-VLOOKUP($A205,[1]Hugst!$R$5:$W$9,MATCH(ROUNDUP((S$1)/10,0)*10,[1]Hugst!$R$4:$W$4,0))))</f>
        <v>10101.636291066268</v>
      </c>
      <c r="T205" s="168">
        <f ca="1">IF($C205-T$1&lt;År1,0,S204*(1-VLOOKUP($A205,[1]Hugst!$R$5:$W$9,MATCH(ROUNDUP((T$1)/10,0)*10,[1]Hugst!$R$4:$W$4,0))))</f>
        <v>10084.226382088433</v>
      </c>
      <c r="U205" s="168">
        <f ca="1">IF($C205-U$1&lt;År1,0,T204*(1-VLOOKUP($A205,[1]Hugst!$R$5:$W$9,MATCH(ROUNDUP((U$1)/10,0)*10,[1]Hugst!$R$4:$W$4,0))))</f>
        <v>10066.8681207397</v>
      </c>
      <c r="V205" s="168">
        <f ca="1">IF($C205-V$1&lt;År1,0,U204*(1-VLOOKUP($A205,[1]Hugst!$R$5:$W$9,MATCH(ROUNDUP((V$1)/10,0)*10,[1]Hugst!$R$4:$W$4,0))))</f>
        <v>10049.561431508031</v>
      </c>
      <c r="W205" s="168">
        <f ca="1">IF($C205-W$1&lt;År1,0,V204*(1-VLOOKUP($A205,[1]Hugst!$R$5:$W$9,MATCH(ROUNDUP((W$1)/10,0)*10,[1]Hugst!$R$4:$W$4,0))))</f>
        <v>10032.306239154084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(IF(B206="Vestdanmark",Skovbrug!$C$22-(Skovbrug!$C$22)*(1-Skovbrug!$C$9)^(C206-Skovbrug!$B$12),Skovbrug!$F$22-(Skovbrug!$F$22)*(1-Skovbrug!$C$9)^(C206-Skovbrug!$B$12)))*VLOOKUP(A206,Skovbrug!$A$13:$D$17,IF('Skovbrug-alder'!C206&lt;=År2,3,4),FALSE)
-IF(C206&gt;2020,SUM(INDEX($C$1:$D$311,MATCH(1,(2020=$C$1:$C$311)*(B206=$B$1:$B$311)*(A206=$A$1:$A$311),0),2):D205),0)</f>
        <v>893.62979145697318</v>
      </c>
      <c r="E206" s="168">
        <f t="shared" ca="1" si="4"/>
        <v>199.57231828401564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6170.9280164258789</v>
      </c>
      <c r="G206" s="168">
        <f ca="1">IF($C206-G$1&lt;År1,0,F205*(1-VLOOKUP($A206,[1]Hugst!$R$5:$W$9,MATCH(ROUNDUP((G$1)/10,0)*10,[1]Hugst!$R$4:$W$4,0))))</f>
        <v>6153.4802183825022</v>
      </c>
      <c r="H206" s="168">
        <f ca="1">IF($C206-H$1&lt;År1,0,G205*(1-VLOOKUP($A206,[1]Hugst!$R$5:$W$9,MATCH(ROUNDUP((H$1)/10,0)*10,[1]Hugst!$R$4:$W$4,0))))</f>
        <v>6135.996335850662</v>
      </c>
      <c r="I206" s="168">
        <f ca="1">IF($C206-I$1&lt;År1,0,H205*(1-VLOOKUP($A206,[1]Hugst!$R$5:$W$9,MATCH(ROUNDUP((I$1)/10,0)*10,[1]Hugst!$R$4:$W$4,0))))</f>
        <v>6118.4763010031775</v>
      </c>
      <c r="J206" s="168">
        <f ca="1">IF($C206-J$1&lt;År1,0,I205*(1-VLOOKUP($A206,[1]Hugst!$R$5:$W$9,MATCH(ROUNDUP((J$1)/10,0)*10,[1]Hugst!$R$4:$W$4,0))))</f>
        <v>6100.920045921589</v>
      </c>
      <c r="K206" s="168">
        <f ca="1">IF($C206-K$1&lt;År1,0,J205*(1-VLOOKUP($A206,[1]Hugst!$R$5:$W$9,MATCH(ROUNDUP((K$1)/10,0)*10,[1]Hugst!$R$4:$W$4,0))))</f>
        <v>6083.3275025965149</v>
      </c>
      <c r="L206" s="168">
        <f ca="1">IF($C206-L$1&lt;År1,0,K205*(1-VLOOKUP($A206,[1]Hugst!$R$5:$W$9,MATCH(ROUNDUP((L$1)/10,0)*10,[1]Hugst!$R$4:$W$4,0))))</f>
        <v>6065.6986029274585</v>
      </c>
      <c r="M206" s="168">
        <f ca="1">IF($C206-M$1&lt;År1,0,L205*(1-VLOOKUP($A206,[1]Hugst!$R$5:$W$9,MATCH(ROUNDUP((M$1)/10,0)*10,[1]Hugst!$R$4:$W$4,0))))</f>
        <v>6048.0332787232483</v>
      </c>
      <c r="N206" s="168">
        <f ca="1">IF($C206-N$1&lt;År1,0,M205*(1-VLOOKUP($A206,[1]Hugst!$R$5:$W$9,MATCH(ROUNDUP((N$1)/10,0)*10,[1]Hugst!$R$4:$W$4,0))))</f>
        <v>10184.834476262193</v>
      </c>
      <c r="O206" s="168">
        <f ca="1">IF($C206-O$1&lt;År1,0,N205*(1-VLOOKUP($A206,[1]Hugst!$R$5:$W$9,MATCH(ROUNDUP((O$1)/10,0)*10,[1]Hugst!$R$4:$W$4,0))))</f>
        <v>10167.096098050781</v>
      </c>
      <c r="P206" s="168">
        <f ca="1">IF($C206-P$1&lt;År1,0,O205*(1-VLOOKUP($A206,[1]Hugst!$R$5:$W$9,MATCH(ROUNDUP((P$1)/10,0)*10,[1]Hugst!$R$4:$W$4,0))))</f>
        <v>10149.46559493606</v>
      </c>
      <c r="Q206" s="168">
        <f ca="1">IF($C206-Q$1&lt;År1,0,P205*(1-VLOOKUP($A206,[1]Hugst!$R$5:$W$9,MATCH(ROUNDUP((Q$1)/10,0)*10,[1]Hugst!$R$4:$W$4,0))))</f>
        <v>10131.887006897119</v>
      </c>
      <c r="R206" s="168">
        <f ca="1">IF($C206-R$1&lt;År1,0,Q205*(1-VLOOKUP($A206,[1]Hugst!$R$5:$W$9,MATCH(ROUNDUP((R$1)/10,0)*10,[1]Hugst!$R$4:$W$4,0))))</f>
        <v>10114.360257223834</v>
      </c>
      <c r="S206" s="168">
        <f ca="1">IF($C206-S$1&lt;År1,0,R205*(1-VLOOKUP($A206,[1]Hugst!$R$5:$W$9,MATCH(ROUNDUP((S$1)/10,0)*10,[1]Hugst!$R$4:$W$4,0))))</f>
        <v>10096.88526947948</v>
      </c>
      <c r="T206" s="168">
        <f ca="1">IF($C206-T$1&lt;År1,0,S205*(1-VLOOKUP($A206,[1]Hugst!$R$5:$W$9,MATCH(ROUNDUP((T$1)/10,0)*10,[1]Hugst!$R$4:$W$4,0))))</f>
        <v>10079.461967500512</v>
      </c>
      <c r="U206" s="168">
        <f ca="1">IF($C206-U$1&lt;År1,0,T205*(1-VLOOKUP($A206,[1]Hugst!$R$5:$W$9,MATCH(ROUNDUP((U$1)/10,0)*10,[1]Hugst!$R$4:$W$4,0))))</f>
        <v>10062.090275396044</v>
      </c>
      <c r="V206" s="168">
        <f ca="1">IF($C206-V$1&lt;År1,0,U205*(1-VLOOKUP($A206,[1]Hugst!$R$5:$W$9,MATCH(ROUNDUP((V$1)/10,0)*10,[1]Hugst!$R$4:$W$4,0))))</f>
        <v>10044.770117547832</v>
      </c>
      <c r="W206" s="168">
        <f ca="1">IF($C206-W$1&lt;År1,0,V205*(1-VLOOKUP($A206,[1]Hugst!$R$5:$W$9,MATCH(ROUNDUP((W$1)/10,0)*10,[1]Hugst!$R$4:$W$4,0))))</f>
        <v>10027.5014186096</v>
      </c>
      <c r="X206" s="168">
        <f ca="1">IF($C206-X$1&lt;År1,0,W205*(1-VLOOKUP($A206,[1]Hugst!$R$5:$W$9,MATCH(ROUNDUP((X$1)/10,0)*10,[1]Hugst!$R$4:$W$4,0))))</f>
        <v>10010.284103507161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(IF(B207="Vestdanmark",Skovbrug!$C$22-(Skovbrug!$C$22)*(1-Skovbrug!$C$9)^(C207-Skovbrug!$B$12),Skovbrug!$F$22-(Skovbrug!$F$22)*(1-Skovbrug!$C$9)^(C207-Skovbrug!$B$12)))*VLOOKUP(A207,Skovbrug!$A$13:$D$17,IF('Skovbrug-alder'!C207&lt;=År2,3,4),FALSE)
-IF(C207&gt;2020,SUM(INDEX($C$1:$D$311,MATCH(1,(2020=$C$1:$C$311)*(B207=$B$1:$B$311)*(A207=$A$1:$A$311),0),2):D206),0)</f>
        <v>889.1616424996464</v>
      </c>
      <c r="E207" s="168">
        <f t="shared" ca="1" si="4"/>
        <v>221.45224853229593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6188.3397977168324</v>
      </c>
      <c r="G207" s="168">
        <f ca="1">IF($C207-G$1&lt;År1,0,F206*(1-VLOOKUP($A207,[1]Hugst!$R$5:$W$9,MATCH(ROUNDUP((G$1)/10,0)*10,[1]Hugst!$R$4:$W$4,0))))</f>
        <v>6170.9280164258789</v>
      </c>
      <c r="H207" s="168">
        <f ca="1">IF($C207-H$1&lt;År1,0,G206*(1-VLOOKUP($A207,[1]Hugst!$R$5:$W$9,MATCH(ROUNDUP((H$1)/10,0)*10,[1]Hugst!$R$4:$W$4,0))))</f>
        <v>6153.4802183825022</v>
      </c>
      <c r="I207" s="168">
        <f ca="1">IF($C207-I$1&lt;År1,0,H206*(1-VLOOKUP($A207,[1]Hugst!$R$5:$W$9,MATCH(ROUNDUP((I$1)/10,0)*10,[1]Hugst!$R$4:$W$4,0))))</f>
        <v>6135.996335850662</v>
      </c>
      <c r="J207" s="168">
        <f ca="1">IF($C207-J$1&lt;År1,0,I206*(1-VLOOKUP($A207,[1]Hugst!$R$5:$W$9,MATCH(ROUNDUP((J$1)/10,0)*10,[1]Hugst!$R$4:$W$4,0))))</f>
        <v>6118.4763010031775</v>
      </c>
      <c r="K207" s="168">
        <f ca="1">IF($C207-K$1&lt;År1,0,J206*(1-VLOOKUP($A207,[1]Hugst!$R$5:$W$9,MATCH(ROUNDUP((K$1)/10,0)*10,[1]Hugst!$R$4:$W$4,0))))</f>
        <v>6100.920045921589</v>
      </c>
      <c r="L207" s="168">
        <f ca="1">IF($C207-L$1&lt;År1,0,K206*(1-VLOOKUP($A207,[1]Hugst!$R$5:$W$9,MATCH(ROUNDUP((L$1)/10,0)*10,[1]Hugst!$R$4:$W$4,0))))</f>
        <v>6083.3275025965149</v>
      </c>
      <c r="M207" s="168">
        <f ca="1">IF($C207-M$1&lt;År1,0,L206*(1-VLOOKUP($A207,[1]Hugst!$R$5:$W$9,MATCH(ROUNDUP((M$1)/10,0)*10,[1]Hugst!$R$4:$W$4,0))))</f>
        <v>6065.6986029274585</v>
      </c>
      <c r="N207" s="168">
        <f ca="1">IF($C207-N$1&lt;År1,0,M206*(1-VLOOKUP($A207,[1]Hugst!$R$5:$W$9,MATCH(ROUNDUP((N$1)/10,0)*10,[1]Hugst!$R$4:$W$4,0))))</f>
        <v>6048.0332787232483</v>
      </c>
      <c r="O207" s="168">
        <f ca="1">IF($C207-O$1&lt;År1,0,N206*(1-VLOOKUP($A207,[1]Hugst!$R$5:$W$9,MATCH(ROUNDUP((O$1)/10,0)*10,[1]Hugst!$R$4:$W$4,0))))</f>
        <v>10184.834476262193</v>
      </c>
      <c r="P207" s="168">
        <f ca="1">IF($C207-P$1&lt;År1,0,O206*(1-VLOOKUP($A207,[1]Hugst!$R$5:$W$9,MATCH(ROUNDUP((P$1)/10,0)*10,[1]Hugst!$R$4:$W$4,0))))</f>
        <v>10144.778082225792</v>
      </c>
      <c r="Q207" s="168">
        <f ca="1">IF($C207-Q$1&lt;År1,0,P206*(1-VLOOKUP($A207,[1]Hugst!$R$5:$W$9,MATCH(ROUNDUP((Q$1)/10,0)*10,[1]Hugst!$R$4:$W$4,0))))</f>
        <v>10127.186280215468</v>
      </c>
      <c r="R207" s="168">
        <f ca="1">IF($C207-R$1&lt;År1,0,Q206*(1-VLOOKUP($A207,[1]Hugst!$R$5:$W$9,MATCH(ROUNDUP((R$1)/10,0)*10,[1]Hugst!$R$4:$W$4,0))))</f>
        <v>10109.646279321003</v>
      </c>
      <c r="S207" s="168">
        <f ca="1">IF($C207-S$1&lt;År1,0,R206*(1-VLOOKUP($A207,[1]Hugst!$R$5:$W$9,MATCH(ROUNDUP((S$1)/10,0)*10,[1]Hugst!$R$4:$W$4,0))))</f>
        <v>10092.158003000661</v>
      </c>
      <c r="T207" s="168">
        <f ca="1">IF($C207-T$1&lt;År1,0,S206*(1-VLOOKUP($A207,[1]Hugst!$R$5:$W$9,MATCH(ROUNDUP((T$1)/10,0)*10,[1]Hugst!$R$4:$W$4,0))))</f>
        <v>10074.721374985502</v>
      </c>
      <c r="U207" s="168">
        <f ca="1">IF($C207-U$1&lt;År1,0,T206*(1-VLOOKUP($A207,[1]Hugst!$R$5:$W$9,MATCH(ROUNDUP((U$1)/10,0)*10,[1]Hugst!$R$4:$W$4,0))))</f>
        <v>10057.336319279169</v>
      </c>
      <c r="V207" s="168">
        <f ca="1">IF($C207-V$1&lt;År1,0,U206*(1-VLOOKUP($A207,[1]Hugst!$R$5:$W$9,MATCH(ROUNDUP((V$1)/10,0)*10,[1]Hugst!$R$4:$W$4,0))))</f>
        <v>10040.002760157369</v>
      </c>
      <c r="W207" s="168">
        <f ca="1">IF($C207-W$1&lt;År1,0,V206*(1-VLOOKUP($A207,[1]Hugst!$R$5:$W$9,MATCH(ROUNDUP((W$1)/10,0)*10,[1]Hugst!$R$4:$W$4,0))))</f>
        <v>10022.72062216785</v>
      </c>
      <c r="X207" s="168">
        <f ca="1">IF($C207-X$1&lt;År1,0,W206*(1-VLOOKUP($A207,[1]Hugst!$R$5:$W$9,MATCH(ROUNDUP((X$1)/10,0)*10,[1]Hugst!$R$4:$W$4,0))))</f>
        <v>10005.489830129725</v>
      </c>
      <c r="Y207" s="168">
        <f ca="1">IF($C207-Y$1&lt;År1,0,X206*(1-VLOOKUP($A207,[1]Hugst!$R$5:$W$9,MATCH(ROUNDUP((Y$1)/10,0)*10,[1]Hugst!$R$4:$W$4,0))))</f>
        <v>9988.3103091336088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(IF(B208="Vestdanmark",Skovbrug!$C$22-(Skovbrug!$C$22)*(1-Skovbrug!$C$9)^(C208-Skovbrug!$B$12),Skovbrug!$F$22-(Skovbrug!$F$22)*(1-Skovbrug!$C$9)^(C208-Skovbrug!$B$12)))*VLOOKUP(A208,Skovbrug!$A$13:$D$17,IF('Skovbrug-alder'!C208&lt;=År2,3,4),FALSE)
-IF(C208&gt;2020,SUM(INDEX($C$1:$D$311,MATCH(1,(2020=$C$1:$C$311)*(B208=$B$1:$B$311)*(A208=$A$1:$A$311),0),2):D207),0)</f>
        <v>884.71583428717713</v>
      </c>
      <c r="E208" s="168">
        <f t="shared" ca="1" si="4"/>
        <v>233.57839458424132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6196.0201355563086</v>
      </c>
      <c r="G208" s="168">
        <f ca="1">IF($C208-G$1&lt;År1,0,F207*(1-VLOOKUP($A208,[1]Hugst!$R$5:$W$9,MATCH(ROUNDUP((G$1)/10,0)*10,[1]Hugst!$R$4:$W$4,0))))</f>
        <v>6188.3397977168324</v>
      </c>
      <c r="H208" s="168">
        <f ca="1">IF($C208-H$1&lt;År1,0,G207*(1-VLOOKUP($A208,[1]Hugst!$R$5:$W$9,MATCH(ROUNDUP((H$1)/10,0)*10,[1]Hugst!$R$4:$W$4,0))))</f>
        <v>6170.9280164258789</v>
      </c>
      <c r="I208" s="168">
        <f ca="1">IF($C208-I$1&lt;År1,0,H207*(1-VLOOKUP($A208,[1]Hugst!$R$5:$W$9,MATCH(ROUNDUP((I$1)/10,0)*10,[1]Hugst!$R$4:$W$4,0))))</f>
        <v>6153.4802183825022</v>
      </c>
      <c r="J208" s="168">
        <f ca="1">IF($C208-J$1&lt;År1,0,I207*(1-VLOOKUP($A208,[1]Hugst!$R$5:$W$9,MATCH(ROUNDUP((J$1)/10,0)*10,[1]Hugst!$R$4:$W$4,0))))</f>
        <v>6135.996335850662</v>
      </c>
      <c r="K208" s="168">
        <f ca="1">IF($C208-K$1&lt;År1,0,J207*(1-VLOOKUP($A208,[1]Hugst!$R$5:$W$9,MATCH(ROUNDUP((K$1)/10,0)*10,[1]Hugst!$R$4:$W$4,0))))</f>
        <v>6118.4763010031775</v>
      </c>
      <c r="L208" s="168">
        <f ca="1">IF($C208-L$1&lt;År1,0,K207*(1-VLOOKUP($A208,[1]Hugst!$R$5:$W$9,MATCH(ROUNDUP((L$1)/10,0)*10,[1]Hugst!$R$4:$W$4,0))))</f>
        <v>6100.920045921589</v>
      </c>
      <c r="M208" s="168">
        <f ca="1">IF($C208-M$1&lt;År1,0,L207*(1-VLOOKUP($A208,[1]Hugst!$R$5:$W$9,MATCH(ROUNDUP((M$1)/10,0)*10,[1]Hugst!$R$4:$W$4,0))))</f>
        <v>6083.3275025965149</v>
      </c>
      <c r="N208" s="168">
        <f ca="1">IF($C208-N$1&lt;År1,0,M207*(1-VLOOKUP($A208,[1]Hugst!$R$5:$W$9,MATCH(ROUNDUP((N$1)/10,0)*10,[1]Hugst!$R$4:$W$4,0))))</f>
        <v>6065.6986029274585</v>
      </c>
      <c r="O208" s="168">
        <f ca="1">IF($C208-O$1&lt;År1,0,N207*(1-VLOOKUP($A208,[1]Hugst!$R$5:$W$9,MATCH(ROUNDUP((O$1)/10,0)*10,[1]Hugst!$R$4:$W$4,0))))</f>
        <v>6048.0332787232483</v>
      </c>
      <c r="P208" s="168">
        <f ca="1">IF($C208-P$1&lt;År1,0,O207*(1-VLOOKUP($A208,[1]Hugst!$R$5:$W$9,MATCH(ROUNDUP((P$1)/10,0)*10,[1]Hugst!$R$4:$W$4,0))))</f>
        <v>10162.477522533813</v>
      </c>
      <c r="Q208" s="168">
        <f ca="1">IF($C208-Q$1&lt;År1,0,P207*(1-VLOOKUP($A208,[1]Hugst!$R$5:$W$9,MATCH(ROUNDUP((Q$1)/10,0)*10,[1]Hugst!$R$4:$W$4,0))))</f>
        <v>10122.509057167248</v>
      </c>
      <c r="R208" s="168">
        <f ca="1">IF($C208-R$1&lt;År1,0,Q207*(1-VLOOKUP($A208,[1]Hugst!$R$5:$W$9,MATCH(ROUNDUP((R$1)/10,0)*10,[1]Hugst!$R$4:$W$4,0))))</f>
        <v>10104.955871307679</v>
      </c>
      <c r="S208" s="168">
        <f ca="1">IF($C208-S$1&lt;År1,0,R207*(1-VLOOKUP($A208,[1]Hugst!$R$5:$W$9,MATCH(ROUNDUP((S$1)/10,0)*10,[1]Hugst!$R$4:$W$4,0))))</f>
        <v>10087.454372854201</v>
      </c>
      <c r="T208" s="168">
        <f ca="1">IF($C208-T$1&lt;År1,0,S207*(1-VLOOKUP($A208,[1]Hugst!$R$5:$W$9,MATCH(ROUNDUP((T$1)/10,0)*10,[1]Hugst!$R$4:$W$4,0))))</f>
        <v>10070.004485433099</v>
      </c>
      <c r="U208" s="168">
        <f ca="1">IF($C208-U$1&lt;År1,0,T207*(1-VLOOKUP($A208,[1]Hugst!$R$5:$W$9,MATCH(ROUNDUP((U$1)/10,0)*10,[1]Hugst!$R$4:$W$4,0))))</f>
        <v>10052.60613294285</v>
      </c>
      <c r="V208" s="168">
        <f ca="1">IF($C208-V$1&lt;År1,0,U207*(1-VLOOKUP($A208,[1]Hugst!$R$5:$W$9,MATCH(ROUNDUP((V$1)/10,0)*10,[1]Hugst!$R$4:$W$4,0))))</f>
        <v>10035.259239553923</v>
      </c>
      <c r="W208" s="168">
        <f ca="1">IF($C208-W$1&lt;År1,0,V207*(1-VLOOKUP($A208,[1]Hugst!$R$5:$W$9,MATCH(ROUNDUP((W$1)/10,0)*10,[1]Hugst!$R$4:$W$4,0))))</f>
        <v>10017.963729708243</v>
      </c>
      <c r="X208" s="168">
        <f ca="1">IF($C208-X$1&lt;År1,0,W207*(1-VLOOKUP($A208,[1]Hugst!$R$5:$W$9,MATCH(ROUNDUP((X$1)/10,0)*10,[1]Hugst!$R$4:$W$4,0))))</f>
        <v>10000.719528119189</v>
      </c>
      <c r="Y208" s="168">
        <f ca="1">IF($C208-Y$1&lt;År1,0,X207*(1-VLOOKUP($A208,[1]Hugst!$R$5:$W$9,MATCH(ROUNDUP((Y$1)/10,0)*10,[1]Hugst!$R$4:$W$4,0))))</f>
        <v>9983.526559770904</v>
      </c>
      <c r="Z208" s="168">
        <f ca="1">IF($C208-Z$1&lt;År1,0,Y207*(1-VLOOKUP($A208,[1]Hugst!$R$5:$W$9,MATCH(ROUNDUP((Z$1)/10,0)*10,[1]Hugst!$R$4:$W$4,0))))</f>
        <v>9976.1294429029585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(IF(B209="Vestdanmark",Skovbrug!$C$22-(Skovbrug!$C$22)*(1-Skovbrug!$C$9)^(C209-Skovbrug!$B$12),Skovbrug!$F$22-(Skovbrug!$F$22)*(1-Skovbrug!$C$9)^(C209-Skovbrug!$B$12)))*VLOOKUP(A209,Skovbrug!$A$13:$D$17,IF('Skovbrug-alder'!C209&lt;=År2,3,4),FALSE)
-IF(C209&gt;2020,SUM(INDEX($C$1:$D$311,MATCH(1,(2020=$C$1:$C$311)*(B209=$B$1:$B$311)*(A209=$A$1:$A$311),0),2):D208),0)</f>
        <v>880.29225511574259</v>
      </c>
      <c r="E209" s="168">
        <f t="shared" ca="1" si="4"/>
        <v>236.61368999473052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6194.6318517953632</v>
      </c>
      <c r="G209" s="168">
        <f ca="1">IF($C209-G$1&lt;År1,0,F208*(1-VLOOKUP($A209,[1]Hugst!$R$5:$W$9,MATCH(ROUNDUP((G$1)/10,0)*10,[1]Hugst!$R$4:$W$4,0))))</f>
        <v>6196.0201355563086</v>
      </c>
      <c r="H209" s="168">
        <f ca="1">IF($C209-H$1&lt;År1,0,G208*(1-VLOOKUP($A209,[1]Hugst!$R$5:$W$9,MATCH(ROUNDUP((H$1)/10,0)*10,[1]Hugst!$R$4:$W$4,0))))</f>
        <v>6188.3397977168324</v>
      </c>
      <c r="I209" s="168">
        <f ca="1">IF($C209-I$1&lt;År1,0,H208*(1-VLOOKUP($A209,[1]Hugst!$R$5:$W$9,MATCH(ROUNDUP((I$1)/10,0)*10,[1]Hugst!$R$4:$W$4,0))))</f>
        <v>6170.9280164258789</v>
      </c>
      <c r="J209" s="168">
        <f ca="1">IF($C209-J$1&lt;År1,0,I208*(1-VLOOKUP($A209,[1]Hugst!$R$5:$W$9,MATCH(ROUNDUP((J$1)/10,0)*10,[1]Hugst!$R$4:$W$4,0))))</f>
        <v>6153.4802183825022</v>
      </c>
      <c r="K209" s="168">
        <f ca="1">IF($C209-K$1&lt;År1,0,J208*(1-VLOOKUP($A209,[1]Hugst!$R$5:$W$9,MATCH(ROUNDUP((K$1)/10,0)*10,[1]Hugst!$R$4:$W$4,0))))</f>
        <v>6135.996335850662</v>
      </c>
      <c r="L209" s="168">
        <f ca="1">IF($C209-L$1&lt;År1,0,K208*(1-VLOOKUP($A209,[1]Hugst!$R$5:$W$9,MATCH(ROUNDUP((L$1)/10,0)*10,[1]Hugst!$R$4:$W$4,0))))</f>
        <v>6118.4763010031775</v>
      </c>
      <c r="M209" s="168">
        <f ca="1">IF($C209-M$1&lt;År1,0,L208*(1-VLOOKUP($A209,[1]Hugst!$R$5:$W$9,MATCH(ROUNDUP((M$1)/10,0)*10,[1]Hugst!$R$4:$W$4,0))))</f>
        <v>6100.920045921589</v>
      </c>
      <c r="N209" s="168">
        <f ca="1">IF($C209-N$1&lt;År1,0,M208*(1-VLOOKUP($A209,[1]Hugst!$R$5:$W$9,MATCH(ROUNDUP((N$1)/10,0)*10,[1]Hugst!$R$4:$W$4,0))))</f>
        <v>6083.3275025965149</v>
      </c>
      <c r="O209" s="168">
        <f ca="1">IF($C209-O$1&lt;År1,0,N208*(1-VLOOKUP($A209,[1]Hugst!$R$5:$W$9,MATCH(ROUNDUP((O$1)/10,0)*10,[1]Hugst!$R$4:$W$4,0))))</f>
        <v>6065.6986029274585</v>
      </c>
      <c r="P209" s="168">
        <f ca="1">IF($C209-P$1&lt;År1,0,O208*(1-VLOOKUP($A209,[1]Hugst!$R$5:$W$9,MATCH(ROUNDUP((P$1)/10,0)*10,[1]Hugst!$R$4:$W$4,0))))</f>
        <v>6034.7571081114165</v>
      </c>
      <c r="Q209" s="168">
        <f ca="1">IF($C209-Q$1&lt;År1,0,P208*(1-VLOOKUP($A209,[1]Hugst!$R$5:$W$9,MATCH(ROUNDUP((Q$1)/10,0)*10,[1]Hugst!$R$4:$W$4,0))))</f>
        <v>10140.169645045324</v>
      </c>
      <c r="R209" s="168">
        <f ca="1">IF($C209-R$1&lt;År1,0,Q208*(1-VLOOKUP($A209,[1]Hugst!$R$5:$W$9,MATCH(ROUNDUP((R$1)/10,0)*10,[1]Hugst!$R$4:$W$4,0))))</f>
        <v>10100.288915334442</v>
      </c>
      <c r="S209" s="168">
        <f ca="1">IF($C209-S$1&lt;År1,0,R208*(1-VLOOKUP($A209,[1]Hugst!$R$5:$W$9,MATCH(ROUNDUP((S$1)/10,0)*10,[1]Hugst!$R$4:$W$4,0))))</f>
        <v>10082.774260858467</v>
      </c>
      <c r="T209" s="168">
        <f ca="1">IF($C209-T$1&lt;År1,0,S208*(1-VLOOKUP($A209,[1]Hugst!$R$5:$W$9,MATCH(ROUNDUP((T$1)/10,0)*10,[1]Hugst!$R$4:$W$4,0))))</f>
        <v>10065.311180328423</v>
      </c>
      <c r="U209" s="168">
        <f ca="1">IF($C209-U$1&lt;År1,0,T208*(1-VLOOKUP($A209,[1]Hugst!$R$5:$W$9,MATCH(ROUNDUP((U$1)/10,0)*10,[1]Hugst!$R$4:$W$4,0))))</f>
        <v>10047.899597538246</v>
      </c>
      <c r="V209" s="168">
        <f ca="1">IF($C209-V$1&lt;År1,0,U208*(1-VLOOKUP($A209,[1]Hugst!$R$5:$W$9,MATCH(ROUNDUP((V$1)/10,0)*10,[1]Hugst!$R$4:$W$4,0))))</f>
        <v>10030.539436553463</v>
      </c>
      <c r="W209" s="168">
        <f ca="1">IF($C209-W$1&lt;År1,0,V208*(1-VLOOKUP($A209,[1]Hugst!$R$5:$W$9,MATCH(ROUNDUP((W$1)/10,0)*10,[1]Hugst!$R$4:$W$4,0))))</f>
        <v>10013.230621711</v>
      </c>
      <c r="X209" s="168">
        <f ca="1">IF($C209-X$1&lt;År1,0,W208*(1-VLOOKUP($A209,[1]Hugst!$R$5:$W$9,MATCH(ROUNDUP((X$1)/10,0)*10,[1]Hugst!$R$4:$W$4,0))))</f>
        <v>9995.9730776186389</v>
      </c>
      <c r="Y209" s="168">
        <f ca="1">IF($C209-Y$1&lt;År1,0,X208*(1-VLOOKUP($A209,[1]Hugst!$R$5:$W$9,MATCH(ROUNDUP((Y$1)/10,0)*10,[1]Hugst!$R$4:$W$4,0))))</f>
        <v>9978.7667291550242</v>
      </c>
      <c r="Z209" s="168">
        <f ca="1">IF($C209-Z$1&lt;År1,0,Y208*(1-VLOOKUP($A209,[1]Hugst!$R$5:$W$9,MATCH(ROUNDUP((Z$1)/10,0)*10,[1]Hugst!$R$4:$W$4,0))))</f>
        <v>9971.3515273809389</v>
      </c>
      <c r="AA209" s="168">
        <f ca="1">IF($C209-AA$1&lt;År1,0,Z208*(1-VLOOKUP($A209,[1]Hugst!$R$5:$W$9,MATCH(ROUNDUP((AA$1)/10,0)*10,[1]Hugst!$R$4:$W$4,0))))</f>
        <v>9963.963431387223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(IF(B210="Vestdanmark",Skovbrug!$C$22-(Skovbrug!$C$22)*(1-Skovbrug!$C$9)^(C210-Skovbrug!$B$12),Skovbrug!$F$22-(Skovbrug!$F$22)*(1-Skovbrug!$C$9)^(C210-Skovbrug!$B$12)))*VLOOKUP(A210,Skovbrug!$A$13:$D$17,IF('Skovbrug-alder'!C210&lt;=År2,3,4),FALSE)
-IF(C210&gt;2020,SUM(INDEX($C$1:$D$311,MATCH(1,(2020=$C$1:$C$311)*(B210=$B$1:$B$311)*(A210=$A$1:$A$311),0),2):D209),0)</f>
        <v>875.89079384019351</v>
      </c>
      <c r="E210" s="168">
        <f t="shared" ca="1" si="4"/>
        <v>239.69760742777726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6193.3143079528609</v>
      </c>
      <c r="G210" s="168">
        <f ca="1">IF($C210-G$1&lt;År1,0,F209*(1-VLOOKUP($A210,[1]Hugst!$R$5:$W$9,MATCH(ROUNDUP((G$1)/10,0)*10,[1]Hugst!$R$4:$W$4,0))))</f>
        <v>6194.6318517953632</v>
      </c>
      <c r="H210" s="168">
        <f ca="1">IF($C210-H$1&lt;År1,0,G209*(1-VLOOKUP($A210,[1]Hugst!$R$5:$W$9,MATCH(ROUNDUP((H$1)/10,0)*10,[1]Hugst!$R$4:$W$4,0))))</f>
        <v>6196.0201355563086</v>
      </c>
      <c r="I210" s="168">
        <f ca="1">IF($C210-I$1&lt;År1,0,H209*(1-VLOOKUP($A210,[1]Hugst!$R$5:$W$9,MATCH(ROUNDUP((I$1)/10,0)*10,[1]Hugst!$R$4:$W$4,0))))</f>
        <v>6188.3397977168324</v>
      </c>
      <c r="J210" s="168">
        <f ca="1">IF($C210-J$1&lt;År1,0,I209*(1-VLOOKUP($A210,[1]Hugst!$R$5:$W$9,MATCH(ROUNDUP((J$1)/10,0)*10,[1]Hugst!$R$4:$W$4,0))))</f>
        <v>6170.9280164258789</v>
      </c>
      <c r="K210" s="168">
        <f ca="1">IF($C210-K$1&lt;År1,0,J209*(1-VLOOKUP($A210,[1]Hugst!$R$5:$W$9,MATCH(ROUNDUP((K$1)/10,0)*10,[1]Hugst!$R$4:$W$4,0))))</f>
        <v>6153.4802183825022</v>
      </c>
      <c r="L210" s="168">
        <f ca="1">IF($C210-L$1&lt;År1,0,K209*(1-VLOOKUP($A210,[1]Hugst!$R$5:$W$9,MATCH(ROUNDUP((L$1)/10,0)*10,[1]Hugst!$R$4:$W$4,0))))</f>
        <v>6135.996335850662</v>
      </c>
      <c r="M210" s="168">
        <f ca="1">IF($C210-M$1&lt;År1,0,L209*(1-VLOOKUP($A210,[1]Hugst!$R$5:$W$9,MATCH(ROUNDUP((M$1)/10,0)*10,[1]Hugst!$R$4:$W$4,0))))</f>
        <v>6118.4763010031775</v>
      </c>
      <c r="N210" s="168">
        <f ca="1">IF($C210-N$1&lt;År1,0,M209*(1-VLOOKUP($A210,[1]Hugst!$R$5:$W$9,MATCH(ROUNDUP((N$1)/10,0)*10,[1]Hugst!$R$4:$W$4,0))))</f>
        <v>6100.920045921589</v>
      </c>
      <c r="O210" s="168">
        <f ca="1">IF($C210-O$1&lt;År1,0,N209*(1-VLOOKUP($A210,[1]Hugst!$R$5:$W$9,MATCH(ROUNDUP((O$1)/10,0)*10,[1]Hugst!$R$4:$W$4,0))))</f>
        <v>6083.3275025965149</v>
      </c>
      <c r="P210" s="168">
        <f ca="1">IF($C210-P$1&lt;År1,0,O209*(1-VLOOKUP($A210,[1]Hugst!$R$5:$W$9,MATCH(ROUNDUP((P$1)/10,0)*10,[1]Hugst!$R$4:$W$4,0))))</f>
        <v>6052.3836547746905</v>
      </c>
      <c r="Q210" s="168">
        <f ca="1">IF($C210-Q$1&lt;År1,0,P209*(1-VLOOKUP($A210,[1]Hugst!$R$5:$W$9,MATCH(ROUNDUP((Q$1)/10,0)*10,[1]Hugst!$R$4:$W$4,0))))</f>
        <v>6021.5100803131236</v>
      </c>
      <c r="R210" s="168">
        <f ca="1">IF($C210-R$1&lt;År1,0,Q209*(1-VLOOKUP($A210,[1]Hugst!$R$5:$W$9,MATCH(ROUNDUP((R$1)/10,0)*10,[1]Hugst!$R$4:$W$4,0))))</f>
        <v>10117.910736068396</v>
      </c>
      <c r="S210" s="168">
        <f ca="1">IF($C210-S$1&lt;År1,0,R209*(1-VLOOKUP($A210,[1]Hugst!$R$5:$W$9,MATCH(ROUNDUP((S$1)/10,0)*10,[1]Hugst!$R$4:$W$4,0))))</f>
        <v>10078.117549422732</v>
      </c>
      <c r="T210" s="168">
        <f ca="1">IF($C210-T$1&lt;År1,0,S209*(1-VLOOKUP($A210,[1]Hugst!$R$5:$W$9,MATCH(ROUNDUP((T$1)/10,0)*10,[1]Hugst!$R$4:$W$4,0))))</f>
        <v>10060.641341749266</v>
      </c>
      <c r="U210" s="168">
        <f ca="1">IF($C210-U$1&lt;År1,0,T209*(1-VLOOKUP($A210,[1]Hugst!$R$5:$W$9,MATCH(ROUNDUP((U$1)/10,0)*10,[1]Hugst!$R$4:$W$4,0))))</f>
        <v>10043.216594810629</v>
      </c>
      <c r="V210" s="168">
        <f ca="1">IF($C210-V$1&lt;År1,0,U209*(1-VLOOKUP($A210,[1]Hugst!$R$5:$W$9,MATCH(ROUNDUP((V$1)/10,0)*10,[1]Hugst!$R$4:$W$4,0))))</f>
        <v>10025.843232568041</v>
      </c>
      <c r="W210" s="168">
        <f ca="1">IF($C210-W$1&lt;År1,0,V209*(1-VLOOKUP($A210,[1]Hugst!$R$5:$W$9,MATCH(ROUNDUP((W$1)/10,0)*10,[1]Hugst!$R$4:$W$4,0))))</f>
        <v>10008.521179253712</v>
      </c>
      <c r="X210" s="168">
        <f ca="1">IF($C210-X$1&lt;År1,0,W209*(1-VLOOKUP($A210,[1]Hugst!$R$5:$W$9,MATCH(ROUNDUP((X$1)/10,0)*10,[1]Hugst!$R$4:$W$4,0))))</f>
        <v>9991.2503593706588</v>
      </c>
      <c r="Y210" s="168">
        <f ca="1">IF($C210-Y$1&lt;År1,0,X209*(1-VLOOKUP($A210,[1]Hugst!$R$5:$W$9,MATCH(ROUNDUP((Y$1)/10,0)*10,[1]Hugst!$R$4:$W$4,0))))</f>
        <v>9974.0306976921584</v>
      </c>
      <c r="Z210" s="168">
        <f ca="1">IF($C210-Z$1&lt;År1,0,Y209*(1-VLOOKUP($A210,[1]Hugst!$R$5:$W$9,MATCH(ROUNDUP((Z$1)/10,0)*10,[1]Hugst!$R$4:$W$4,0))))</f>
        <v>9966.5975014365431</v>
      </c>
      <c r="AA210" s="168">
        <f ca="1">IF($C210-AA$1&lt;År1,0,Z209*(1-VLOOKUP($A210,[1]Hugst!$R$5:$W$9,MATCH(ROUNDUP((AA$1)/10,0)*10,[1]Hugst!$R$4:$W$4,0))))</f>
        <v>9959.1913425914499</v>
      </c>
      <c r="AB210" s="168">
        <f ca="1">IF($C210-AB$1&lt;År1,0,AA209*(1-VLOOKUP($A210,[1]Hugst!$R$5:$W$9,MATCH(ROUNDUP((AB$1)/10,0)*10,[1]Hugst!$R$4:$W$4,0))))</f>
        <v>9951.8122564708974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(IF(B211="Vestdanmark",Skovbrug!$C$22-(Skovbrug!$C$22)*(1-Skovbrug!$C$9)^(C211-Skovbrug!$B$12),Skovbrug!$F$22-(Skovbrug!$F$22)*(1-Skovbrug!$C$9)^(C211-Skovbrug!$B$12)))*VLOOKUP(A211,Skovbrug!$A$13:$D$17,IF('Skovbrug-alder'!C211&lt;=År2,3,4),FALSE)
-IF(C211&gt;2020,SUM(INDEX($C$1:$D$311,MATCH(1,(2020=$C$1:$C$311)*(B211=$B$1:$B$311)*(A211=$A$1:$A$311),0),2):D210),0)</f>
        <v>871.51133987093999</v>
      </c>
      <c r="E211" s="168">
        <f t="shared" ca="1" si="4"/>
        <v>242.82991684618173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6192.0671634020118</v>
      </c>
      <c r="G211" s="168">
        <f ca="1">IF($C211-G$1&lt;År1,0,F210*(1-VLOOKUP($A211,[1]Hugst!$R$5:$W$9,MATCH(ROUNDUP((G$1)/10,0)*10,[1]Hugst!$R$4:$W$4,0))))</f>
        <v>6193.3143079528609</v>
      </c>
      <c r="H211" s="168">
        <f ca="1">IF($C211-H$1&lt;År1,0,G210*(1-VLOOKUP($A211,[1]Hugst!$R$5:$W$9,MATCH(ROUNDUP((H$1)/10,0)*10,[1]Hugst!$R$4:$W$4,0))))</f>
        <v>6194.6318517953632</v>
      </c>
      <c r="I211" s="168">
        <f ca="1">IF($C211-I$1&lt;År1,0,H210*(1-VLOOKUP($A211,[1]Hugst!$R$5:$W$9,MATCH(ROUNDUP((I$1)/10,0)*10,[1]Hugst!$R$4:$W$4,0))))</f>
        <v>6196.0201355563086</v>
      </c>
      <c r="J211" s="168">
        <f ca="1">IF($C211-J$1&lt;År1,0,I210*(1-VLOOKUP($A211,[1]Hugst!$R$5:$W$9,MATCH(ROUNDUP((J$1)/10,0)*10,[1]Hugst!$R$4:$W$4,0))))</f>
        <v>6188.3397977168324</v>
      </c>
      <c r="K211" s="168">
        <f ca="1">IF($C211-K$1&lt;År1,0,J210*(1-VLOOKUP($A211,[1]Hugst!$R$5:$W$9,MATCH(ROUNDUP((K$1)/10,0)*10,[1]Hugst!$R$4:$W$4,0))))</f>
        <v>6170.9280164258789</v>
      </c>
      <c r="L211" s="168">
        <f ca="1">IF($C211-L$1&lt;År1,0,K210*(1-VLOOKUP($A211,[1]Hugst!$R$5:$W$9,MATCH(ROUNDUP((L$1)/10,0)*10,[1]Hugst!$R$4:$W$4,0))))</f>
        <v>6153.4802183825022</v>
      </c>
      <c r="M211" s="168">
        <f ca="1">IF($C211-M$1&lt;År1,0,L210*(1-VLOOKUP($A211,[1]Hugst!$R$5:$W$9,MATCH(ROUNDUP((M$1)/10,0)*10,[1]Hugst!$R$4:$W$4,0))))</f>
        <v>6135.996335850662</v>
      </c>
      <c r="N211" s="168">
        <f ca="1">IF($C211-N$1&lt;År1,0,M210*(1-VLOOKUP($A211,[1]Hugst!$R$5:$W$9,MATCH(ROUNDUP((N$1)/10,0)*10,[1]Hugst!$R$4:$W$4,0))))</f>
        <v>6118.4763010031775</v>
      </c>
      <c r="O211" s="168">
        <f ca="1">IF($C211-O$1&lt;År1,0,N210*(1-VLOOKUP($A211,[1]Hugst!$R$5:$W$9,MATCH(ROUNDUP((O$1)/10,0)*10,[1]Hugst!$R$4:$W$4,0))))</f>
        <v>6100.920045921589</v>
      </c>
      <c r="P211" s="168">
        <f ca="1">IF($C211-P$1&lt;År1,0,O210*(1-VLOOKUP($A211,[1]Hugst!$R$5:$W$9,MATCH(ROUNDUP((P$1)/10,0)*10,[1]Hugst!$R$4:$W$4,0))))</f>
        <v>6069.9738568591083</v>
      </c>
      <c r="Q211" s="168">
        <f ca="1">IF($C211-Q$1&lt;År1,0,P210*(1-VLOOKUP($A211,[1]Hugst!$R$5:$W$9,MATCH(ROUNDUP((Q$1)/10,0)*10,[1]Hugst!$R$4:$W$4,0))))</f>
        <v>6039.0979345568921</v>
      </c>
      <c r="R211" s="168">
        <f ca="1">IF($C211-R$1&lt;År1,0,Q210*(1-VLOOKUP($A211,[1]Hugst!$R$5:$W$9,MATCH(ROUNDUP((R$1)/10,0)*10,[1]Hugst!$R$4:$W$4,0))))</f>
        <v>6008.2921313563384</v>
      </c>
      <c r="S211" s="168">
        <f ca="1">IF($C211-S$1&lt;År1,0,R210*(1-VLOOKUP($A211,[1]Hugst!$R$5:$W$9,MATCH(ROUNDUP((S$1)/10,0)*10,[1]Hugst!$R$4:$W$4,0))))</f>
        <v>10095.700688111172</v>
      </c>
      <c r="T211" s="168">
        <f ca="1">IF($C211-T$1&lt;År1,0,S210*(1-VLOOKUP($A211,[1]Hugst!$R$5:$W$9,MATCH(ROUNDUP((T$1)/10,0)*10,[1]Hugst!$R$4:$W$4,0))))</f>
        <v>10055.994852363023</v>
      </c>
      <c r="U211" s="168">
        <f ca="1">IF($C211-U$1&lt;År1,0,T210*(1-VLOOKUP($A211,[1]Hugst!$R$5:$W$9,MATCH(ROUNDUP((U$1)/10,0)*10,[1]Hugst!$R$4:$W$4,0))))</f>
        <v>10038.557007096646</v>
      </c>
      <c r="V211" s="168">
        <f ca="1">IF($C211-V$1&lt;År1,0,U210*(1-VLOOKUP($A211,[1]Hugst!$R$5:$W$9,MATCH(ROUNDUP((V$1)/10,0)*10,[1]Hugst!$R$4:$W$4,0))))</f>
        <v>10021.170509602507</v>
      </c>
      <c r="W211" s="168">
        <f ca="1">IF($C211-W$1&lt;År1,0,V210*(1-VLOOKUP($A211,[1]Hugst!$R$5:$W$9,MATCH(ROUNDUP((W$1)/10,0)*10,[1]Hugst!$R$4:$W$4,0))))</f>
        <v>10003.835284008745</v>
      </c>
      <c r="X211" s="168">
        <f ca="1">IF($C211-X$1&lt;År1,0,W210*(1-VLOOKUP($A211,[1]Hugst!$R$5:$W$9,MATCH(ROUNDUP((X$1)/10,0)*10,[1]Hugst!$R$4:$W$4,0))))</f>
        <v>9986.551254713886</v>
      </c>
      <c r="Y211" s="168">
        <f ca="1">IF($C211-Y$1&lt;År1,0,X210*(1-VLOOKUP($A211,[1]Hugst!$R$5:$W$9,MATCH(ROUNDUP((Y$1)/10,0)*10,[1]Hugst!$R$4:$W$4,0))))</f>
        <v>9969.3183463866735</v>
      </c>
      <c r="Z211" s="168">
        <f ca="1">IF($C211-Z$1&lt;År1,0,Y210*(1-VLOOKUP($A211,[1]Hugst!$R$5:$W$9,MATCH(ROUNDUP((Z$1)/10,0)*10,[1]Hugst!$R$4:$W$4,0))))</f>
        <v>9961.8672456218028</v>
      </c>
      <c r="AA211" s="168">
        <f ca="1">IF($C211-AA$1&lt;År1,0,Z210*(1-VLOOKUP($A211,[1]Hugst!$R$5:$W$9,MATCH(ROUNDUP((AA$1)/10,0)*10,[1]Hugst!$R$4:$W$4,0))))</f>
        <v>9954.4431142396697</v>
      </c>
      <c r="AB211" s="168">
        <f ca="1">IF($C211-AB$1&lt;År1,0,AA210*(1-VLOOKUP($A211,[1]Hugst!$R$5:$W$9,MATCH(ROUNDUP((AB$1)/10,0)*10,[1]Hugst!$R$4:$W$4,0))))</f>
        <v>9947.0459872956071</v>
      </c>
      <c r="AC211" s="168">
        <f ca="1">IF($C211-AC$1&lt;År1,0,AB210*(1-VLOOKUP($A211,[1]Hugst!$R$5:$W$9,MATCH(ROUNDUP((AC$1)/10,0)*10,[1]Hugst!$R$4:$W$4,0))))</f>
        <v>9939.6759000605671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(IF(B212="Vestdanmark",Skovbrug!$C$22-(Skovbrug!$C$22)*(1-Skovbrug!$C$9)^(C212-Skovbrug!$B$12),Skovbrug!$F$22-(Skovbrug!$F$22)*(1-Skovbrug!$C$9)^(C212-Skovbrug!$B$12)))*VLOOKUP(A212,Skovbrug!$A$13:$D$17,IF('Skovbrug-alder'!C212&lt;=År2,3,4),FALSE)
-IF(C212&gt;2020,SUM(INDEX($C$1:$D$311,MATCH(1,(2020=$C$1:$C$311)*(B212=$B$1:$B$311)*(A212=$A$1:$A$311),0),2):D211),0)</f>
        <v>867.15378317160503</v>
      </c>
      <c r="E212" s="168">
        <f t="shared" ca="1" si="4"/>
        <v>246.01038903644076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6190.8900788929359</v>
      </c>
      <c r="G212" s="168">
        <f ca="1">IF($C212-G$1&lt;År1,0,F211*(1-VLOOKUP($A212,[1]Hugst!$R$5:$W$9,MATCH(ROUNDUP((G$1)/10,0)*10,[1]Hugst!$R$4:$W$4,0))))</f>
        <v>6192.0671634020118</v>
      </c>
      <c r="H212" s="168">
        <f ca="1">IF($C212-H$1&lt;År1,0,G211*(1-VLOOKUP($A212,[1]Hugst!$R$5:$W$9,MATCH(ROUNDUP((H$1)/10,0)*10,[1]Hugst!$R$4:$W$4,0))))</f>
        <v>6193.3143079528609</v>
      </c>
      <c r="I212" s="168">
        <f ca="1">IF($C212-I$1&lt;År1,0,H211*(1-VLOOKUP($A212,[1]Hugst!$R$5:$W$9,MATCH(ROUNDUP((I$1)/10,0)*10,[1]Hugst!$R$4:$W$4,0))))</f>
        <v>6194.6318517953632</v>
      </c>
      <c r="J212" s="168">
        <f ca="1">IF($C212-J$1&lt;År1,0,I211*(1-VLOOKUP($A212,[1]Hugst!$R$5:$W$9,MATCH(ROUNDUP((J$1)/10,0)*10,[1]Hugst!$R$4:$W$4,0))))</f>
        <v>6196.0201355563086</v>
      </c>
      <c r="K212" s="168">
        <f ca="1">IF($C212-K$1&lt;År1,0,J211*(1-VLOOKUP($A212,[1]Hugst!$R$5:$W$9,MATCH(ROUNDUP((K$1)/10,0)*10,[1]Hugst!$R$4:$W$4,0))))</f>
        <v>6188.3397977168324</v>
      </c>
      <c r="L212" s="168">
        <f ca="1">IF($C212-L$1&lt;År1,0,K211*(1-VLOOKUP($A212,[1]Hugst!$R$5:$W$9,MATCH(ROUNDUP((L$1)/10,0)*10,[1]Hugst!$R$4:$W$4,0))))</f>
        <v>6170.9280164258789</v>
      </c>
      <c r="M212" s="168">
        <f ca="1">IF($C212-M$1&lt;År1,0,L211*(1-VLOOKUP($A212,[1]Hugst!$R$5:$W$9,MATCH(ROUNDUP((M$1)/10,0)*10,[1]Hugst!$R$4:$W$4,0))))</f>
        <v>6153.4802183825022</v>
      </c>
      <c r="N212" s="168">
        <f ca="1">IF($C212-N$1&lt;År1,0,M211*(1-VLOOKUP($A212,[1]Hugst!$R$5:$W$9,MATCH(ROUNDUP((N$1)/10,0)*10,[1]Hugst!$R$4:$W$4,0))))</f>
        <v>6135.996335850662</v>
      </c>
      <c r="O212" s="168">
        <f ca="1">IF($C212-O$1&lt;År1,0,N211*(1-VLOOKUP($A212,[1]Hugst!$R$5:$W$9,MATCH(ROUNDUP((O$1)/10,0)*10,[1]Hugst!$R$4:$W$4,0))))</f>
        <v>6118.4763010031775</v>
      </c>
      <c r="P212" s="168">
        <f ca="1">IF($C212-P$1&lt;År1,0,O211*(1-VLOOKUP($A212,[1]Hugst!$R$5:$W$9,MATCH(ROUNDUP((P$1)/10,0)*10,[1]Hugst!$R$4:$W$4,0))))</f>
        <v>6087.5277824061513</v>
      </c>
      <c r="Q212" s="168">
        <f ca="1">IF($C212-Q$1&lt;År1,0,P211*(1-VLOOKUP($A212,[1]Hugst!$R$5:$W$9,MATCH(ROUNDUP((Q$1)/10,0)*10,[1]Hugst!$R$4:$W$4,0))))</f>
        <v>6056.6495240025879</v>
      </c>
      <c r="R212" s="168">
        <f ca="1">IF($C212-R$1&lt;År1,0,Q211*(1-VLOOKUP($A212,[1]Hugst!$R$5:$W$9,MATCH(ROUNDUP((R$1)/10,0)*10,[1]Hugst!$R$4:$W$4,0))))</f>
        <v>6025.8413781151821</v>
      </c>
      <c r="S212" s="168">
        <f ca="1">IF($C212-S$1&lt;År1,0,R211*(1-VLOOKUP($A212,[1]Hugst!$R$5:$W$9,MATCH(ROUNDUP((S$1)/10,0)*10,[1]Hugst!$R$4:$W$4,0))))</f>
        <v>5995.1031974094585</v>
      </c>
      <c r="T212" s="168">
        <f ca="1">IF($C212-T$1&lt;År1,0,S211*(1-VLOOKUP($A212,[1]Hugst!$R$5:$W$9,MATCH(ROUNDUP((T$1)/10,0)*10,[1]Hugst!$R$4:$W$4,0))))</f>
        <v>10073.539393917757</v>
      </c>
      <c r="U212" s="168">
        <f ca="1">IF($C212-U$1&lt;År1,0,T211*(1-VLOOKUP($A212,[1]Hugst!$R$5:$W$9,MATCH(ROUNDUP((U$1)/10,0)*10,[1]Hugst!$R$4:$W$4,0))))</f>
        <v>10033.920717321251</v>
      </c>
      <c r="V212" s="168">
        <f ca="1">IF($C212-V$1&lt;År1,0,U211*(1-VLOOKUP($A212,[1]Hugst!$R$5:$W$9,MATCH(ROUNDUP((V$1)/10,0)*10,[1]Hugst!$R$4:$W$4,0))))</f>
        <v>10016.5211502518</v>
      </c>
      <c r="W212" s="168">
        <f ca="1">IF($C212-W$1&lt;År1,0,V211*(1-VLOOKUP($A212,[1]Hugst!$R$5:$W$9,MATCH(ROUNDUP((W$1)/10,0)*10,[1]Hugst!$R$4:$W$4,0))))</f>
        <v>9999.1728182399656</v>
      </c>
      <c r="X212" s="168">
        <f ca="1">IF($C212-X$1&lt;År1,0,W211*(1-VLOOKUP($A212,[1]Hugst!$R$5:$W$9,MATCH(ROUNDUP((X$1)/10,0)*10,[1]Hugst!$R$4:$W$4,0))))</f>
        <v>9981.8756455804323</v>
      </c>
      <c r="Y212" s="168">
        <f ca="1">IF($C212-Y$1&lt;År1,0,X211*(1-VLOOKUP($A212,[1]Hugst!$R$5:$W$9,MATCH(ROUNDUP((Y$1)/10,0)*10,[1]Hugst!$R$4:$W$4,0))))</f>
        <v>9964.6295568376845</v>
      </c>
      <c r="Z212" s="168">
        <f ca="1">IF($C212-Z$1&lt;År1,0,Y211*(1-VLOOKUP($A212,[1]Hugst!$R$5:$W$9,MATCH(ROUNDUP((Z$1)/10,0)*10,[1]Hugst!$R$4:$W$4,0))))</f>
        <v>9957.1606410862023</v>
      </c>
      <c r="AA212" s="168">
        <f ca="1">IF($C212-AA$1&lt;År1,0,Z211*(1-VLOOKUP($A212,[1]Hugst!$R$5:$W$9,MATCH(ROUNDUP((AA$1)/10,0)*10,[1]Hugst!$R$4:$W$4,0))))</f>
        <v>9949.7186270295806</v>
      </c>
      <c r="AB212" s="168">
        <f ca="1">IF($C212-AB$1&lt;År1,0,AA211*(1-VLOOKUP($A212,[1]Hugst!$R$5:$W$9,MATCH(ROUNDUP((AB$1)/10,0)*10,[1]Hugst!$R$4:$W$4,0))))</f>
        <v>9942.3035494662072</v>
      </c>
      <c r="AC212" s="168">
        <f ca="1">IF($C212-AC$1&lt;År1,0,AB211*(1-VLOOKUP($A212,[1]Hugst!$R$5:$W$9,MATCH(ROUNDUP((AC$1)/10,0)*10,[1]Hugst!$R$4:$W$4,0))))</f>
        <v>9934.9154434086613</v>
      </c>
      <c r="AD212" s="168">
        <f ca="1">IF($C212-AD$1&lt;År1,0,AC211*(1-VLOOKUP($A212,[1]Hugst!$R$5:$W$9,MATCH(ROUNDUP((AD$1)/10,0)*10,[1]Hugst!$R$4:$W$4,0))))</f>
        <v>9927.5543440848833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(IF(B213="Vestdanmark",Skovbrug!$C$22-(Skovbrug!$C$22)*(1-Skovbrug!$C$9)^(C213-Skovbrug!$B$12),Skovbrug!$F$22-(Skovbrug!$F$22)*(1-Skovbrug!$C$9)^(C213-Skovbrug!$B$12)))*VLOOKUP(A213,Skovbrug!$A$13:$D$17,IF('Skovbrug-alder'!C213&lt;=År2,3,4),FALSE)
-IF(C213&gt;2020,SUM(INDEX($C$1:$D$311,MATCH(1,(2020=$C$1:$C$311)*(B213=$B$1:$B$311)*(A213=$A$1:$A$311),0),2):D212),0)</f>
        <v>862.8180142557394</v>
      </c>
      <c r="E213" s="168">
        <f t="shared" ca="1" si="4"/>
        <v>249.23879560583737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6189.7827165464669</v>
      </c>
      <c r="G213" s="168">
        <f ca="1">IF($C213-G$1&lt;År1,0,F212*(1-VLOOKUP($A213,[1]Hugst!$R$5:$W$9,MATCH(ROUNDUP((G$1)/10,0)*10,[1]Hugst!$R$4:$W$4,0))))</f>
        <v>6190.8900788929359</v>
      </c>
      <c r="H213" s="168">
        <f ca="1">IF($C213-H$1&lt;År1,0,G212*(1-VLOOKUP($A213,[1]Hugst!$R$5:$W$9,MATCH(ROUNDUP((H$1)/10,0)*10,[1]Hugst!$R$4:$W$4,0))))</f>
        <v>6192.0671634020118</v>
      </c>
      <c r="I213" s="168">
        <f ca="1">IF($C213-I$1&lt;År1,0,H212*(1-VLOOKUP($A213,[1]Hugst!$R$5:$W$9,MATCH(ROUNDUP((I$1)/10,0)*10,[1]Hugst!$R$4:$W$4,0))))</f>
        <v>6193.3143079528609</v>
      </c>
      <c r="J213" s="168">
        <f ca="1">IF($C213-J$1&lt;År1,0,I212*(1-VLOOKUP($A213,[1]Hugst!$R$5:$W$9,MATCH(ROUNDUP((J$1)/10,0)*10,[1]Hugst!$R$4:$W$4,0))))</f>
        <v>6194.6318517953632</v>
      </c>
      <c r="K213" s="168">
        <f ca="1">IF($C213-K$1&lt;År1,0,J212*(1-VLOOKUP($A213,[1]Hugst!$R$5:$W$9,MATCH(ROUNDUP((K$1)/10,0)*10,[1]Hugst!$R$4:$W$4,0))))</f>
        <v>6196.0201355563086</v>
      </c>
      <c r="L213" s="168">
        <f ca="1">IF($C213-L$1&lt;År1,0,K212*(1-VLOOKUP($A213,[1]Hugst!$R$5:$W$9,MATCH(ROUNDUP((L$1)/10,0)*10,[1]Hugst!$R$4:$W$4,0))))</f>
        <v>6188.3397977168324</v>
      </c>
      <c r="M213" s="168">
        <f ca="1">IF($C213-M$1&lt;År1,0,L212*(1-VLOOKUP($A213,[1]Hugst!$R$5:$W$9,MATCH(ROUNDUP((M$1)/10,0)*10,[1]Hugst!$R$4:$W$4,0))))</f>
        <v>6170.9280164258789</v>
      </c>
      <c r="N213" s="168">
        <f ca="1">IF($C213-N$1&lt;År1,0,M212*(1-VLOOKUP($A213,[1]Hugst!$R$5:$W$9,MATCH(ROUNDUP((N$1)/10,0)*10,[1]Hugst!$R$4:$W$4,0))))</f>
        <v>6153.4802183825022</v>
      </c>
      <c r="O213" s="168">
        <f ca="1">IF($C213-O$1&lt;År1,0,N212*(1-VLOOKUP($A213,[1]Hugst!$R$5:$W$9,MATCH(ROUNDUP((O$1)/10,0)*10,[1]Hugst!$R$4:$W$4,0))))</f>
        <v>6135.996335850662</v>
      </c>
      <c r="P213" s="168">
        <f ca="1">IF($C213-P$1&lt;År1,0,O212*(1-VLOOKUP($A213,[1]Hugst!$R$5:$W$9,MATCH(ROUNDUP((P$1)/10,0)*10,[1]Hugst!$R$4:$W$4,0))))</f>
        <v>6105.0454993668291</v>
      </c>
      <c r="Q213" s="168">
        <f ca="1">IF($C213-Q$1&lt;År1,0,P212*(1-VLOOKUP($A213,[1]Hugst!$R$5:$W$9,MATCH(ROUNDUP((Q$1)/10,0)*10,[1]Hugst!$R$4:$W$4,0))))</f>
        <v>6074.1649165423332</v>
      </c>
      <c r="R213" s="168">
        <f ca="1">IF($C213-R$1&lt;År1,0,Q212*(1-VLOOKUP($A213,[1]Hugst!$R$5:$W$9,MATCH(ROUNDUP((R$1)/10,0)*10,[1]Hugst!$R$4:$W$4,0))))</f>
        <v>6043.3544396816069</v>
      </c>
      <c r="S213" s="168">
        <f ca="1">IF($C213-S$1&lt;År1,0,R212*(1-VLOOKUP($A213,[1]Hugst!$R$5:$W$9,MATCH(ROUNDUP((S$1)/10,0)*10,[1]Hugst!$R$4:$W$4,0))))</f>
        <v>6012.6139214315144</v>
      </c>
      <c r="T213" s="168">
        <f ca="1">IF($C213-T$1&lt;År1,0,S212*(1-VLOOKUP($A213,[1]Hugst!$R$5:$W$9,MATCH(ROUNDUP((T$1)/10,0)*10,[1]Hugst!$R$4:$W$4,0))))</f>
        <v>5981.9432147809985</v>
      </c>
      <c r="U213" s="168">
        <f ca="1">IF($C213-U$1&lt;År1,0,T212*(1-VLOOKUP($A213,[1]Hugst!$R$5:$W$9,MATCH(ROUNDUP((U$1)/10,0)*10,[1]Hugst!$R$4:$W$4,0))))</f>
        <v>10051.426746467694</v>
      </c>
      <c r="V213" s="168">
        <f ca="1">IF($C213-V$1&lt;År1,0,U212*(1-VLOOKUP($A213,[1]Hugst!$R$5:$W$9,MATCH(ROUNDUP((V$1)/10,0)*10,[1]Hugst!$R$4:$W$4,0))))</f>
        <v>10011.895037697863</v>
      </c>
      <c r="W213" s="168">
        <f ca="1">IF($C213-W$1&lt;År1,0,V212*(1-VLOOKUP($A213,[1]Hugst!$R$5:$W$9,MATCH(ROUNDUP((W$1)/10,0)*10,[1]Hugst!$R$4:$W$4,0))))</f>
        <v>9994.5336648000266</v>
      </c>
      <c r="X213" s="168">
        <f ca="1">IF($C213-X$1&lt;År1,0,W212*(1-VLOOKUP($A213,[1]Hugst!$R$5:$W$9,MATCH(ROUNDUP((X$1)/10,0)*10,[1]Hugst!$R$4:$W$4,0))))</f>
        <v>9977.2234144926097</v>
      </c>
      <c r="Y213" s="168">
        <f ca="1">IF($C213-Y$1&lt;År1,0,X212*(1-VLOOKUP($A213,[1]Hugst!$R$5:$W$9,MATCH(ROUNDUP((Y$1)/10,0)*10,[1]Hugst!$R$4:$W$4,0))))</f>
        <v>9959.9642112364745</v>
      </c>
      <c r="Z213" s="168">
        <f ca="1">IF($C213-Z$1&lt;År1,0,Y212*(1-VLOOKUP($A213,[1]Hugst!$R$5:$W$9,MATCH(ROUNDUP((Z$1)/10,0)*10,[1]Hugst!$R$4:$W$4,0))))</f>
        <v>9952.4775695732478</v>
      </c>
      <c r="AA213" s="168">
        <f ca="1">IF($C213-AA$1&lt;År1,0,Z212*(1-VLOOKUP($A213,[1]Hugst!$R$5:$W$9,MATCH(ROUNDUP((AA$1)/10,0)*10,[1]Hugst!$R$4:$W$4,0))))</f>
        <v>9945.0177622556093</v>
      </c>
      <c r="AB213" s="168">
        <f ca="1">IF($C213-AB$1&lt;År1,0,AA212*(1-VLOOKUP($A213,[1]Hugst!$R$5:$W$9,MATCH(ROUNDUP((AB$1)/10,0)*10,[1]Hugst!$R$4:$W$4,0))))</f>
        <v>9937.5848238258859</v>
      </c>
      <c r="AC213" s="168">
        <f ca="1">IF($C213-AC$1&lt;År1,0,AB212*(1-VLOOKUP($A213,[1]Hugst!$R$5:$W$9,MATCH(ROUNDUP((AC$1)/10,0)*10,[1]Hugst!$R$4:$W$4,0))))</f>
        <v>9930.1787890400283</v>
      </c>
      <c r="AD213" s="168">
        <f ca="1">IF($C213-AD$1&lt;År1,0,AC212*(1-VLOOKUP($A213,[1]Hugst!$R$5:$W$9,MATCH(ROUNDUP((AD$1)/10,0)*10,[1]Hugst!$R$4:$W$4,0))))</f>
        <v>9922.7996928679186</v>
      </c>
      <c r="AE213" s="168">
        <f ca="1">IF($C213-AE$1&lt;År1,0,AD212*(1-VLOOKUP($A213,[1]Hugst!$R$5:$W$9,MATCH(ROUNDUP((AE$1)/10,0)*10,[1]Hugst!$R$4:$W$4,0))))</f>
        <v>9915.4475704945362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(IF(B214="Vestdanmark",Skovbrug!$C$22-(Skovbrug!$C$22)*(1-Skovbrug!$C$9)^(C214-Skovbrug!$B$12),Skovbrug!$F$22-(Skovbrug!$F$22)*(1-Skovbrug!$C$9)^(C214-Skovbrug!$B$12)))*VLOOKUP(A214,Skovbrug!$A$13:$D$17,IF('Skovbrug-alder'!C214&lt;=År2,3,4),FALSE)
-IF(C214&gt;2020,SUM(INDEX($C$1:$D$311,MATCH(1,(2020=$C$1:$C$311)*(B214=$B$1:$B$311)*(A214=$A$1:$A$311),0),2):D213),0)</f>
        <v>858.5039241844861</v>
      </c>
      <c r="E214" s="168">
        <f t="shared" ca="1" si="4"/>
        <v>252.51490897967597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6188.7447398490522</v>
      </c>
      <c r="G214" s="168">
        <f ca="1">IF($C214-G$1&lt;År1,0,F213*(1-VLOOKUP($A214,[1]Hugst!$R$5:$W$9,MATCH(ROUNDUP((G$1)/10,0)*10,[1]Hugst!$R$4:$W$4,0))))</f>
        <v>6189.7827165464669</v>
      </c>
      <c r="H214" s="168">
        <f ca="1">IF($C214-H$1&lt;År1,0,G213*(1-VLOOKUP($A214,[1]Hugst!$R$5:$W$9,MATCH(ROUNDUP((H$1)/10,0)*10,[1]Hugst!$R$4:$W$4,0))))</f>
        <v>6190.8900788929359</v>
      </c>
      <c r="I214" s="168">
        <f ca="1">IF($C214-I$1&lt;År1,0,H213*(1-VLOOKUP($A214,[1]Hugst!$R$5:$W$9,MATCH(ROUNDUP((I$1)/10,0)*10,[1]Hugst!$R$4:$W$4,0))))</f>
        <v>6192.0671634020118</v>
      </c>
      <c r="J214" s="168">
        <f ca="1">IF($C214-J$1&lt;År1,0,I213*(1-VLOOKUP($A214,[1]Hugst!$R$5:$W$9,MATCH(ROUNDUP((J$1)/10,0)*10,[1]Hugst!$R$4:$W$4,0))))</f>
        <v>6193.3143079528609</v>
      </c>
      <c r="K214" s="168">
        <f ca="1">IF($C214-K$1&lt;År1,0,J213*(1-VLOOKUP($A214,[1]Hugst!$R$5:$W$9,MATCH(ROUNDUP((K$1)/10,0)*10,[1]Hugst!$R$4:$W$4,0))))</f>
        <v>6194.6318517953632</v>
      </c>
      <c r="L214" s="168">
        <f ca="1">IF($C214-L$1&lt;År1,0,K213*(1-VLOOKUP($A214,[1]Hugst!$R$5:$W$9,MATCH(ROUNDUP((L$1)/10,0)*10,[1]Hugst!$R$4:$W$4,0))))</f>
        <v>6196.0201355563086</v>
      </c>
      <c r="M214" s="168">
        <f ca="1">IF($C214-M$1&lt;År1,0,L213*(1-VLOOKUP($A214,[1]Hugst!$R$5:$W$9,MATCH(ROUNDUP((M$1)/10,0)*10,[1]Hugst!$R$4:$W$4,0))))</f>
        <v>6188.3397977168324</v>
      </c>
      <c r="N214" s="168">
        <f ca="1">IF($C214-N$1&lt;År1,0,M213*(1-VLOOKUP($A214,[1]Hugst!$R$5:$W$9,MATCH(ROUNDUP((N$1)/10,0)*10,[1]Hugst!$R$4:$W$4,0))))</f>
        <v>6170.9280164258789</v>
      </c>
      <c r="O214" s="168">
        <f ca="1">IF($C214-O$1&lt;År1,0,N213*(1-VLOOKUP($A214,[1]Hugst!$R$5:$W$9,MATCH(ROUNDUP((O$1)/10,0)*10,[1]Hugst!$R$4:$W$4,0))))</f>
        <v>6153.4802183825022</v>
      </c>
      <c r="P214" s="168">
        <f ca="1">IF($C214-P$1&lt;År1,0,O213*(1-VLOOKUP($A214,[1]Hugst!$R$5:$W$9,MATCH(ROUNDUP((P$1)/10,0)*10,[1]Hugst!$R$4:$W$4,0))))</f>
        <v>6122.5270756012342</v>
      </c>
      <c r="Q214" s="168">
        <f ca="1">IF($C214-Q$1&lt;År1,0,P213*(1-VLOOKUP($A214,[1]Hugst!$R$5:$W$9,MATCH(ROUNDUP((Q$1)/10,0)*10,[1]Hugst!$R$4:$W$4,0))))</f>
        <v>6091.644179977975</v>
      </c>
      <c r="R214" s="168">
        <f ca="1">IF($C214-R$1&lt;År1,0,Q213*(1-VLOOKUP($A214,[1]Hugst!$R$5:$W$9,MATCH(ROUNDUP((R$1)/10,0)*10,[1]Hugst!$R$4:$W$4,0))))</f>
        <v>6060.8313837987034</v>
      </c>
      <c r="S214" s="168">
        <f ca="1">IF($C214-S$1&lt;År1,0,R213*(1-VLOOKUP($A214,[1]Hugst!$R$5:$W$9,MATCH(ROUNDUP((S$1)/10,0)*10,[1]Hugst!$R$4:$W$4,0))))</f>
        <v>6030.0885396920621</v>
      </c>
      <c r="T214" s="168">
        <f ca="1">IF($C214-T$1&lt;År1,0,S213*(1-VLOOKUP($A214,[1]Hugst!$R$5:$W$9,MATCH(ROUNDUP((T$1)/10,0)*10,[1]Hugst!$R$4:$W$4,0))))</f>
        <v>5999.4155006283718</v>
      </c>
      <c r="U214" s="168">
        <f ca="1">IF($C214-U$1&lt;År1,0,T213*(1-VLOOKUP($A214,[1]Hugst!$R$5:$W$9,MATCH(ROUNDUP((U$1)/10,0)*10,[1]Hugst!$R$4:$W$4,0))))</f>
        <v>5968.8121199192838</v>
      </c>
      <c r="V214" s="168">
        <f ca="1">IF($C214-V$1&lt;År1,0,U213*(1-VLOOKUP($A214,[1]Hugst!$R$5:$W$9,MATCH(ROUNDUP((V$1)/10,0)*10,[1]Hugst!$R$4:$W$4,0))))</f>
        <v>10029.362638975448</v>
      </c>
      <c r="W214" s="168">
        <f ca="1">IF($C214-W$1&lt;År1,0,V213*(1-VLOOKUP($A214,[1]Hugst!$R$5:$W$9,MATCH(ROUNDUP((W$1)/10,0)*10,[1]Hugst!$R$4:$W$4,0))))</f>
        <v>9989.9177071273061</v>
      </c>
      <c r="X214" s="168">
        <f ca="1">IF($C214-X$1&lt;År1,0,W213*(1-VLOOKUP($A214,[1]Hugst!$R$5:$W$9,MATCH(ROUNDUP((X$1)/10,0)*10,[1]Hugst!$R$4:$W$4,0))))</f>
        <v>9972.5944445602217</v>
      </c>
      <c r="Y214" s="168">
        <f ca="1">IF($C214-Y$1&lt;År1,0,X213*(1-VLOOKUP($A214,[1]Hugst!$R$5:$W$9,MATCH(ROUNDUP((Y$1)/10,0)*10,[1]Hugst!$R$4:$W$4,0))))</f>
        <v>9955.3221923632354</v>
      </c>
      <c r="Z214" s="168">
        <f ca="1">IF($C214-Z$1&lt;År1,0,Y213*(1-VLOOKUP($A214,[1]Hugst!$R$5:$W$9,MATCH(ROUNDUP((Z$1)/10,0)*10,[1]Hugst!$R$4:$W$4,0))))</f>
        <v>9947.8179134178936</v>
      </c>
      <c r="AA214" s="168">
        <f ca="1">IF($C214-AA$1&lt;År1,0,Z213*(1-VLOOKUP($A214,[1]Hugst!$R$5:$W$9,MATCH(ROUNDUP((AA$1)/10,0)*10,[1]Hugst!$R$4:$W$4,0))))</f>
        <v>9940.3404018054753</v>
      </c>
      <c r="AB214" s="168">
        <f ca="1">IF($C214-AB$1&lt;År1,0,AA213*(1-VLOOKUP($A214,[1]Hugst!$R$5:$W$9,MATCH(ROUNDUP((AB$1)/10,0)*10,[1]Hugst!$R$4:$W$4,0))))</f>
        <v>9932.8896918138344</v>
      </c>
      <c r="AC214" s="168">
        <f ca="1">IF($C214-AC$1&lt;År1,0,AB213*(1-VLOOKUP($A214,[1]Hugst!$R$5:$W$9,MATCH(ROUNDUP((AC$1)/10,0)*10,[1]Hugst!$R$4:$W$4,0))))</f>
        <v>9925.4658179431717</v>
      </c>
      <c r="AD214" s="168">
        <f ca="1">IF($C214-AD$1&lt;År1,0,AC213*(1-VLOOKUP($A214,[1]Hugst!$R$5:$W$9,MATCH(ROUNDUP((AD$1)/10,0)*10,[1]Hugst!$R$4:$W$4,0))))</f>
        <v>9918.068814907052</v>
      </c>
      <c r="AE214" s="168">
        <f ca="1">IF($C214-AE$1&lt;År1,0,AD213*(1-VLOOKUP($A214,[1]Hugst!$R$5:$W$9,MATCH(ROUNDUP((AE$1)/10,0)*10,[1]Hugst!$R$4:$W$4,0))))</f>
        <v>9910.6987176327129</v>
      </c>
      <c r="AF214" s="168">
        <f ca="1">IF($C214-AF$1&lt;År1,0,AE213*(1-VLOOKUP($A214,[1]Hugst!$R$5:$W$9,MATCH(ROUNDUP((AF$1)/10,0)*10,[1]Hugst!$R$4:$W$4,0))))</f>
        <v>9903.3555612622258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(IF(B215="Vestdanmark",Skovbrug!$C$22-(Skovbrug!$C$22)*(1-Skovbrug!$C$9)^(C215-Skovbrug!$B$12),Skovbrug!$F$22-(Skovbrug!$F$22)*(1-Skovbrug!$C$9)^(C215-Skovbrug!$B$12)))*VLOOKUP(A215,Skovbrug!$A$13:$D$17,IF('Skovbrug-alder'!C215&lt;=År2,3,4),FALSE)
-IF(C215&gt;2020,SUM(INDEX($C$1:$D$311,MATCH(1,(2020=$C$1:$C$311)*(B215=$B$1:$B$311)*(A215=$A$1:$A$311),0),2):D214),0)</f>
        <v>854.21140456352441</v>
      </c>
      <c r="E215" s="168">
        <f t="shared" ca="1" si="4"/>
        <v>255.83850239840103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6187.7758136468155</v>
      </c>
      <c r="G215" s="168">
        <f ca="1">IF($C215-G$1&lt;År1,0,F214*(1-VLOOKUP($A215,[1]Hugst!$R$5:$W$9,MATCH(ROUNDUP((G$1)/10,0)*10,[1]Hugst!$R$4:$W$4,0))))</f>
        <v>6188.7447398490522</v>
      </c>
      <c r="H215" s="168">
        <f ca="1">IF($C215-H$1&lt;År1,0,G214*(1-VLOOKUP($A215,[1]Hugst!$R$5:$W$9,MATCH(ROUNDUP((H$1)/10,0)*10,[1]Hugst!$R$4:$W$4,0))))</f>
        <v>6189.7827165464669</v>
      </c>
      <c r="I215" s="168">
        <f ca="1">IF($C215-I$1&lt;År1,0,H214*(1-VLOOKUP($A215,[1]Hugst!$R$5:$W$9,MATCH(ROUNDUP((I$1)/10,0)*10,[1]Hugst!$R$4:$W$4,0))))</f>
        <v>6190.8900788929359</v>
      </c>
      <c r="J215" s="168">
        <f ca="1">IF($C215-J$1&lt;År1,0,I214*(1-VLOOKUP($A215,[1]Hugst!$R$5:$W$9,MATCH(ROUNDUP((J$1)/10,0)*10,[1]Hugst!$R$4:$W$4,0))))</f>
        <v>6192.0671634020118</v>
      </c>
      <c r="K215" s="168">
        <f ca="1">IF($C215-K$1&lt;År1,0,J214*(1-VLOOKUP($A215,[1]Hugst!$R$5:$W$9,MATCH(ROUNDUP((K$1)/10,0)*10,[1]Hugst!$R$4:$W$4,0))))</f>
        <v>6193.3143079528609</v>
      </c>
      <c r="L215" s="168">
        <f ca="1">IF($C215-L$1&lt;År1,0,K214*(1-VLOOKUP($A215,[1]Hugst!$R$5:$W$9,MATCH(ROUNDUP((L$1)/10,0)*10,[1]Hugst!$R$4:$W$4,0))))</f>
        <v>6194.6318517953632</v>
      </c>
      <c r="M215" s="168">
        <f ca="1">IF($C215-M$1&lt;År1,0,L214*(1-VLOOKUP($A215,[1]Hugst!$R$5:$W$9,MATCH(ROUNDUP((M$1)/10,0)*10,[1]Hugst!$R$4:$W$4,0))))</f>
        <v>6196.0201355563086</v>
      </c>
      <c r="N215" s="168">
        <f ca="1">IF($C215-N$1&lt;År1,0,M214*(1-VLOOKUP($A215,[1]Hugst!$R$5:$W$9,MATCH(ROUNDUP((N$1)/10,0)*10,[1]Hugst!$R$4:$W$4,0))))</f>
        <v>6188.3397977168324</v>
      </c>
      <c r="O215" s="168">
        <f ca="1">IF($C215-O$1&lt;År1,0,N214*(1-VLOOKUP($A215,[1]Hugst!$R$5:$W$9,MATCH(ROUNDUP((O$1)/10,0)*10,[1]Hugst!$R$4:$W$4,0))))</f>
        <v>6170.9280164258789</v>
      </c>
      <c r="P215" s="168">
        <f ca="1">IF($C215-P$1&lt;År1,0,O214*(1-VLOOKUP($A215,[1]Hugst!$R$5:$W$9,MATCH(ROUNDUP((P$1)/10,0)*10,[1]Hugst!$R$4:$W$4,0))))</f>
        <v>6139.9725788787355</v>
      </c>
      <c r="Q215" s="168">
        <f ca="1">IF($C215-Q$1&lt;År1,0,P214*(1-VLOOKUP($A215,[1]Hugst!$R$5:$W$9,MATCH(ROUNDUP((Q$1)/10,0)*10,[1]Hugst!$R$4:$W$4,0))))</f>
        <v>6109.0873820206461</v>
      </c>
      <c r="R215" s="168">
        <f ca="1">IF($C215-R$1&lt;År1,0,Q214*(1-VLOOKUP($A215,[1]Hugst!$R$5:$W$9,MATCH(ROUNDUP((R$1)/10,0)*10,[1]Hugst!$R$4:$W$4,0))))</f>
        <v>6078.2722781194871</v>
      </c>
      <c r="S215" s="168">
        <f ca="1">IF($C215-S$1&lt;År1,0,R214*(1-VLOOKUP($A215,[1]Hugst!$R$5:$W$9,MATCH(ROUNDUP((S$1)/10,0)*10,[1]Hugst!$R$4:$W$4,0))))</f>
        <v>6047.5271197854863</v>
      </c>
      <c r="T215" s="168">
        <f ca="1">IF($C215-T$1&lt;År1,0,S214*(1-VLOOKUP($A215,[1]Hugst!$R$5:$W$9,MATCH(ROUNDUP((T$1)/10,0)*10,[1]Hugst!$R$4:$W$4,0))))</f>
        <v>6016.8517599707866</v>
      </c>
      <c r="U215" s="168">
        <f ca="1">IF($C215-U$1&lt;År1,0,T214*(1-VLOOKUP($A215,[1]Hugst!$R$5:$W$9,MATCH(ROUNDUP((U$1)/10,0)*10,[1]Hugst!$R$4:$W$4,0))))</f>
        <v>5986.2460519684555</v>
      </c>
      <c r="V215" s="168">
        <f ca="1">IF($C215-V$1&lt;År1,0,U214*(1-VLOOKUP($A215,[1]Hugst!$R$5:$W$9,MATCH(ROUNDUP((V$1)/10,0)*10,[1]Hugst!$R$4:$W$4,0))))</f>
        <v>5955.7098494121437</v>
      </c>
      <c r="W215" s="168">
        <f ca="1">IF($C215-W$1&lt;År1,0,V214*(1-VLOOKUP($A215,[1]Hugst!$R$5:$W$9,MATCH(ROUNDUP((W$1)/10,0)*10,[1]Hugst!$R$4:$W$4,0))))</f>
        <v>10007.346964889892</v>
      </c>
      <c r="X215" s="168">
        <f ca="1">IF($C215-X$1&lt;År1,0,W214*(1-VLOOKUP($A215,[1]Hugst!$R$5:$W$9,MATCH(ROUNDUP((X$1)/10,0)*10,[1]Hugst!$R$4:$W$4,0))))</f>
        <v>9967.9886194775136</v>
      </c>
      <c r="Y215" s="168">
        <f ca="1">IF($C215-Y$1&lt;År1,0,X214*(1-VLOOKUP($A215,[1]Hugst!$R$5:$W$9,MATCH(ROUNDUP((Y$1)/10,0)*10,[1]Hugst!$R$4:$W$4,0))))</f>
        <v>9950.7033835843577</v>
      </c>
      <c r="Z215" s="168">
        <f ca="1">IF($C215-Z$1&lt;År1,0,Y214*(1-VLOOKUP($A215,[1]Hugst!$R$5:$W$9,MATCH(ROUNDUP((Z$1)/10,0)*10,[1]Hugst!$R$4:$W$4,0))))</f>
        <v>9943.1815555432804</v>
      </c>
      <c r="AA215" s="168">
        <f ca="1">IF($C215-AA$1&lt;År1,0,Z214*(1-VLOOKUP($A215,[1]Hugst!$R$5:$W$9,MATCH(ROUNDUP((AA$1)/10,0)*10,[1]Hugst!$R$4:$W$4,0))))</f>
        <v>9935.6864281576272</v>
      </c>
      <c r="AB215" s="168">
        <f ca="1">IF($C215-AB$1&lt;År1,0,AA214*(1-VLOOKUP($A215,[1]Hugst!$R$5:$W$9,MATCH(ROUNDUP((AB$1)/10,0)*10,[1]Hugst!$R$4:$W$4,0))))</f>
        <v>9928.2180354618104</v>
      </c>
      <c r="AC215" s="168">
        <f ca="1">IF($C215-AC$1&lt;År1,0,AB214*(1-VLOOKUP($A215,[1]Hugst!$R$5:$W$9,MATCH(ROUNDUP((AC$1)/10,0)*10,[1]Hugst!$R$4:$W$4,0))))</f>
        <v>9920.7764117018669</v>
      </c>
      <c r="AD215" s="168">
        <f ca="1">IF($C215-AD$1&lt;År1,0,AC214*(1-VLOOKUP($A215,[1]Hugst!$R$5:$W$9,MATCH(ROUNDUP((AD$1)/10,0)*10,[1]Hugst!$R$4:$W$4,0))))</f>
        <v>9913.3615913359245</v>
      </c>
      <c r="AE215" s="168">
        <f ca="1">IF($C215-AE$1&lt;År1,0,AD214*(1-VLOOKUP($A215,[1]Hugst!$R$5:$W$9,MATCH(ROUNDUP((AE$1)/10,0)*10,[1]Hugst!$R$4:$W$4,0))))</f>
        <v>9905.9736090352144</v>
      </c>
      <c r="AF215" s="168">
        <f ca="1">IF($C215-AF$1&lt;År1,0,AE214*(1-VLOOKUP($A215,[1]Hugst!$R$5:$W$9,MATCH(ROUNDUP((AF$1)/10,0)*10,[1]Hugst!$R$4:$W$4,0))))</f>
        <v>9898.612499684381</v>
      </c>
      <c r="AG215" s="168">
        <f ca="1">IF($C215-AG$1&lt;År1,0,AF214*(1-VLOOKUP($A215,[1]Hugst!$R$5:$W$9,MATCH(ROUNDUP((AG$1)/10,0)*10,[1]Hugst!$R$4:$W$4,0))))</f>
        <v>9891.2782983826382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(IF(B216="Vestdanmark",Skovbrug!$C$22-(Skovbrug!$C$22)*(1-Skovbrug!$C$9)^(C216-Skovbrug!$B$12),Skovbrug!$F$22-(Skovbrug!$F$22)*(1-Skovbrug!$C$9)^(C216-Skovbrug!$B$12)))*VLOOKUP(A216,Skovbrug!$A$13:$D$17,IF('Skovbrug-alder'!C216&lt;=År2,3,4),FALSE)
-IF(C216&gt;2020,SUM(INDEX($C$1:$D$311,MATCH(1,(2020=$C$1:$C$311)*(B216=$B$1:$B$311)*(A216=$A$1:$A$311),0),2):D215),0)</f>
        <v>849.94034754071617</v>
      </c>
      <c r="E216" s="168">
        <f t="shared" ca="1" si="4"/>
        <v>259.20934991544345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6186.8756041410497</v>
      </c>
      <c r="G216" s="168">
        <f ca="1">IF($C216-G$1&lt;År1,0,F215*(1-VLOOKUP($A216,[1]Hugst!$R$5:$W$9,MATCH(ROUNDUP((G$1)/10,0)*10,[1]Hugst!$R$4:$W$4,0))))</f>
        <v>6187.7758136468155</v>
      </c>
      <c r="H216" s="168">
        <f ca="1">IF($C216-H$1&lt;År1,0,G215*(1-VLOOKUP($A216,[1]Hugst!$R$5:$W$9,MATCH(ROUNDUP((H$1)/10,0)*10,[1]Hugst!$R$4:$W$4,0))))</f>
        <v>6188.7447398490522</v>
      </c>
      <c r="I216" s="168">
        <f ca="1">IF($C216-I$1&lt;År1,0,H215*(1-VLOOKUP($A216,[1]Hugst!$R$5:$W$9,MATCH(ROUNDUP((I$1)/10,0)*10,[1]Hugst!$R$4:$W$4,0))))</f>
        <v>6189.7827165464669</v>
      </c>
      <c r="J216" s="168">
        <f ca="1">IF($C216-J$1&lt;År1,0,I215*(1-VLOOKUP($A216,[1]Hugst!$R$5:$W$9,MATCH(ROUNDUP((J$1)/10,0)*10,[1]Hugst!$R$4:$W$4,0))))</f>
        <v>6190.8900788929359</v>
      </c>
      <c r="K216" s="168">
        <f ca="1">IF($C216-K$1&lt;År1,0,J215*(1-VLOOKUP($A216,[1]Hugst!$R$5:$W$9,MATCH(ROUNDUP((K$1)/10,0)*10,[1]Hugst!$R$4:$W$4,0))))</f>
        <v>6192.0671634020118</v>
      </c>
      <c r="L216" s="168">
        <f ca="1">IF($C216-L$1&lt;År1,0,K215*(1-VLOOKUP($A216,[1]Hugst!$R$5:$W$9,MATCH(ROUNDUP((L$1)/10,0)*10,[1]Hugst!$R$4:$W$4,0))))</f>
        <v>6193.3143079528609</v>
      </c>
      <c r="M216" s="168">
        <f ca="1">IF($C216-M$1&lt;År1,0,L215*(1-VLOOKUP($A216,[1]Hugst!$R$5:$W$9,MATCH(ROUNDUP((M$1)/10,0)*10,[1]Hugst!$R$4:$W$4,0))))</f>
        <v>6194.6318517953632</v>
      </c>
      <c r="N216" s="168">
        <f ca="1">IF($C216-N$1&lt;År1,0,M215*(1-VLOOKUP($A216,[1]Hugst!$R$5:$W$9,MATCH(ROUNDUP((N$1)/10,0)*10,[1]Hugst!$R$4:$W$4,0))))</f>
        <v>6196.0201355563086</v>
      </c>
      <c r="O216" s="168">
        <f ca="1">IF($C216-O$1&lt;År1,0,N215*(1-VLOOKUP($A216,[1]Hugst!$R$5:$W$9,MATCH(ROUNDUP((O$1)/10,0)*10,[1]Hugst!$R$4:$W$4,0))))</f>
        <v>6188.3397977168324</v>
      </c>
      <c r="P216" s="168">
        <f ca="1">IF($C216-P$1&lt;År1,0,O215*(1-VLOOKUP($A216,[1]Hugst!$R$5:$W$9,MATCH(ROUNDUP((P$1)/10,0)*10,[1]Hugst!$R$4:$W$4,0))))</f>
        <v>6157.3820768776268</v>
      </c>
      <c r="Q216" s="168">
        <f ca="1">IF($C216-Q$1&lt;År1,0,P215*(1-VLOOKUP($A216,[1]Hugst!$R$5:$W$9,MATCH(ROUNDUP((Q$1)/10,0)*10,[1]Hugst!$R$4:$W$4,0))))</f>
        <v>6126.4945902909531</v>
      </c>
      <c r="R216" s="168">
        <f ca="1">IF($C216-R$1&lt;År1,0,Q215*(1-VLOOKUP($A216,[1]Hugst!$R$5:$W$9,MATCH(ROUNDUP((R$1)/10,0)*10,[1]Hugst!$R$4:$W$4,0))))</f>
        <v>6095.6771902064547</v>
      </c>
      <c r="S216" s="168">
        <f ca="1">IF($C216-S$1&lt;År1,0,R215*(1-VLOOKUP($A216,[1]Hugst!$R$5:$W$9,MATCH(ROUNDUP((S$1)/10,0)*10,[1]Hugst!$R$4:$W$4,0))))</f>
        <v>6064.9297292162983</v>
      </c>
      <c r="T216" s="168">
        <f ca="1">IF($C216-T$1&lt;År1,0,S215*(1-VLOOKUP($A216,[1]Hugst!$R$5:$W$9,MATCH(ROUNDUP((T$1)/10,0)*10,[1]Hugst!$R$4:$W$4,0))))</f>
        <v>6034.25206025425</v>
      </c>
      <c r="U216" s="168">
        <f ca="1">IF($C216-U$1&lt;År1,0,T215*(1-VLOOKUP($A216,[1]Hugst!$R$5:$W$9,MATCH(ROUNDUP((U$1)/10,0)*10,[1]Hugst!$R$4:$W$4,0))))</f>
        <v>6003.6440365952412</v>
      </c>
      <c r="V216" s="168">
        <f ca="1">IF($C216-V$1&lt;År1,0,U215*(1-VLOOKUP($A216,[1]Hugst!$R$5:$W$9,MATCH(ROUNDUP((V$1)/10,0)*10,[1]Hugst!$R$4:$W$4,0))))</f>
        <v>5973.1055118543782</v>
      </c>
      <c r="W216" s="168">
        <f ca="1">IF($C216-W$1&lt;År1,0,V215*(1-VLOOKUP($A216,[1]Hugst!$R$5:$W$9,MATCH(ROUNDUP((W$1)/10,0)*10,[1]Hugst!$R$4:$W$4,0))))</f>
        <v>5942.636339986605</v>
      </c>
      <c r="X216" s="168">
        <f ca="1">IF($C216-X$1&lt;År1,0,W215*(1-VLOOKUP($A216,[1]Hugst!$R$5:$W$9,MATCH(ROUNDUP((X$1)/10,0)*10,[1]Hugst!$R$4:$W$4,0))))</f>
        <v>9985.3796178937919</v>
      </c>
      <c r="Y216" s="168">
        <f ca="1">IF($C216-Y$1&lt;År1,0,X215*(1-VLOOKUP($A216,[1]Hugst!$R$5:$W$9,MATCH(ROUNDUP((Y$1)/10,0)*10,[1]Hugst!$R$4:$W$4,0))))</f>
        <v>9946.1076688493922</v>
      </c>
      <c r="Z216" s="168">
        <f ca="1">IF($C216-Z$1&lt;År1,0,Y215*(1-VLOOKUP($A216,[1]Hugst!$R$5:$W$9,MATCH(ROUNDUP((Z$1)/10,0)*10,[1]Hugst!$R$4:$W$4,0))))</f>
        <v>9938.5683794580345</v>
      </c>
      <c r="AA216" s="168">
        <f ca="1">IF($C216-AA$1&lt;År1,0,Z215*(1-VLOOKUP($A216,[1]Hugst!$R$5:$W$9,MATCH(ROUNDUP((AA$1)/10,0)*10,[1]Hugst!$R$4:$W$4,0))))</f>
        <v>9931.055724377984</v>
      </c>
      <c r="AB216" s="168">
        <f ca="1">IF($C216-AB$1&lt;År1,0,AA215*(1-VLOOKUP($A216,[1]Hugst!$R$5:$W$9,MATCH(ROUNDUP((AB$1)/10,0)*10,[1]Hugst!$R$4:$W$4,0))))</f>
        <v>9923.5697373915809</v>
      </c>
      <c r="AC216" s="168">
        <f ca="1">IF($C216-AC$1&lt;År1,0,AB215*(1-VLOOKUP($A216,[1]Hugst!$R$5:$W$9,MATCH(ROUNDUP((AC$1)/10,0)*10,[1]Hugst!$R$4:$W$4,0))))</f>
        <v>9916.1104524917355</v>
      </c>
      <c r="AD216" s="168">
        <f ca="1">IF($C216-AD$1&lt;År1,0,AC215*(1-VLOOKUP($A216,[1]Hugst!$R$5:$W$9,MATCH(ROUNDUP((AD$1)/10,0)*10,[1]Hugst!$R$4:$W$4,0))))</f>
        <v>9908.677903882719</v>
      </c>
      <c r="AE216" s="168">
        <f ca="1">IF($C216-AE$1&lt;År1,0,AD215*(1-VLOOKUP($A216,[1]Hugst!$R$5:$W$9,MATCH(ROUNDUP((AE$1)/10,0)*10,[1]Hugst!$R$4:$W$4,0))))</f>
        <v>9901.2721259806367</v>
      </c>
      <c r="AF216" s="168">
        <f ca="1">IF($C216-AF$1&lt;År1,0,AE215*(1-VLOOKUP($A216,[1]Hugst!$R$5:$W$9,MATCH(ROUNDUP((AF$1)/10,0)*10,[1]Hugst!$R$4:$W$4,0))))</f>
        <v>9893.8931534144394</v>
      </c>
      <c r="AG216" s="168">
        <f ca="1">IF($C216-AG$1&lt;År1,0,AF215*(1-VLOOKUP($A216,[1]Hugst!$R$5:$W$9,MATCH(ROUNDUP((AG$1)/10,0)*10,[1]Hugst!$R$4:$W$4,0))))</f>
        <v>9886.5410210262289</v>
      </c>
      <c r="AH216" s="168">
        <f ca="1">IF($C216-AH$1&lt;År1,0,AG215*(1-VLOOKUP($A216,[1]Hugst!$R$5:$W$9,MATCH(ROUNDUP((AH$1)/10,0)*10,[1]Hugst!$R$4:$W$4,0))))</f>
        <v>9879.2157638724148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(IF(B217="Vestdanmark",Skovbrug!$C$22-(Skovbrug!$C$22)*(1-Skovbrug!$C$9)^(C217-Skovbrug!$B$12),Skovbrug!$F$22-(Skovbrug!$F$22)*(1-Skovbrug!$C$9)^(C217-Skovbrug!$B$12)))*VLOOKUP(A217,Skovbrug!$A$13:$D$17,IF('Skovbrug-alder'!C217&lt;=År2,3,4),FALSE)
-IF(C217&gt;2020,SUM(INDEX($C$1:$D$311,MATCH(1,(2020=$C$1:$C$311)*(B217=$B$1:$B$311)*(A217=$A$1:$A$311),0),2):D216),0)</f>
        <v>845.69064580304621</v>
      </c>
      <c r="E217" s="168">
        <f t="shared" ca="1" si="4"/>
        <v>262.62722639308777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6186.0437788810241</v>
      </c>
      <c r="G217" s="168">
        <f ca="1">IF($C217-G$1&lt;År1,0,F216*(1-VLOOKUP($A217,[1]Hugst!$R$5:$W$9,MATCH(ROUNDUP((G$1)/10,0)*10,[1]Hugst!$R$4:$W$4,0))))</f>
        <v>6186.8756041410497</v>
      </c>
      <c r="H217" s="168">
        <f ca="1">IF($C217-H$1&lt;År1,0,G216*(1-VLOOKUP($A217,[1]Hugst!$R$5:$W$9,MATCH(ROUNDUP((H$1)/10,0)*10,[1]Hugst!$R$4:$W$4,0))))</f>
        <v>6187.7758136468155</v>
      </c>
      <c r="I217" s="168">
        <f ca="1">IF($C217-I$1&lt;År1,0,H216*(1-VLOOKUP($A217,[1]Hugst!$R$5:$W$9,MATCH(ROUNDUP((I$1)/10,0)*10,[1]Hugst!$R$4:$W$4,0))))</f>
        <v>6188.7447398490522</v>
      </c>
      <c r="J217" s="168">
        <f ca="1">IF($C217-J$1&lt;År1,0,I216*(1-VLOOKUP($A217,[1]Hugst!$R$5:$W$9,MATCH(ROUNDUP((J$1)/10,0)*10,[1]Hugst!$R$4:$W$4,0))))</f>
        <v>6189.7827165464669</v>
      </c>
      <c r="K217" s="168">
        <f ca="1">IF($C217-K$1&lt;År1,0,J216*(1-VLOOKUP($A217,[1]Hugst!$R$5:$W$9,MATCH(ROUNDUP((K$1)/10,0)*10,[1]Hugst!$R$4:$W$4,0))))</f>
        <v>6190.8900788929359</v>
      </c>
      <c r="L217" s="168">
        <f ca="1">IF($C217-L$1&lt;År1,0,K216*(1-VLOOKUP($A217,[1]Hugst!$R$5:$W$9,MATCH(ROUNDUP((L$1)/10,0)*10,[1]Hugst!$R$4:$W$4,0))))</f>
        <v>6192.0671634020118</v>
      </c>
      <c r="M217" s="168">
        <f ca="1">IF($C217-M$1&lt;År1,0,L216*(1-VLOOKUP($A217,[1]Hugst!$R$5:$W$9,MATCH(ROUNDUP((M$1)/10,0)*10,[1]Hugst!$R$4:$W$4,0))))</f>
        <v>6193.3143079528609</v>
      </c>
      <c r="N217" s="168">
        <f ca="1">IF($C217-N$1&lt;År1,0,M216*(1-VLOOKUP($A217,[1]Hugst!$R$5:$W$9,MATCH(ROUNDUP((N$1)/10,0)*10,[1]Hugst!$R$4:$W$4,0))))</f>
        <v>6194.6318517953632</v>
      </c>
      <c r="O217" s="168">
        <f ca="1">IF($C217-O$1&lt;År1,0,N216*(1-VLOOKUP($A217,[1]Hugst!$R$5:$W$9,MATCH(ROUNDUP((O$1)/10,0)*10,[1]Hugst!$R$4:$W$4,0))))</f>
        <v>6196.0201355563086</v>
      </c>
      <c r="P217" s="168">
        <f ca="1">IF($C217-P$1&lt;År1,0,O216*(1-VLOOKUP($A217,[1]Hugst!$R$5:$W$9,MATCH(ROUNDUP((P$1)/10,0)*10,[1]Hugst!$R$4:$W$4,0))))</f>
        <v>6174.7556371852588</v>
      </c>
      <c r="Q217" s="168">
        <f ca="1">IF($C217-Q$1&lt;År1,0,P216*(1-VLOOKUP($A217,[1]Hugst!$R$5:$W$9,MATCH(ROUNDUP((Q$1)/10,0)*10,[1]Hugst!$R$4:$W$4,0))))</f>
        <v>6143.8658723186272</v>
      </c>
      <c r="R217" s="168">
        <f ca="1">IF($C217-R$1&lt;År1,0,Q216*(1-VLOOKUP($A217,[1]Hugst!$R$5:$W$9,MATCH(ROUNDUP((R$1)/10,0)*10,[1]Hugst!$R$4:$W$4,0))))</f>
        <v>6113.0461875317778</v>
      </c>
      <c r="S217" s="168">
        <f ca="1">IF($C217-S$1&lt;År1,0,R216*(1-VLOOKUP($A217,[1]Hugst!$R$5:$W$9,MATCH(ROUNDUP((S$1)/10,0)*10,[1]Hugst!$R$4:$W$4,0))))</f>
        <v>6082.2964353986845</v>
      </c>
      <c r="T217" s="168">
        <f ca="1">IF($C217-T$1&lt;År1,0,S216*(1-VLOOKUP($A217,[1]Hugst!$R$5:$W$9,MATCH(ROUNDUP((T$1)/10,0)*10,[1]Hugst!$R$4:$W$4,0))))</f>
        <v>6051.6164688350918</v>
      </c>
      <c r="U217" s="168">
        <f ca="1">IF($C217-U$1&lt;År1,0,T216*(1-VLOOKUP($A217,[1]Hugst!$R$5:$W$9,MATCH(ROUNDUP((U$1)/10,0)*10,[1]Hugst!$R$4:$W$4,0))))</f>
        <v>6021.0061410975941</v>
      </c>
      <c r="V217" s="168">
        <f ca="1">IF($C217-V$1&lt;År1,0,U216*(1-VLOOKUP($A217,[1]Hugst!$R$5:$W$9,MATCH(ROUNDUP((V$1)/10,0)*10,[1]Hugst!$R$4:$W$4,0))))</f>
        <v>5990.4653057832029</v>
      </c>
      <c r="W217" s="168">
        <f ca="1">IF($C217-W$1&lt;År1,0,V216*(1-VLOOKUP($A217,[1]Hugst!$R$5:$W$9,MATCH(ROUNDUP((W$1)/10,0)*10,[1]Hugst!$R$4:$W$4,0))))</f>
        <v>5959.9938168283561</v>
      </c>
      <c r="X217" s="168">
        <f ca="1">IF($C217-X$1&lt;År1,0,W216*(1-VLOOKUP($A217,[1]Hugst!$R$5:$W$9,MATCH(ROUNDUP((X$1)/10,0)*10,[1]Hugst!$R$4:$W$4,0))))</f>
        <v>5929.5915285085857</v>
      </c>
      <c r="Y217" s="168">
        <f ca="1">IF($C217-Y$1&lt;År1,0,X216*(1-VLOOKUP($A217,[1]Hugst!$R$5:$W$9,MATCH(ROUNDUP((Y$1)/10,0)*10,[1]Hugst!$R$4:$W$4,0))))</f>
        <v>9963.4604919032936</v>
      </c>
      <c r="Z217" s="168">
        <f ca="1">IF($C217-Z$1&lt;År1,0,Y216*(1-VLOOKUP($A217,[1]Hugst!$R$5:$W$9,MATCH(ROUNDUP((Z$1)/10,0)*10,[1]Hugst!$R$4:$W$4,0))))</f>
        <v>9933.9782692532335</v>
      </c>
      <c r="AA217" s="168">
        <f ca="1">IF($C217-AA$1&lt;År1,0,Z216*(1-VLOOKUP($A217,[1]Hugst!$R$5:$W$9,MATCH(ROUNDUP((AA$1)/10,0)*10,[1]Hugst!$R$4:$W$4,0))))</f>
        <v>9926.4481741172312</v>
      </c>
      <c r="AB217" s="168">
        <f ca="1">IF($C217-AB$1&lt;År1,0,AA216*(1-VLOOKUP($A217,[1]Hugst!$R$5:$W$9,MATCH(ROUNDUP((AB$1)/10,0)*10,[1]Hugst!$R$4:$W$4,0))))</f>
        <v>9918.94468081167</v>
      </c>
      <c r="AC217" s="168">
        <f ca="1">IF($C217-AC$1&lt;År1,0,AB216*(1-VLOOKUP($A217,[1]Hugst!$R$5:$W$9,MATCH(ROUNDUP((AC$1)/10,0)*10,[1]Hugst!$R$4:$W$4,0))))</f>
        <v>9911.4678230776881</v>
      </c>
      <c r="AD217" s="168">
        <f ca="1">IF($C217-AD$1&lt;År1,0,AC216*(1-VLOOKUP($A217,[1]Hugst!$R$5:$W$9,MATCH(ROUNDUP((AD$1)/10,0)*10,[1]Hugst!$R$4:$W$4,0))))</f>
        <v>9904.0176348667464</v>
      </c>
      <c r="AE217" s="168">
        <f ca="1">IF($C217-AE$1&lt;År1,0,AD216*(1-VLOOKUP($A217,[1]Hugst!$R$5:$W$9,MATCH(ROUNDUP((AE$1)/10,0)*10,[1]Hugst!$R$4:$W$4,0))))</f>
        <v>9896.5941503413978</v>
      </c>
      <c r="AF217" s="168">
        <f ca="1">IF($C217-AF$1&lt;År1,0,AE216*(1-VLOOKUP($A217,[1]Hugst!$R$5:$W$9,MATCH(ROUNDUP((AF$1)/10,0)*10,[1]Hugst!$R$4:$W$4,0))))</f>
        <v>9889.1974038757817</v>
      </c>
      <c r="AG217" s="168">
        <f ca="1">IF($C217-AG$1&lt;År1,0,AF216*(1-VLOOKUP($A217,[1]Hugst!$R$5:$W$9,MATCH(ROUNDUP((AG$1)/10,0)*10,[1]Hugst!$R$4:$W$4,0))))</f>
        <v>9881.8274300566172</v>
      </c>
      <c r="AH217" s="168">
        <f ca="1">IF($C217-AH$1&lt;År1,0,AG216*(1-VLOOKUP($A217,[1]Hugst!$R$5:$W$9,MATCH(ROUNDUP((AH$1)/10,0)*10,[1]Hugst!$R$4:$W$4,0))))</f>
        <v>9874.4842636835147</v>
      </c>
      <c r="AI217" s="168">
        <f ca="1">IF($C217-AI$1&lt;År1,0,AH216*(1-VLOOKUP($A217,[1]Hugst!$R$5:$W$9,MATCH(ROUNDUP((AI$1)/10,0)*10,[1]Hugst!$R$4:$W$4,0))))</f>
        <v>9867.1679397701319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(IF(B218="Vestdanmark",Skovbrug!$C$22-(Skovbrug!$C$22)*(1-Skovbrug!$C$9)^(C218-Skovbrug!$B$12),Skovbrug!$F$22-(Skovbrug!$F$22)*(1-Skovbrug!$C$9)^(C218-Skovbrug!$B$12)))*VLOOKUP(A218,Skovbrug!$A$13:$D$17,IF('Skovbrug-alder'!C218&lt;=År2,3,4),FALSE)
-IF(C218&gt;2020,SUM(INDEX($C$1:$D$311,MATCH(1,(2020=$C$1:$C$311)*(B218=$B$1:$B$311)*(A218=$A$1:$A$311),0),2):D217),0)</f>
        <v>841.4621925740139</v>
      </c>
      <c r="E218" s="168">
        <f t="shared" ca="1" si="4"/>
        <v>260.63432468433166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6179.8224239432357</v>
      </c>
      <c r="G218" s="168">
        <f ca="1">IF($C218-G$1&lt;År1,0,F217*(1-VLOOKUP($A218,[1]Hugst!$R$5:$W$9,MATCH(ROUNDUP((G$1)/10,0)*10,[1]Hugst!$R$4:$W$4,0))))</f>
        <v>6186.0437788810241</v>
      </c>
      <c r="H218" s="168">
        <f ca="1">IF($C218-H$1&lt;År1,0,G217*(1-VLOOKUP($A218,[1]Hugst!$R$5:$W$9,MATCH(ROUNDUP((H$1)/10,0)*10,[1]Hugst!$R$4:$W$4,0))))</f>
        <v>6186.8756041410497</v>
      </c>
      <c r="I218" s="168">
        <f ca="1">IF($C218-I$1&lt;År1,0,H217*(1-VLOOKUP($A218,[1]Hugst!$R$5:$W$9,MATCH(ROUNDUP((I$1)/10,0)*10,[1]Hugst!$R$4:$W$4,0))))</f>
        <v>6187.7758136468155</v>
      </c>
      <c r="J218" s="168">
        <f ca="1">IF($C218-J$1&lt;År1,0,I217*(1-VLOOKUP($A218,[1]Hugst!$R$5:$W$9,MATCH(ROUNDUP((J$1)/10,0)*10,[1]Hugst!$R$4:$W$4,0))))</f>
        <v>6188.7447398490522</v>
      </c>
      <c r="K218" s="168">
        <f ca="1">IF($C218-K$1&lt;År1,0,J217*(1-VLOOKUP($A218,[1]Hugst!$R$5:$W$9,MATCH(ROUNDUP((K$1)/10,0)*10,[1]Hugst!$R$4:$W$4,0))))</f>
        <v>6189.7827165464669</v>
      </c>
      <c r="L218" s="168">
        <f ca="1">IF($C218-L$1&lt;År1,0,K217*(1-VLOOKUP($A218,[1]Hugst!$R$5:$W$9,MATCH(ROUNDUP((L$1)/10,0)*10,[1]Hugst!$R$4:$W$4,0))))</f>
        <v>6190.8900788929359</v>
      </c>
      <c r="M218" s="168">
        <f ca="1">IF($C218-M$1&lt;År1,0,L217*(1-VLOOKUP($A218,[1]Hugst!$R$5:$W$9,MATCH(ROUNDUP((M$1)/10,0)*10,[1]Hugst!$R$4:$W$4,0))))</f>
        <v>6192.0671634020118</v>
      </c>
      <c r="N218" s="168">
        <f ca="1">IF($C218-N$1&lt;År1,0,M217*(1-VLOOKUP($A218,[1]Hugst!$R$5:$W$9,MATCH(ROUNDUP((N$1)/10,0)*10,[1]Hugst!$R$4:$W$4,0))))</f>
        <v>6193.3143079528609</v>
      </c>
      <c r="O218" s="168">
        <f ca="1">IF($C218-O$1&lt;År1,0,N217*(1-VLOOKUP($A218,[1]Hugst!$R$5:$W$9,MATCH(ROUNDUP((O$1)/10,0)*10,[1]Hugst!$R$4:$W$4,0))))</f>
        <v>6194.6318517953632</v>
      </c>
      <c r="P218" s="168">
        <f ca="1">IF($C218-P$1&lt;År1,0,O217*(1-VLOOKUP($A218,[1]Hugst!$R$5:$W$9,MATCH(ROUNDUP((P$1)/10,0)*10,[1]Hugst!$R$4:$W$4,0))))</f>
        <v>6182.4191157465511</v>
      </c>
      <c r="Q218" s="168">
        <f ca="1">IF($C218-Q$1&lt;År1,0,P217*(1-VLOOKUP($A218,[1]Hugst!$R$5:$W$9,MATCH(ROUNDUP((Q$1)/10,0)*10,[1]Hugst!$R$4:$W$4,0))))</f>
        <v>6161.2012955426571</v>
      </c>
      <c r="R218" s="168">
        <f ca="1">IF($C218-R$1&lt;År1,0,Q217*(1-VLOOKUP($A218,[1]Hugst!$R$5:$W$9,MATCH(ROUNDUP((R$1)/10,0)*10,[1]Hugst!$R$4:$W$4,0))))</f>
        <v>6130.3793374769521</v>
      </c>
      <c r="S218" s="168">
        <f ca="1">IF($C218-S$1&lt;År1,0,R217*(1-VLOOKUP($A218,[1]Hugst!$R$5:$W$9,MATCH(ROUNDUP((S$1)/10,0)*10,[1]Hugst!$R$4:$W$4,0))))</f>
        <v>6099.6273056567079</v>
      </c>
      <c r="T218" s="168">
        <f ca="1">IF($C218-T$1&lt;År1,0,S217*(1-VLOOKUP($A218,[1]Hugst!$R$5:$W$9,MATCH(ROUNDUP((T$1)/10,0)*10,[1]Hugst!$R$4:$W$4,0))))</f>
        <v>6068.9450529795167</v>
      </c>
      <c r="U218" s="168">
        <f ca="1">IF($C218-U$1&lt;År1,0,T217*(1-VLOOKUP($A218,[1]Hugst!$R$5:$W$9,MATCH(ROUNDUP((U$1)/10,0)*10,[1]Hugst!$R$4:$W$4,0))))</f>
        <v>6038.3324326839902</v>
      </c>
      <c r="V218" s="168">
        <f ca="1">IF($C218-V$1&lt;År1,0,U217*(1-VLOOKUP($A218,[1]Hugst!$R$5:$W$9,MATCH(ROUNDUP((V$1)/10,0)*10,[1]Hugst!$R$4:$W$4,0))))</f>
        <v>6007.7892983488437</v>
      </c>
      <c r="W218" s="168">
        <f ca="1">IF($C218-W$1&lt;År1,0,V217*(1-VLOOKUP($A218,[1]Hugst!$R$5:$W$9,MATCH(ROUNDUP((W$1)/10,0)*10,[1]Hugst!$R$4:$W$4,0))))</f>
        <v>5977.3155038924597</v>
      </c>
      <c r="X218" s="168">
        <f ca="1">IF($C218-X$1&lt;År1,0,W217*(1-VLOOKUP($A218,[1]Hugst!$R$5:$W$9,MATCH(ROUNDUP((X$1)/10,0)*10,[1]Hugst!$R$4:$W$4,0))))</f>
        <v>5946.9109035719039</v>
      </c>
      <c r="Y218" s="168">
        <f ca="1">IF($C218-Y$1&lt;År1,0,X217*(1-VLOOKUP($A218,[1]Hugst!$R$5:$W$9,MATCH(ROUNDUP((Y$1)/10,0)*10,[1]Hugst!$R$4:$W$4,0))))</f>
        <v>5916.5753519825912</v>
      </c>
      <c r="Z218" s="168">
        <f ca="1">IF($C218-Z$1&lt;År1,0,Y217*(1-VLOOKUP($A218,[1]Hugst!$R$5:$W$9,MATCH(ROUNDUP((Z$1)/10,0)*10,[1]Hugst!$R$4:$W$4,0))))</f>
        <v>9951.3099303278013</v>
      </c>
      <c r="AA218" s="168">
        <f ca="1">IF($C218-AA$1&lt;År1,0,Z217*(1-VLOOKUP($A218,[1]Hugst!$R$5:$W$9,MATCH(ROUNDUP((AA$1)/10,0)*10,[1]Hugst!$R$4:$W$4,0))))</f>
        <v>9921.863661607802</v>
      </c>
      <c r="AB218" s="168">
        <f ca="1">IF($C218-AB$1&lt;År1,0,AA217*(1-VLOOKUP($A218,[1]Hugst!$R$5:$W$9,MATCH(ROUNDUP((AB$1)/10,0)*10,[1]Hugst!$R$4:$W$4,0))))</f>
        <v>9914.3427495146498</v>
      </c>
      <c r="AC218" s="168">
        <f ca="1">IF($C218-AC$1&lt;År1,0,AB217*(1-VLOOKUP($A218,[1]Hugst!$R$5:$W$9,MATCH(ROUNDUP((AC$1)/10,0)*10,[1]Hugst!$R$4:$W$4,0))))</f>
        <v>9906.8484068106809</v>
      </c>
      <c r="AD218" s="168">
        <f ca="1">IF($C218-AD$1&lt;År1,0,AC217*(1-VLOOKUP($A218,[1]Hugst!$R$5:$W$9,MATCH(ROUNDUP((AD$1)/10,0)*10,[1]Hugst!$R$4:$W$4,0))))</f>
        <v>9899.3806671958864</v>
      </c>
      <c r="AE218" s="168">
        <f ca="1">IF($C218-AE$1&lt;År1,0,AD217*(1-VLOOKUP($A218,[1]Hugst!$R$5:$W$9,MATCH(ROUNDUP((AE$1)/10,0)*10,[1]Hugst!$R$4:$W$4,0))))</f>
        <v>9891.9395645803233</v>
      </c>
      <c r="AF218" s="168">
        <f ca="1">IF($C218-AF$1&lt;År1,0,AE217*(1-VLOOKUP($A218,[1]Hugst!$R$5:$W$9,MATCH(ROUNDUP((AF$1)/10,0)*10,[1]Hugst!$R$4:$W$4,0))))</f>
        <v>9884.5251330848841</v>
      </c>
      <c r="AG218" s="168">
        <f ca="1">IF($C218-AG$1&lt;År1,0,AF217*(1-VLOOKUP($A218,[1]Hugst!$R$5:$W$9,MATCH(ROUNDUP((AG$1)/10,0)*10,[1]Hugst!$R$4:$W$4,0))))</f>
        <v>9877.137407041786</v>
      </c>
      <c r="AH218" s="168">
        <f ca="1">IF($C218-AH$1&lt;År1,0,AG217*(1-VLOOKUP($A218,[1]Hugst!$R$5:$W$9,MATCH(ROUNDUP((AH$1)/10,0)*10,[1]Hugst!$R$4:$W$4,0))))</f>
        <v>9869.7764209955731</v>
      </c>
      <c r="AI218" s="168">
        <f ca="1">IF($C218-AI$1&lt;År1,0,AH217*(1-VLOOKUP($A218,[1]Hugst!$R$5:$W$9,MATCH(ROUNDUP((AI$1)/10,0)*10,[1]Hugst!$R$4:$W$4,0))))</f>
        <v>9862.442209703413</v>
      </c>
      <c r="AJ218" s="168">
        <f ca="1">IF($C218-AJ$1&lt;År1,0,AI217*(1-VLOOKUP($A218,[1]Hugst!$R$5:$W$9,MATCH(ROUNDUP((AJ$1)/10,0)*10,[1]Hugst!$R$4:$W$4,0))))</f>
        <v>9860.5497173715066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(IF(B219="Vestdanmark",Skovbrug!$C$22-(Skovbrug!$C$22)*(1-Skovbrug!$C$9)^(C219-Skovbrug!$B$12),Skovbrug!$F$22-(Skovbrug!$F$22)*(1-Skovbrug!$C$9)^(C219-Skovbrug!$B$12)))*VLOOKUP(A219,Skovbrug!$A$13:$D$17,IF('Skovbrug-alder'!C219&lt;=År2,3,4),FALSE)
-IF(C219&gt;2020,SUM(INDEX($C$1:$D$311,MATCH(1,(2020=$C$1:$C$311)*(B219=$B$1:$B$311)*(A219=$A$1:$A$311),0),2):D218),0)</f>
        <v>286.26749999999737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1281.3113060274702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(IF(B220="Vestdanmark",Skovbrug!$C$22-(Skovbrug!$C$22)*(1-Skovbrug!$C$9)^(C220-Skovbrug!$B$12),Skovbrug!$F$22-(Skovbrug!$F$22)*(1-Skovbrug!$C$9)^(C220-Skovbrug!$B$12)))*VLOOKUP(A220,Skovbrug!$A$13:$D$17,IF('Skovbrug-alder'!C220&lt;=År2,3,4),FALSE)
-IF(C220&gt;2020,SUM(INDEX($C$1:$D$311,MATCH(1,(2020=$C$1:$C$311)*(B220=$B$1:$B$311)*(A220=$A$1:$A$311),0),2):D219),0)</f>
        <v>284.83616249999767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1279.8799685274705</v>
      </c>
      <c r="G220" s="168">
        <f ca="1">IF($C220-G$1&lt;År1,0,F219*(1-VLOOKUP($A220,[1]Hugst!$R$5:$W$9,MATCH(ROUNDUP((G$1)/10,0)*10,[1]Hugst!$R$4:$W$4,0))))</f>
        <v>1281.3113060274702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(IF(B221="Vestdanmark",Skovbrug!$C$22-(Skovbrug!$C$22)*(1-Skovbrug!$C$9)^(C221-Skovbrug!$B$12),Skovbrug!$F$22-(Skovbrug!$F$22)*(1-Skovbrug!$C$9)^(C221-Skovbrug!$B$12)))*VLOOKUP(A221,Skovbrug!$A$13:$D$17,IF('Skovbrug-alder'!C221&lt;=År2,3,4),FALSE)
-IF(C221&gt;2020,SUM(INDEX($C$1:$D$311,MATCH(1,(2020=$C$1:$C$311)*(B221=$B$1:$B$311)*(A221=$A$1:$A$311),0),2):D220),0)</f>
        <v>283.41198168750338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1278.4557877149764</v>
      </c>
      <c r="G221" s="168">
        <f ca="1">IF($C221-G$1&lt;År1,0,F220*(1-VLOOKUP($A221,[1]Hugst!$R$5:$W$9,MATCH(ROUNDUP((G$1)/10,0)*10,[1]Hugst!$R$4:$W$4,0))))</f>
        <v>1279.8799685274705</v>
      </c>
      <c r="H221" s="168">
        <f ca="1">IF($C221-H$1&lt;År1,0,G220*(1-VLOOKUP($A221,[1]Hugst!$R$5:$W$9,MATCH(ROUNDUP((H$1)/10,0)*10,[1]Hugst!$R$4:$W$4,0))))</f>
        <v>1281.3113060274702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(IF(B222="Vestdanmark",Skovbrug!$C$22-(Skovbrug!$C$22)*(1-Skovbrug!$C$9)^(C222-Skovbrug!$B$12),Skovbrug!$F$22-(Skovbrug!$F$22)*(1-Skovbrug!$C$9)^(C222-Skovbrug!$B$12)))*VLOOKUP(A222,Skovbrug!$A$13:$D$17,IF('Skovbrug-alder'!C222&lt;=År2,3,4),FALSE)
-IF(C222&gt;2020,SUM(INDEX($C$1:$D$311,MATCH(1,(2020=$C$1:$C$311)*(B222=$B$1:$B$311)*(A222=$A$1:$A$311),0),2):D221),0)</f>
        <v>281.9949217790637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1277.0387278065366</v>
      </c>
      <c r="G222" s="168">
        <f ca="1">IF($C222-G$1&lt;År1,0,F221*(1-VLOOKUP($A222,[1]Hugst!$R$5:$W$9,MATCH(ROUNDUP((G$1)/10,0)*10,[1]Hugst!$R$4:$W$4,0))))</f>
        <v>1278.4557877149764</v>
      </c>
      <c r="H222" s="168">
        <f ca="1">IF($C222-H$1&lt;År1,0,G221*(1-VLOOKUP($A222,[1]Hugst!$R$5:$W$9,MATCH(ROUNDUP((H$1)/10,0)*10,[1]Hugst!$R$4:$W$4,0))))</f>
        <v>1279.8799685274705</v>
      </c>
      <c r="I222" s="168">
        <f ca="1">IF($C222-I$1&lt;År1,0,H221*(1-VLOOKUP($A222,[1]Hugst!$R$5:$W$9,MATCH(ROUNDUP((I$1)/10,0)*10,[1]Hugst!$R$4:$W$4,0))))</f>
        <v>1281.3113060274702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(IF(B223="Vestdanmark",Skovbrug!$C$22-(Skovbrug!$C$22)*(1-Skovbrug!$C$9)^(C223-Skovbrug!$B$12),Skovbrug!$F$22-(Skovbrug!$F$22)*(1-Skovbrug!$C$9)^(C223-Skovbrug!$B$12)))*VLOOKUP(A223,Skovbrug!$A$13:$D$17,IF('Skovbrug-alder'!C223&lt;=År2,3,4),FALSE)
-IF(C223&gt;2020,SUM(INDEX($C$1:$D$311,MATCH(1,(2020=$C$1:$C$311)*(B223=$B$1:$B$311)*(A223=$A$1:$A$311),0),2):D222),0)</f>
        <v>280.5849471701606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1275.6287531976336</v>
      </c>
      <c r="G223" s="168">
        <f ca="1">IF($C223-G$1&lt;År1,0,F222*(1-VLOOKUP($A223,[1]Hugst!$R$5:$W$9,MATCH(ROUNDUP((G$1)/10,0)*10,[1]Hugst!$R$4:$W$4,0))))</f>
        <v>1277.0387278065366</v>
      </c>
      <c r="H223" s="168">
        <f ca="1">IF($C223-H$1&lt;År1,0,G222*(1-VLOOKUP($A223,[1]Hugst!$R$5:$W$9,MATCH(ROUNDUP((H$1)/10,0)*10,[1]Hugst!$R$4:$W$4,0))))</f>
        <v>1278.4557877149764</v>
      </c>
      <c r="I223" s="168">
        <f ca="1">IF($C223-I$1&lt;År1,0,H222*(1-VLOOKUP($A223,[1]Hugst!$R$5:$W$9,MATCH(ROUNDUP((I$1)/10,0)*10,[1]Hugst!$R$4:$W$4,0))))</f>
        <v>1279.8799685274705</v>
      </c>
      <c r="J223" s="168">
        <f ca="1">IF($C223-J$1&lt;År1,0,I222*(1-VLOOKUP($A223,[1]Hugst!$R$5:$W$9,MATCH(ROUNDUP((J$1)/10,0)*10,[1]Hugst!$R$4:$W$4,0))))</f>
        <v>1281.3113060274702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(IF(B224="Vestdanmark",Skovbrug!$C$22-(Skovbrug!$C$22)*(1-Skovbrug!$C$9)^(C224-Skovbrug!$B$12),Skovbrug!$F$22-(Skovbrug!$F$22)*(1-Skovbrug!$C$9)^(C224-Skovbrug!$B$12)))*VLOOKUP(A224,Skovbrug!$A$13:$D$17,IF('Skovbrug-alder'!C224&lt;=År2,3,4),FALSE)
-IF(C224&gt;2020,SUM(INDEX($C$1:$D$311,MATCH(1,(2020=$C$1:$C$311)*(B224=$B$1:$B$311)*(A224=$A$1:$A$311),0),2):D223),0)</f>
        <v>279.18202243431438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1274.2258284617874</v>
      </c>
      <c r="G224" s="168">
        <f ca="1">IF($C224-G$1&lt;År1,0,F223*(1-VLOOKUP($A224,[1]Hugst!$R$5:$W$9,MATCH(ROUNDUP((G$1)/10,0)*10,[1]Hugst!$R$4:$W$4,0))))</f>
        <v>1275.6287531976336</v>
      </c>
      <c r="H224" s="168">
        <f ca="1">IF($C224-H$1&lt;År1,0,G223*(1-VLOOKUP($A224,[1]Hugst!$R$5:$W$9,MATCH(ROUNDUP((H$1)/10,0)*10,[1]Hugst!$R$4:$W$4,0))))</f>
        <v>1277.0387278065366</v>
      </c>
      <c r="I224" s="168">
        <f ca="1">IF($C224-I$1&lt;År1,0,H223*(1-VLOOKUP($A224,[1]Hugst!$R$5:$W$9,MATCH(ROUNDUP((I$1)/10,0)*10,[1]Hugst!$R$4:$W$4,0))))</f>
        <v>1278.4557877149764</v>
      </c>
      <c r="J224" s="168">
        <f ca="1">IF($C224-J$1&lt;År1,0,I223*(1-VLOOKUP($A224,[1]Hugst!$R$5:$W$9,MATCH(ROUNDUP((J$1)/10,0)*10,[1]Hugst!$R$4:$W$4,0))))</f>
        <v>1279.8799685274705</v>
      </c>
      <c r="K224" s="168">
        <f ca="1">IF($C224-K$1&lt;År1,0,J223*(1-VLOOKUP($A224,[1]Hugst!$R$5:$W$9,MATCH(ROUNDUP((K$1)/10,0)*10,[1]Hugst!$R$4:$W$4,0))))</f>
        <v>1281.3113060274702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(IF(B225="Vestdanmark",Skovbrug!$C$22-(Skovbrug!$C$22)*(1-Skovbrug!$C$9)^(C225-Skovbrug!$B$12),Skovbrug!$F$22-(Skovbrug!$F$22)*(1-Skovbrug!$C$9)^(C225-Skovbrug!$B$12)))*VLOOKUP(A225,Skovbrug!$A$13:$D$17,IF('Skovbrug-alder'!C225&lt;=År2,3,4),FALSE)
-IF(C225&gt;2020,SUM(INDEX($C$1:$D$311,MATCH(1,(2020=$C$1:$C$311)*(B225=$B$1:$B$311)*(A225=$A$1:$A$311),0),2):D224),0)</f>
        <v>277.78611232215121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1272.8299183496242</v>
      </c>
      <c r="G225" s="168">
        <f ca="1">IF($C225-G$1&lt;År1,0,F224*(1-VLOOKUP($A225,[1]Hugst!$R$5:$W$9,MATCH(ROUNDUP((G$1)/10,0)*10,[1]Hugst!$R$4:$W$4,0))))</f>
        <v>1274.2258284617874</v>
      </c>
      <c r="H225" s="168">
        <f ca="1">IF($C225-H$1&lt;År1,0,G224*(1-VLOOKUP($A225,[1]Hugst!$R$5:$W$9,MATCH(ROUNDUP((H$1)/10,0)*10,[1]Hugst!$R$4:$W$4,0))))</f>
        <v>1275.6287531976336</v>
      </c>
      <c r="I225" s="168">
        <f ca="1">IF($C225-I$1&lt;År1,0,H224*(1-VLOOKUP($A225,[1]Hugst!$R$5:$W$9,MATCH(ROUNDUP((I$1)/10,0)*10,[1]Hugst!$R$4:$W$4,0))))</f>
        <v>1277.0387278065366</v>
      </c>
      <c r="J225" s="168">
        <f ca="1">IF($C225-J$1&lt;År1,0,I224*(1-VLOOKUP($A225,[1]Hugst!$R$5:$W$9,MATCH(ROUNDUP((J$1)/10,0)*10,[1]Hugst!$R$4:$W$4,0))))</f>
        <v>1278.4557877149764</v>
      </c>
      <c r="K225" s="168">
        <f ca="1">IF($C225-K$1&lt;År1,0,J224*(1-VLOOKUP($A225,[1]Hugst!$R$5:$W$9,MATCH(ROUNDUP((K$1)/10,0)*10,[1]Hugst!$R$4:$W$4,0))))</f>
        <v>1279.8799685274705</v>
      </c>
      <c r="L225" s="168">
        <f ca="1">IF($C225-L$1&lt;År1,0,K224*(1-VLOOKUP($A225,[1]Hugst!$R$5:$W$9,MATCH(ROUNDUP((L$1)/10,0)*10,[1]Hugst!$R$4:$W$4,0))))</f>
        <v>1281.3113060274702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(IF(B226="Vestdanmark",Skovbrug!$C$22-(Skovbrug!$C$22)*(1-Skovbrug!$C$9)^(C226-Skovbrug!$B$12),Skovbrug!$F$22-(Skovbrug!$F$22)*(1-Skovbrug!$C$9)^(C226-Skovbrug!$B$12)))*VLOOKUP(A226,Skovbrug!$A$13:$D$17,IF('Skovbrug-alder'!C226&lt;=År2,3,4),FALSE)
-IF(C226&gt;2020,SUM(INDEX($C$1:$D$311,MATCH(1,(2020=$C$1:$C$311)*(B226=$B$1:$B$311)*(A226=$A$1:$A$311),0),2):D225),0)</f>
        <v>276.39718176053384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1271.4409877880066</v>
      </c>
      <c r="G226" s="168">
        <f ca="1">IF($C226-G$1&lt;År1,0,F225*(1-VLOOKUP($A226,[1]Hugst!$R$5:$W$9,MATCH(ROUNDUP((G$1)/10,0)*10,[1]Hugst!$R$4:$W$4,0))))</f>
        <v>1272.8299183496242</v>
      </c>
      <c r="H226" s="168">
        <f ca="1">IF($C226-H$1&lt;År1,0,G225*(1-VLOOKUP($A226,[1]Hugst!$R$5:$W$9,MATCH(ROUNDUP((H$1)/10,0)*10,[1]Hugst!$R$4:$W$4,0))))</f>
        <v>1274.2258284617874</v>
      </c>
      <c r="I226" s="168">
        <f ca="1">IF($C226-I$1&lt;År1,0,H225*(1-VLOOKUP($A226,[1]Hugst!$R$5:$W$9,MATCH(ROUNDUP((I$1)/10,0)*10,[1]Hugst!$R$4:$W$4,0))))</f>
        <v>1275.6287531976336</v>
      </c>
      <c r="J226" s="168">
        <f ca="1">IF($C226-J$1&lt;År1,0,I225*(1-VLOOKUP($A226,[1]Hugst!$R$5:$W$9,MATCH(ROUNDUP((J$1)/10,0)*10,[1]Hugst!$R$4:$W$4,0))))</f>
        <v>1277.0387278065366</v>
      </c>
      <c r="K226" s="168">
        <f ca="1">IF($C226-K$1&lt;År1,0,J225*(1-VLOOKUP($A226,[1]Hugst!$R$5:$W$9,MATCH(ROUNDUP((K$1)/10,0)*10,[1]Hugst!$R$4:$W$4,0))))</f>
        <v>1278.4557877149764</v>
      </c>
      <c r="L226" s="168">
        <f ca="1">IF($C226-L$1&lt;År1,0,K225*(1-VLOOKUP($A226,[1]Hugst!$R$5:$W$9,MATCH(ROUNDUP((L$1)/10,0)*10,[1]Hugst!$R$4:$W$4,0))))</f>
        <v>1279.8799685274705</v>
      </c>
      <c r="M226" s="168">
        <f ca="1">IF($C226-M$1&lt;År1,0,L225*(1-VLOOKUP($A226,[1]Hugst!$R$5:$W$9,MATCH(ROUNDUP((M$1)/10,0)*10,[1]Hugst!$R$4:$W$4,0))))</f>
        <v>1281.3113060274702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(IF(B227="Vestdanmark",Skovbrug!$C$22-(Skovbrug!$C$22)*(1-Skovbrug!$C$9)^(C227-Skovbrug!$B$12),Skovbrug!$F$22-(Skovbrug!$F$22)*(1-Skovbrug!$C$9)^(C227-Skovbrug!$B$12)))*VLOOKUP(A227,Skovbrug!$A$13:$D$17,IF('Skovbrug-alder'!C227&lt;=År2,3,4),FALSE)
-IF(C227&gt;2020,SUM(INDEX($C$1:$D$311,MATCH(1,(2020=$C$1:$C$311)*(B227=$B$1:$B$311)*(A227=$A$1:$A$311),0),2):D226),0)</f>
        <v>275.01519585173492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1270.0590018792077</v>
      </c>
      <c r="G227" s="168">
        <f ca="1">IF($C227-G$1&lt;År1,0,F226*(1-VLOOKUP($A227,[1]Hugst!$R$5:$W$9,MATCH(ROUNDUP((G$1)/10,0)*10,[1]Hugst!$R$4:$W$4,0))))</f>
        <v>1271.4409877880066</v>
      </c>
      <c r="H227" s="168">
        <f ca="1">IF($C227-H$1&lt;År1,0,G226*(1-VLOOKUP($A227,[1]Hugst!$R$5:$W$9,MATCH(ROUNDUP((H$1)/10,0)*10,[1]Hugst!$R$4:$W$4,0))))</f>
        <v>1272.8299183496242</v>
      </c>
      <c r="I227" s="168">
        <f ca="1">IF($C227-I$1&lt;År1,0,H226*(1-VLOOKUP($A227,[1]Hugst!$R$5:$W$9,MATCH(ROUNDUP((I$1)/10,0)*10,[1]Hugst!$R$4:$W$4,0))))</f>
        <v>1274.2258284617874</v>
      </c>
      <c r="J227" s="168">
        <f ca="1">IF($C227-J$1&lt;År1,0,I226*(1-VLOOKUP($A227,[1]Hugst!$R$5:$W$9,MATCH(ROUNDUP((J$1)/10,0)*10,[1]Hugst!$R$4:$W$4,0))))</f>
        <v>1275.6287531976336</v>
      </c>
      <c r="K227" s="168">
        <f ca="1">IF($C227-K$1&lt;År1,0,J226*(1-VLOOKUP($A227,[1]Hugst!$R$5:$W$9,MATCH(ROUNDUP((K$1)/10,0)*10,[1]Hugst!$R$4:$W$4,0))))</f>
        <v>1277.0387278065366</v>
      </c>
      <c r="L227" s="168">
        <f ca="1">IF($C227-L$1&lt;År1,0,K226*(1-VLOOKUP($A227,[1]Hugst!$R$5:$W$9,MATCH(ROUNDUP((L$1)/10,0)*10,[1]Hugst!$R$4:$W$4,0))))</f>
        <v>1278.4557877149764</v>
      </c>
      <c r="M227" s="168">
        <f ca="1">IF($C227-M$1&lt;År1,0,L226*(1-VLOOKUP($A227,[1]Hugst!$R$5:$W$9,MATCH(ROUNDUP((M$1)/10,0)*10,[1]Hugst!$R$4:$W$4,0))))</f>
        <v>1279.8799685274705</v>
      </c>
      <c r="N227" s="168">
        <f ca="1">IF($C227-N$1&lt;År1,0,M226*(1-VLOOKUP($A227,[1]Hugst!$R$5:$W$9,MATCH(ROUNDUP((N$1)/10,0)*10,[1]Hugst!$R$4:$W$4,0))))</f>
        <v>1281.3113060274702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(IF(B228="Vestdanmark",Skovbrug!$C$22-(Skovbrug!$C$22)*(1-Skovbrug!$C$9)^(C228-Skovbrug!$B$12),Skovbrug!$F$22-(Skovbrug!$F$22)*(1-Skovbrug!$C$9)^(C228-Skovbrug!$B$12)))*VLOOKUP(A228,Skovbrug!$A$13:$D$17,IF('Skovbrug-alder'!C228&lt;=År2,3,4),FALSE)
-IF(C228&gt;2020,SUM(INDEX($C$1:$D$311,MATCH(1,(2020=$C$1:$C$311)*(B228=$B$1:$B$311)*(A228=$A$1:$A$311),0),2):D227),0)</f>
        <v>273.64011987246477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1268.6839258999375</v>
      </c>
      <c r="G228" s="168">
        <f ca="1">IF($C228-G$1&lt;År1,0,F227*(1-VLOOKUP($A228,[1]Hugst!$R$5:$W$9,MATCH(ROUNDUP((G$1)/10,0)*10,[1]Hugst!$R$4:$W$4,0))))</f>
        <v>1270.0590018792077</v>
      </c>
      <c r="H228" s="168">
        <f ca="1">IF($C228-H$1&lt;År1,0,G227*(1-VLOOKUP($A228,[1]Hugst!$R$5:$W$9,MATCH(ROUNDUP((H$1)/10,0)*10,[1]Hugst!$R$4:$W$4,0))))</f>
        <v>1271.4409877880066</v>
      </c>
      <c r="I228" s="168">
        <f ca="1">IF($C228-I$1&lt;År1,0,H227*(1-VLOOKUP($A228,[1]Hugst!$R$5:$W$9,MATCH(ROUNDUP((I$1)/10,0)*10,[1]Hugst!$R$4:$W$4,0))))</f>
        <v>1272.8299183496242</v>
      </c>
      <c r="J228" s="168">
        <f ca="1">IF($C228-J$1&lt;År1,0,I227*(1-VLOOKUP($A228,[1]Hugst!$R$5:$W$9,MATCH(ROUNDUP((J$1)/10,0)*10,[1]Hugst!$R$4:$W$4,0))))</f>
        <v>1274.2258284617874</v>
      </c>
      <c r="K228" s="168">
        <f ca="1">IF($C228-K$1&lt;År1,0,J227*(1-VLOOKUP($A228,[1]Hugst!$R$5:$W$9,MATCH(ROUNDUP((K$1)/10,0)*10,[1]Hugst!$R$4:$W$4,0))))</f>
        <v>1275.6287531976336</v>
      </c>
      <c r="L228" s="168">
        <f ca="1">IF($C228-L$1&lt;År1,0,K227*(1-VLOOKUP($A228,[1]Hugst!$R$5:$W$9,MATCH(ROUNDUP((L$1)/10,0)*10,[1]Hugst!$R$4:$W$4,0))))</f>
        <v>1277.0387278065366</v>
      </c>
      <c r="M228" s="168">
        <f ca="1">IF($C228-M$1&lt;År1,0,L227*(1-VLOOKUP($A228,[1]Hugst!$R$5:$W$9,MATCH(ROUNDUP((M$1)/10,0)*10,[1]Hugst!$R$4:$W$4,0))))</f>
        <v>1278.4557877149764</v>
      </c>
      <c r="N228" s="168">
        <f ca="1">IF($C228-N$1&lt;År1,0,M227*(1-VLOOKUP($A228,[1]Hugst!$R$5:$W$9,MATCH(ROUNDUP((N$1)/10,0)*10,[1]Hugst!$R$4:$W$4,0))))</f>
        <v>1279.8799685274705</v>
      </c>
      <c r="O228" s="168">
        <f ca="1">IF($C228-O$1&lt;År1,0,N227*(1-VLOOKUP($A228,[1]Hugst!$R$5:$W$9,MATCH(ROUNDUP((O$1)/10,0)*10,[1]Hugst!$R$4:$W$4,0))))</f>
        <v>1281.3113060274702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(IF(B229="Vestdanmark",Skovbrug!$C$22-(Skovbrug!$C$22)*(1-Skovbrug!$C$9)^(C229-Skovbrug!$B$12),Skovbrug!$F$22-(Skovbrug!$F$22)*(1-Skovbrug!$C$9)^(C229-Skovbrug!$B$12)))*VLOOKUP(A229,Skovbrug!$A$13:$D$17,IF('Skovbrug-alder'!C229&lt;=År2,3,4),FALSE)
-IF(C229&gt;2020,SUM(INDEX($C$1:$D$311,MATCH(1,(2020=$C$1:$C$311)*(B229=$B$1:$B$311)*(A229=$A$1:$A$311),0),2):D228),0)</f>
        <v>272.27191927311378</v>
      </c>
      <c r="E229" s="168">
        <f t="shared" ca="1" si="5"/>
        <v>2.812634574205731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1270.1283598747923</v>
      </c>
      <c r="G229" s="168">
        <f ca="1">IF($C229-G$1&lt;År1,0,F228*(1-VLOOKUP($A229,[1]Hugst!$R$5:$W$9,MATCH(ROUNDUP((G$1)/10,0)*10,[1]Hugst!$R$4:$W$4,0))))</f>
        <v>1268.6839258999375</v>
      </c>
      <c r="H229" s="168">
        <f ca="1">IF($C229-H$1&lt;År1,0,G228*(1-VLOOKUP($A229,[1]Hugst!$R$5:$W$9,MATCH(ROUNDUP((H$1)/10,0)*10,[1]Hugst!$R$4:$W$4,0))))</f>
        <v>1270.0590018792077</v>
      </c>
      <c r="I229" s="168">
        <f ca="1">IF($C229-I$1&lt;År1,0,H228*(1-VLOOKUP($A229,[1]Hugst!$R$5:$W$9,MATCH(ROUNDUP((I$1)/10,0)*10,[1]Hugst!$R$4:$W$4,0))))</f>
        <v>1271.4409877880066</v>
      </c>
      <c r="J229" s="168">
        <f ca="1">IF($C229-J$1&lt;År1,0,I228*(1-VLOOKUP($A229,[1]Hugst!$R$5:$W$9,MATCH(ROUNDUP((J$1)/10,0)*10,[1]Hugst!$R$4:$W$4,0))))</f>
        <v>1272.8299183496242</v>
      </c>
      <c r="K229" s="168">
        <f ca="1">IF($C229-K$1&lt;År1,0,J228*(1-VLOOKUP($A229,[1]Hugst!$R$5:$W$9,MATCH(ROUNDUP((K$1)/10,0)*10,[1]Hugst!$R$4:$W$4,0))))</f>
        <v>1274.2258284617874</v>
      </c>
      <c r="L229" s="168">
        <f ca="1">IF($C229-L$1&lt;År1,0,K228*(1-VLOOKUP($A229,[1]Hugst!$R$5:$W$9,MATCH(ROUNDUP((L$1)/10,0)*10,[1]Hugst!$R$4:$W$4,0))))</f>
        <v>1275.6287531976336</v>
      </c>
      <c r="M229" s="168">
        <f ca="1">IF($C229-M$1&lt;År1,0,L228*(1-VLOOKUP($A229,[1]Hugst!$R$5:$W$9,MATCH(ROUNDUP((M$1)/10,0)*10,[1]Hugst!$R$4:$W$4,0))))</f>
        <v>1277.0387278065366</v>
      </c>
      <c r="N229" s="168">
        <f ca="1">IF($C229-N$1&lt;År1,0,M228*(1-VLOOKUP($A229,[1]Hugst!$R$5:$W$9,MATCH(ROUNDUP((N$1)/10,0)*10,[1]Hugst!$R$4:$W$4,0))))</f>
        <v>1278.4557877149764</v>
      </c>
      <c r="O229" s="168">
        <f ca="1">IF($C229-O$1&lt;År1,0,N228*(1-VLOOKUP($A229,[1]Hugst!$R$5:$W$9,MATCH(ROUNDUP((O$1)/10,0)*10,[1]Hugst!$R$4:$W$4,0))))</f>
        <v>1279.8799685274705</v>
      </c>
      <c r="P229" s="168">
        <f ca="1">IF($C229-P$1&lt;År1,0,O228*(1-VLOOKUP($A229,[1]Hugst!$R$5:$W$9,MATCH(ROUNDUP((P$1)/10,0)*10,[1]Hugst!$R$4:$W$4,0))))</f>
        <v>1278.4986714532636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(IF(B230="Vestdanmark",Skovbrug!$C$22-(Skovbrug!$C$22)*(1-Skovbrug!$C$9)^(C230-Skovbrug!$B$12),Skovbrug!$F$22-(Skovbrug!$F$22)*(1-Skovbrug!$C$9)^(C230-Skovbrug!$B$12)))*VLOOKUP(A230,Skovbrug!$A$13:$D$17,IF('Skovbrug-alder'!C230&lt;=År2,3,4),FALSE)
-IF(C230&gt;2020,SUM(INDEX($C$1:$D$311,MATCH(1,(2020=$C$1:$C$311)*(B230=$B$1:$B$311)*(A230=$A$1:$A$311),0),2):D229),0)</f>
        <v>270.91055967673947</v>
      </c>
      <c r="E230" s="168">
        <f t="shared" ca="1" si="5"/>
        <v>5.6159531121520558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823.80060610400164</v>
      </c>
      <c r="G230" s="168">
        <f ca="1">IF($C230-G$1&lt;År1,0,F229*(1-VLOOKUP($A230,[1]Hugst!$R$5:$W$9,MATCH(ROUNDUP((G$1)/10,0)*10,[1]Hugst!$R$4:$W$4,0))))</f>
        <v>1270.1283598747923</v>
      </c>
      <c r="H230" s="168">
        <f ca="1">IF($C230-H$1&lt;År1,0,G229*(1-VLOOKUP($A230,[1]Hugst!$R$5:$W$9,MATCH(ROUNDUP((H$1)/10,0)*10,[1]Hugst!$R$4:$W$4,0))))</f>
        <v>1268.6839258999375</v>
      </c>
      <c r="I230" s="168">
        <f ca="1">IF($C230-I$1&lt;År1,0,H229*(1-VLOOKUP($A230,[1]Hugst!$R$5:$W$9,MATCH(ROUNDUP((I$1)/10,0)*10,[1]Hugst!$R$4:$W$4,0))))</f>
        <v>1270.0590018792077</v>
      </c>
      <c r="J230" s="168">
        <f ca="1">IF($C230-J$1&lt;År1,0,I229*(1-VLOOKUP($A230,[1]Hugst!$R$5:$W$9,MATCH(ROUNDUP((J$1)/10,0)*10,[1]Hugst!$R$4:$W$4,0))))</f>
        <v>1271.4409877880066</v>
      </c>
      <c r="K230" s="168">
        <f ca="1">IF($C230-K$1&lt;År1,0,J229*(1-VLOOKUP($A230,[1]Hugst!$R$5:$W$9,MATCH(ROUNDUP((K$1)/10,0)*10,[1]Hugst!$R$4:$W$4,0))))</f>
        <v>1272.8299183496242</v>
      </c>
      <c r="L230" s="168">
        <f ca="1">IF($C230-L$1&lt;År1,0,K229*(1-VLOOKUP($A230,[1]Hugst!$R$5:$W$9,MATCH(ROUNDUP((L$1)/10,0)*10,[1]Hugst!$R$4:$W$4,0))))</f>
        <v>1274.2258284617874</v>
      </c>
      <c r="M230" s="168">
        <f ca="1">IF($C230-M$1&lt;År1,0,L229*(1-VLOOKUP($A230,[1]Hugst!$R$5:$W$9,MATCH(ROUNDUP((M$1)/10,0)*10,[1]Hugst!$R$4:$W$4,0))))</f>
        <v>1275.6287531976336</v>
      </c>
      <c r="N230" s="168">
        <f ca="1">IF($C230-N$1&lt;År1,0,M229*(1-VLOOKUP($A230,[1]Hugst!$R$5:$W$9,MATCH(ROUNDUP((N$1)/10,0)*10,[1]Hugst!$R$4:$W$4,0))))</f>
        <v>1277.0387278065366</v>
      </c>
      <c r="O230" s="168">
        <f ca="1">IF($C230-O$1&lt;År1,0,N229*(1-VLOOKUP($A230,[1]Hugst!$R$5:$W$9,MATCH(ROUNDUP((O$1)/10,0)*10,[1]Hugst!$R$4:$W$4,0))))</f>
        <v>1278.4557877149764</v>
      </c>
      <c r="P230" s="168">
        <f ca="1">IF($C230-P$1&lt;År1,0,O229*(1-VLOOKUP($A230,[1]Hugst!$R$5:$W$9,MATCH(ROUNDUP((P$1)/10,0)*10,[1]Hugst!$R$4:$W$4,0))))</f>
        <v>1277.0704759136297</v>
      </c>
      <c r="Q230" s="168">
        <f ca="1">IF($C230-Q$1&lt;År1,0,P229*(1-VLOOKUP($A230,[1]Hugst!$R$5:$W$9,MATCH(ROUNDUP((Q$1)/10,0)*10,[1]Hugst!$R$4:$W$4,0))))</f>
        <v>1275.6922109549516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(IF(B231="Vestdanmark",Skovbrug!$C$22-(Skovbrug!$C$22)*(1-Skovbrug!$C$9)^(C231-Skovbrug!$B$12),Skovbrug!$F$22-(Skovbrug!$F$22)*(1-Skovbrug!$C$9)^(C231-Skovbrug!$B$12)))*VLOOKUP(A231,Skovbrug!$A$13:$D$17,IF('Skovbrug-alder'!C231&lt;=År2,3,4),FALSE)
-IF(C231&gt;2020,SUM(INDEX($C$1:$D$311,MATCH(1,(2020=$C$1:$C$311)*(B231=$B$1:$B$311)*(A231=$A$1:$A$311),0),2):D230),0)</f>
        <v>269.55600687836159</v>
      </c>
      <c r="E231" s="168">
        <f t="shared" ca="1" si="5"/>
        <v>8.4099917734765768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825.24009196694828</v>
      </c>
      <c r="G231" s="168">
        <f ca="1">IF($C231-G$1&lt;År1,0,F230*(1-VLOOKUP($A231,[1]Hugst!$R$5:$W$9,MATCH(ROUNDUP((G$1)/10,0)*10,[1]Hugst!$R$4:$W$4,0))))</f>
        <v>823.80060610400164</v>
      </c>
      <c r="H231" s="168">
        <f ca="1">IF($C231-H$1&lt;År1,0,G230*(1-VLOOKUP($A231,[1]Hugst!$R$5:$W$9,MATCH(ROUNDUP((H$1)/10,0)*10,[1]Hugst!$R$4:$W$4,0))))</f>
        <v>1270.1283598747923</v>
      </c>
      <c r="I231" s="168">
        <f ca="1">IF($C231-I$1&lt;År1,0,H230*(1-VLOOKUP($A231,[1]Hugst!$R$5:$W$9,MATCH(ROUNDUP((I$1)/10,0)*10,[1]Hugst!$R$4:$W$4,0))))</f>
        <v>1268.6839258999375</v>
      </c>
      <c r="J231" s="168">
        <f ca="1">IF($C231-J$1&lt;År1,0,I230*(1-VLOOKUP($A231,[1]Hugst!$R$5:$W$9,MATCH(ROUNDUP((J$1)/10,0)*10,[1]Hugst!$R$4:$W$4,0))))</f>
        <v>1270.0590018792077</v>
      </c>
      <c r="K231" s="168">
        <f ca="1">IF($C231-K$1&lt;År1,0,J230*(1-VLOOKUP($A231,[1]Hugst!$R$5:$W$9,MATCH(ROUNDUP((K$1)/10,0)*10,[1]Hugst!$R$4:$W$4,0))))</f>
        <v>1271.4409877880066</v>
      </c>
      <c r="L231" s="168">
        <f ca="1">IF($C231-L$1&lt;År1,0,K230*(1-VLOOKUP($A231,[1]Hugst!$R$5:$W$9,MATCH(ROUNDUP((L$1)/10,0)*10,[1]Hugst!$R$4:$W$4,0))))</f>
        <v>1272.8299183496242</v>
      </c>
      <c r="M231" s="168">
        <f ca="1">IF($C231-M$1&lt;År1,0,L230*(1-VLOOKUP($A231,[1]Hugst!$R$5:$W$9,MATCH(ROUNDUP((M$1)/10,0)*10,[1]Hugst!$R$4:$W$4,0))))</f>
        <v>1274.2258284617874</v>
      </c>
      <c r="N231" s="168">
        <f ca="1">IF($C231-N$1&lt;År1,0,M230*(1-VLOOKUP($A231,[1]Hugst!$R$5:$W$9,MATCH(ROUNDUP((N$1)/10,0)*10,[1]Hugst!$R$4:$W$4,0))))</f>
        <v>1275.6287531976336</v>
      </c>
      <c r="O231" s="168">
        <f ca="1">IF($C231-O$1&lt;År1,0,N230*(1-VLOOKUP($A231,[1]Hugst!$R$5:$W$9,MATCH(ROUNDUP((O$1)/10,0)*10,[1]Hugst!$R$4:$W$4,0))))</f>
        <v>1277.0387278065366</v>
      </c>
      <c r="P231" s="168">
        <f ca="1">IF($C231-P$1&lt;År1,0,O230*(1-VLOOKUP($A231,[1]Hugst!$R$5:$W$9,MATCH(ROUNDUP((P$1)/10,0)*10,[1]Hugst!$R$4:$W$4,0))))</f>
        <v>1275.6494213516996</v>
      </c>
      <c r="Q231" s="168">
        <f ca="1">IF($C231-Q$1&lt;År1,0,P230*(1-VLOOKUP($A231,[1]Hugst!$R$5:$W$9,MATCH(ROUNDUP((Q$1)/10,0)*10,[1]Hugst!$R$4:$W$4,0))))</f>
        <v>1274.2671504786974</v>
      </c>
      <c r="R231" s="168">
        <f ca="1">IF($C231-R$1&lt;År1,0,Q230*(1-VLOOKUP($A231,[1]Hugst!$R$5:$W$9,MATCH(ROUNDUP((R$1)/10,0)*10,[1]Hugst!$R$4:$W$4,0))))</f>
        <v>1272.8919109796846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(IF(B232="Vestdanmark",Skovbrug!$C$22-(Skovbrug!$C$22)*(1-Skovbrug!$C$9)^(C232-Skovbrug!$B$12),Skovbrug!$F$22-(Skovbrug!$F$22)*(1-Skovbrug!$C$9)^(C232-Skovbrug!$B$12)))*VLOOKUP(A232,Skovbrug!$A$13:$D$17,IF('Skovbrug-alder'!C232&lt;=År2,3,4),FALSE)
-IF(C232&gt;2020,SUM(INDEX($C$1:$D$311,MATCH(1,(2020=$C$1:$C$311)*(B232=$B$1:$B$311)*(A232=$A$1:$A$311),0),2):D231),0)</f>
        <v>268.20822684396762</v>
      </c>
      <c r="E232" s="168">
        <f t="shared" ca="1" si="5"/>
        <v>11.194786559890417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826.67710671896816</v>
      </c>
      <c r="G232" s="168">
        <f ca="1">IF($C232-G$1&lt;År1,0,F231*(1-VLOOKUP($A232,[1]Hugst!$R$5:$W$9,MATCH(ROUNDUP((G$1)/10,0)*10,[1]Hugst!$R$4:$W$4,0))))</f>
        <v>825.24009196694828</v>
      </c>
      <c r="H232" s="168">
        <f ca="1">IF($C232-H$1&lt;År1,0,G231*(1-VLOOKUP($A232,[1]Hugst!$R$5:$W$9,MATCH(ROUNDUP((H$1)/10,0)*10,[1]Hugst!$R$4:$W$4,0))))</f>
        <v>823.80060610400164</v>
      </c>
      <c r="I232" s="168">
        <f ca="1">IF($C232-I$1&lt;År1,0,H231*(1-VLOOKUP($A232,[1]Hugst!$R$5:$W$9,MATCH(ROUNDUP((I$1)/10,0)*10,[1]Hugst!$R$4:$W$4,0))))</f>
        <v>1270.1283598747923</v>
      </c>
      <c r="J232" s="168">
        <f ca="1">IF($C232-J$1&lt;År1,0,I231*(1-VLOOKUP($A232,[1]Hugst!$R$5:$W$9,MATCH(ROUNDUP((J$1)/10,0)*10,[1]Hugst!$R$4:$W$4,0))))</f>
        <v>1268.6839258999375</v>
      </c>
      <c r="K232" s="168">
        <f ca="1">IF($C232-K$1&lt;År1,0,J231*(1-VLOOKUP($A232,[1]Hugst!$R$5:$W$9,MATCH(ROUNDUP((K$1)/10,0)*10,[1]Hugst!$R$4:$W$4,0))))</f>
        <v>1270.0590018792077</v>
      </c>
      <c r="L232" s="168">
        <f ca="1">IF($C232-L$1&lt;År1,0,K231*(1-VLOOKUP($A232,[1]Hugst!$R$5:$W$9,MATCH(ROUNDUP((L$1)/10,0)*10,[1]Hugst!$R$4:$W$4,0))))</f>
        <v>1271.4409877880066</v>
      </c>
      <c r="M232" s="168">
        <f ca="1">IF($C232-M$1&lt;År1,0,L231*(1-VLOOKUP($A232,[1]Hugst!$R$5:$W$9,MATCH(ROUNDUP((M$1)/10,0)*10,[1]Hugst!$R$4:$W$4,0))))</f>
        <v>1272.8299183496242</v>
      </c>
      <c r="N232" s="168">
        <f ca="1">IF($C232-N$1&lt;År1,0,M231*(1-VLOOKUP($A232,[1]Hugst!$R$5:$W$9,MATCH(ROUNDUP((N$1)/10,0)*10,[1]Hugst!$R$4:$W$4,0))))</f>
        <v>1274.2258284617874</v>
      </c>
      <c r="O232" s="168">
        <f ca="1">IF($C232-O$1&lt;År1,0,N231*(1-VLOOKUP($A232,[1]Hugst!$R$5:$W$9,MATCH(ROUNDUP((O$1)/10,0)*10,[1]Hugst!$R$4:$W$4,0))))</f>
        <v>1275.6287531976336</v>
      </c>
      <c r="P232" s="168">
        <f ca="1">IF($C232-P$1&lt;År1,0,O231*(1-VLOOKUP($A232,[1]Hugst!$R$5:$W$9,MATCH(ROUNDUP((P$1)/10,0)*10,[1]Hugst!$R$4:$W$4,0))))</f>
        <v>1274.235472062571</v>
      </c>
      <c r="Q232" s="168">
        <f ca="1">IF($C232-Q$1&lt;År1,0,P231*(1-VLOOKUP($A232,[1]Hugst!$R$5:$W$9,MATCH(ROUNDUP((Q$1)/10,0)*10,[1]Hugst!$R$4:$W$4,0))))</f>
        <v>1272.8492153048301</v>
      </c>
      <c r="R232" s="168">
        <f ca="1">IF($C232-R$1&lt;År1,0,Q231*(1-VLOOKUP($A232,[1]Hugst!$R$5:$W$9,MATCH(ROUNDUP((R$1)/10,0)*10,[1]Hugst!$R$4:$W$4,0))))</f>
        <v>1271.4699786849637</v>
      </c>
      <c r="S232" s="168">
        <f ca="1">IF($C232-S$1&lt;År1,0,R231*(1-VLOOKUP($A232,[1]Hugst!$R$5:$W$9,MATCH(ROUNDUP((S$1)/10,0)*10,[1]Hugst!$R$4:$W$4,0))))</f>
        <v>1270.0977580043632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(IF(B233="Vestdanmark",Skovbrug!$C$22-(Skovbrug!$C$22)*(1-Skovbrug!$C$9)^(C233-Skovbrug!$B$12),Skovbrug!$F$22-(Skovbrug!$F$22)*(1-Skovbrug!$C$9)^(C233-Skovbrug!$B$12)))*VLOOKUP(A233,Skovbrug!$A$13:$D$17,IF('Skovbrug-alder'!C233&lt;=År2,3,4),FALSE)
-IF(C233&gt;2020,SUM(INDEX($C$1:$D$311,MATCH(1,(2020=$C$1:$C$311)*(B233=$B$1:$B$311)*(A233=$A$1:$A$311),0),2):D232),0)</f>
        <v>266.86718570974699</v>
      </c>
      <c r="E233" s="168">
        <f t="shared" ca="1" si="5"/>
        <v>13.970373315925826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828.11165234078294</v>
      </c>
      <c r="G233" s="168">
        <f ca="1">IF($C233-G$1&lt;År1,0,F232*(1-VLOOKUP($A233,[1]Hugst!$R$5:$W$9,MATCH(ROUNDUP((G$1)/10,0)*10,[1]Hugst!$R$4:$W$4,0))))</f>
        <v>826.67710671896816</v>
      </c>
      <c r="H233" s="168">
        <f ca="1">IF($C233-H$1&lt;År1,0,G232*(1-VLOOKUP($A233,[1]Hugst!$R$5:$W$9,MATCH(ROUNDUP((H$1)/10,0)*10,[1]Hugst!$R$4:$W$4,0))))</f>
        <v>825.24009196694828</v>
      </c>
      <c r="I233" s="168">
        <f ca="1">IF($C233-I$1&lt;År1,0,H232*(1-VLOOKUP($A233,[1]Hugst!$R$5:$W$9,MATCH(ROUNDUP((I$1)/10,0)*10,[1]Hugst!$R$4:$W$4,0))))</f>
        <v>823.80060610400164</v>
      </c>
      <c r="J233" s="168">
        <f ca="1">IF($C233-J$1&lt;År1,0,I232*(1-VLOOKUP($A233,[1]Hugst!$R$5:$W$9,MATCH(ROUNDUP((J$1)/10,0)*10,[1]Hugst!$R$4:$W$4,0))))</f>
        <v>1270.1283598747923</v>
      </c>
      <c r="K233" s="168">
        <f ca="1">IF($C233-K$1&lt;År1,0,J232*(1-VLOOKUP($A233,[1]Hugst!$R$5:$W$9,MATCH(ROUNDUP((K$1)/10,0)*10,[1]Hugst!$R$4:$W$4,0))))</f>
        <v>1268.6839258999375</v>
      </c>
      <c r="L233" s="168">
        <f ca="1">IF($C233-L$1&lt;År1,0,K232*(1-VLOOKUP($A233,[1]Hugst!$R$5:$W$9,MATCH(ROUNDUP((L$1)/10,0)*10,[1]Hugst!$R$4:$W$4,0))))</f>
        <v>1270.0590018792077</v>
      </c>
      <c r="M233" s="168">
        <f ca="1">IF($C233-M$1&lt;År1,0,L232*(1-VLOOKUP($A233,[1]Hugst!$R$5:$W$9,MATCH(ROUNDUP((M$1)/10,0)*10,[1]Hugst!$R$4:$W$4,0))))</f>
        <v>1271.4409877880066</v>
      </c>
      <c r="N233" s="168">
        <f ca="1">IF($C233-N$1&lt;År1,0,M232*(1-VLOOKUP($A233,[1]Hugst!$R$5:$W$9,MATCH(ROUNDUP((N$1)/10,0)*10,[1]Hugst!$R$4:$W$4,0))))</f>
        <v>1272.8299183496242</v>
      </c>
      <c r="O233" s="168">
        <f ca="1">IF($C233-O$1&lt;År1,0,N232*(1-VLOOKUP($A233,[1]Hugst!$R$5:$W$9,MATCH(ROUNDUP((O$1)/10,0)*10,[1]Hugst!$R$4:$W$4,0))))</f>
        <v>1274.2258284617874</v>
      </c>
      <c r="P233" s="168">
        <f ca="1">IF($C233-P$1&lt;År1,0,O232*(1-VLOOKUP($A233,[1]Hugst!$R$5:$W$9,MATCH(ROUNDUP((P$1)/10,0)*10,[1]Hugst!$R$4:$W$4,0))))</f>
        <v>1272.8285925198827</v>
      </c>
      <c r="Q233" s="168">
        <f ca="1">IF($C233-Q$1&lt;År1,0,P232*(1-VLOOKUP($A233,[1]Hugst!$R$5:$W$9,MATCH(ROUNDUP((Q$1)/10,0)*10,[1]Hugst!$R$4:$W$4,0))))</f>
        <v>1271.4383698068239</v>
      </c>
      <c r="R233" s="168">
        <f ca="1">IF($C233-R$1&lt;År1,0,Q232*(1-VLOOKUP($A233,[1]Hugst!$R$5:$W$9,MATCH(ROUNDUP((R$1)/10,0)*10,[1]Hugst!$R$4:$W$4,0))))</f>
        <v>1270.055156051722</v>
      </c>
      <c r="S233" s="168">
        <f ca="1">IF($C233-S$1&lt;År1,0,R232*(1-VLOOKUP($A233,[1]Hugst!$R$5:$W$9,MATCH(ROUNDUP((S$1)/10,0)*10,[1]Hugst!$R$4:$W$4,0))))</f>
        <v>1268.6789470244357</v>
      </c>
      <c r="T233" s="168">
        <f ca="1">IF($C233-T$1&lt;År1,0,S232*(1-VLOOKUP($A233,[1]Hugst!$R$5:$W$9,MATCH(ROUNDUP((T$1)/10,0)*10,[1]Hugst!$R$4:$W$4,0))))</f>
        <v>1267.3097385355732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(IF(B234="Vestdanmark",Skovbrug!$C$22-(Skovbrug!$C$22)*(1-Skovbrug!$C$9)^(C234-Skovbrug!$B$12),Skovbrug!$F$22-(Skovbrug!$F$22)*(1-Skovbrug!$C$9)^(C234-Skovbrug!$B$12)))*VLOOKUP(A234,Skovbrug!$A$13:$D$17,IF('Skovbrug-alder'!C234&lt;=År2,3,4),FALSE)
-IF(C234&gt;2020,SUM(INDEX($C$1:$D$311,MATCH(1,(2020=$C$1:$C$311)*(B234=$B$1:$B$311)*(A234=$A$1:$A$311),0),2):D233),0)</f>
        <v>265.53284978120791</v>
      </c>
      <c r="E234" s="168">
        <f t="shared" ca="1" si="5"/>
        <v>16.736787729660136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829.54373082597817</v>
      </c>
      <c r="G234" s="168">
        <f ca="1">IF($C234-G$1&lt;År1,0,F233*(1-VLOOKUP($A234,[1]Hugst!$R$5:$W$9,MATCH(ROUNDUP((G$1)/10,0)*10,[1]Hugst!$R$4:$W$4,0))))</f>
        <v>828.11165234078294</v>
      </c>
      <c r="H234" s="168">
        <f ca="1">IF($C234-H$1&lt;År1,0,G233*(1-VLOOKUP($A234,[1]Hugst!$R$5:$W$9,MATCH(ROUNDUP((H$1)/10,0)*10,[1]Hugst!$R$4:$W$4,0))))</f>
        <v>826.67710671896816</v>
      </c>
      <c r="I234" s="168">
        <f ca="1">IF($C234-I$1&lt;År1,0,H233*(1-VLOOKUP($A234,[1]Hugst!$R$5:$W$9,MATCH(ROUNDUP((I$1)/10,0)*10,[1]Hugst!$R$4:$W$4,0))))</f>
        <v>825.24009196694828</v>
      </c>
      <c r="J234" s="168">
        <f ca="1">IF($C234-J$1&lt;År1,0,I233*(1-VLOOKUP($A234,[1]Hugst!$R$5:$W$9,MATCH(ROUNDUP((J$1)/10,0)*10,[1]Hugst!$R$4:$W$4,0))))</f>
        <v>823.80060610400164</v>
      </c>
      <c r="K234" s="168">
        <f ca="1">IF($C234-K$1&lt;År1,0,J233*(1-VLOOKUP($A234,[1]Hugst!$R$5:$W$9,MATCH(ROUNDUP((K$1)/10,0)*10,[1]Hugst!$R$4:$W$4,0))))</f>
        <v>1270.1283598747923</v>
      </c>
      <c r="L234" s="168">
        <f ca="1">IF($C234-L$1&lt;År1,0,K233*(1-VLOOKUP($A234,[1]Hugst!$R$5:$W$9,MATCH(ROUNDUP((L$1)/10,0)*10,[1]Hugst!$R$4:$W$4,0))))</f>
        <v>1268.6839258999375</v>
      </c>
      <c r="M234" s="168">
        <f ca="1">IF($C234-M$1&lt;År1,0,L233*(1-VLOOKUP($A234,[1]Hugst!$R$5:$W$9,MATCH(ROUNDUP((M$1)/10,0)*10,[1]Hugst!$R$4:$W$4,0))))</f>
        <v>1270.0590018792077</v>
      </c>
      <c r="N234" s="168">
        <f ca="1">IF($C234-N$1&lt;År1,0,M233*(1-VLOOKUP($A234,[1]Hugst!$R$5:$W$9,MATCH(ROUNDUP((N$1)/10,0)*10,[1]Hugst!$R$4:$W$4,0))))</f>
        <v>1271.4409877880066</v>
      </c>
      <c r="O234" s="168">
        <f ca="1">IF($C234-O$1&lt;År1,0,N233*(1-VLOOKUP($A234,[1]Hugst!$R$5:$W$9,MATCH(ROUNDUP((O$1)/10,0)*10,[1]Hugst!$R$4:$W$4,0))))</f>
        <v>1272.8299183496242</v>
      </c>
      <c r="P234" s="168">
        <f ca="1">IF($C234-P$1&lt;År1,0,O233*(1-VLOOKUP($A234,[1]Hugst!$R$5:$W$9,MATCH(ROUNDUP((P$1)/10,0)*10,[1]Hugst!$R$4:$W$4,0))))</f>
        <v>1271.42874737492</v>
      </c>
      <c r="Q234" s="168">
        <f ca="1">IF($C234-Q$1&lt;År1,0,P233*(1-VLOOKUP($A234,[1]Hugst!$R$5:$W$9,MATCH(ROUNDUP((Q$1)/10,0)*10,[1]Hugst!$R$4:$W$4,0))))</f>
        <v>1270.0345785363024</v>
      </c>
      <c r="R234" s="168">
        <f ca="1">IF($C234-R$1&lt;År1,0,Q233*(1-VLOOKUP($A234,[1]Hugst!$R$5:$W$9,MATCH(ROUNDUP((R$1)/10,0)*10,[1]Hugst!$R$4:$W$4,0))))</f>
        <v>1268.6474075316382</v>
      </c>
      <c r="S234" s="168">
        <f ca="1">IF($C234-S$1&lt;År1,0,R233*(1-VLOOKUP($A234,[1]Hugst!$R$5:$W$9,MATCH(ROUNDUP((S$1)/10,0)*10,[1]Hugst!$R$4:$W$4,0))))</f>
        <v>1267.2672300994134</v>
      </c>
      <c r="T234" s="168">
        <f ca="1">IF($C234-T$1&lt;År1,0,S233*(1-VLOOKUP($A234,[1]Hugst!$R$5:$W$9,MATCH(ROUNDUP((T$1)/10,0)*10,[1]Hugst!$R$4:$W$4,0))))</f>
        <v>1265.8940420187723</v>
      </c>
      <c r="U234" s="168">
        <f ca="1">IF($C234-U$1&lt;År1,0,T233*(1-VLOOKUP($A234,[1]Hugst!$R$5:$W$9,MATCH(ROUNDUP((U$1)/10,0)*10,[1]Hugst!$R$4:$W$4,0))))</f>
        <v>1264.5278391095194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(IF(B235="Vestdanmark",Skovbrug!$C$22-(Skovbrug!$C$22)*(1-Skovbrug!$C$9)^(C235-Skovbrug!$B$12),Skovbrug!$F$22-(Skovbrug!$F$22)*(1-Skovbrug!$C$9)^(C235-Skovbrug!$B$12)))*VLOOKUP(A235,Skovbrug!$A$13:$D$17,IF('Skovbrug-alder'!C235&lt;=År2,3,4),FALSE)
-IF(C235&gt;2020,SUM(INDEX($C$1:$D$311,MATCH(1,(2020=$C$1:$C$311)*(B235=$B$1:$B$311)*(A235=$A$1:$A$311),0),2):D234),0)</f>
        <v>264.20518553228976</v>
      </c>
      <c r="E235" s="168">
        <f t="shared" ca="1" si="5"/>
        <v>19.49406533345973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830.97334418085961</v>
      </c>
      <c r="G235" s="168">
        <f ca="1">IF($C235-G$1&lt;År1,0,F234*(1-VLOOKUP($A235,[1]Hugst!$R$5:$W$9,MATCH(ROUNDUP((G$1)/10,0)*10,[1]Hugst!$R$4:$W$4,0))))</f>
        <v>829.54373082597817</v>
      </c>
      <c r="H235" s="168">
        <f ca="1">IF($C235-H$1&lt;År1,0,G234*(1-VLOOKUP($A235,[1]Hugst!$R$5:$W$9,MATCH(ROUNDUP((H$1)/10,0)*10,[1]Hugst!$R$4:$W$4,0))))</f>
        <v>828.11165234078294</v>
      </c>
      <c r="I235" s="168">
        <f ca="1">IF($C235-I$1&lt;År1,0,H234*(1-VLOOKUP($A235,[1]Hugst!$R$5:$W$9,MATCH(ROUNDUP((I$1)/10,0)*10,[1]Hugst!$R$4:$W$4,0))))</f>
        <v>826.67710671896816</v>
      </c>
      <c r="J235" s="168">
        <f ca="1">IF($C235-J$1&lt;År1,0,I234*(1-VLOOKUP($A235,[1]Hugst!$R$5:$W$9,MATCH(ROUNDUP((J$1)/10,0)*10,[1]Hugst!$R$4:$W$4,0))))</f>
        <v>825.24009196694828</v>
      </c>
      <c r="K235" s="168">
        <f ca="1">IF($C235-K$1&lt;År1,0,J234*(1-VLOOKUP($A235,[1]Hugst!$R$5:$W$9,MATCH(ROUNDUP((K$1)/10,0)*10,[1]Hugst!$R$4:$W$4,0))))</f>
        <v>823.80060610400164</v>
      </c>
      <c r="L235" s="168">
        <f ca="1">IF($C235-L$1&lt;År1,0,K234*(1-VLOOKUP($A235,[1]Hugst!$R$5:$W$9,MATCH(ROUNDUP((L$1)/10,0)*10,[1]Hugst!$R$4:$W$4,0))))</f>
        <v>1270.1283598747923</v>
      </c>
      <c r="M235" s="168">
        <f ca="1">IF($C235-M$1&lt;År1,0,L234*(1-VLOOKUP($A235,[1]Hugst!$R$5:$W$9,MATCH(ROUNDUP((M$1)/10,0)*10,[1]Hugst!$R$4:$W$4,0))))</f>
        <v>1268.6839258999375</v>
      </c>
      <c r="N235" s="168">
        <f ca="1">IF($C235-N$1&lt;År1,0,M234*(1-VLOOKUP($A235,[1]Hugst!$R$5:$W$9,MATCH(ROUNDUP((N$1)/10,0)*10,[1]Hugst!$R$4:$W$4,0))))</f>
        <v>1270.0590018792077</v>
      </c>
      <c r="O235" s="168">
        <f ca="1">IF($C235-O$1&lt;År1,0,N234*(1-VLOOKUP($A235,[1]Hugst!$R$5:$W$9,MATCH(ROUNDUP((O$1)/10,0)*10,[1]Hugst!$R$4:$W$4,0))))</f>
        <v>1271.4409877880066</v>
      </c>
      <c r="P235" s="168">
        <f ca="1">IF($C235-P$1&lt;År1,0,O234*(1-VLOOKUP($A235,[1]Hugst!$R$5:$W$9,MATCH(ROUNDUP((P$1)/10,0)*10,[1]Hugst!$R$4:$W$4,0))))</f>
        <v>1270.0359014556859</v>
      </c>
      <c r="Q235" s="168">
        <f ca="1">IF($C235-Q$1&lt;År1,0,P234*(1-VLOOKUP($A235,[1]Hugst!$R$5:$W$9,MATCH(ROUNDUP((Q$1)/10,0)*10,[1]Hugst!$R$4:$W$4,0))))</f>
        <v>1268.6378062221459</v>
      </c>
      <c r="R235" s="168">
        <f ca="1">IF($C235-R$1&lt;År1,0,Q234*(1-VLOOKUP($A235,[1]Hugst!$R$5:$W$9,MATCH(ROUNDUP((R$1)/10,0)*10,[1]Hugst!$R$4:$W$4,0))))</f>
        <v>1267.2466977541496</v>
      </c>
      <c r="S235" s="168">
        <f ca="1">IF($C235-S$1&lt;År1,0,R234*(1-VLOOKUP($A235,[1]Hugst!$R$5:$W$9,MATCH(ROUNDUP((S$1)/10,0)*10,[1]Hugst!$R$4:$W$4,0))))</f>
        <v>1265.8625717590078</v>
      </c>
      <c r="T235" s="168">
        <f ca="1">IF($C235-T$1&lt;År1,0,S234*(1-VLOOKUP($A235,[1]Hugst!$R$5:$W$9,MATCH(ROUNDUP((T$1)/10,0)*10,[1]Hugst!$R$4:$W$4,0))))</f>
        <v>1264.4854239845611</v>
      </c>
      <c r="U235" s="168">
        <f ca="1">IF($C235-U$1&lt;År1,0,T234*(1-VLOOKUP($A235,[1]Hugst!$R$5:$W$9,MATCH(ROUNDUP((U$1)/10,0)*10,[1]Hugst!$R$4:$W$4,0))))</f>
        <v>1263.115250219219</v>
      </c>
      <c r="V235" s="168">
        <f ca="1">IF($C235-V$1&lt;År1,0,U234*(1-VLOOKUP($A235,[1]Hugst!$R$5:$W$9,MATCH(ROUNDUP((V$1)/10,0)*10,[1]Hugst!$R$4:$W$4,0))))</f>
        <v>1261.752046291962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(IF(B236="Vestdanmark",Skovbrug!$C$22-(Skovbrug!$C$22)*(1-Skovbrug!$C$9)^(C236-Skovbrug!$B$12),Skovbrug!$F$22-(Skovbrug!$F$22)*(1-Skovbrug!$C$9)^(C236-Skovbrug!$B$12)))*VLOOKUP(A236,Skovbrug!$A$13:$D$17,IF('Skovbrug-alder'!C236&lt;=År2,3,4),FALSE)
-IF(C236&gt;2020,SUM(INDEX($C$1:$D$311,MATCH(1,(2020=$C$1:$C$311)*(B236=$B$1:$B$311)*(A236=$A$1:$A$311),0),2):D235),0)</f>
        <v>262.88415960463499</v>
      </c>
      <c r="E236" s="168">
        <f t="shared" ca="1" si="5"/>
        <v>22.242241504696722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832.40049442444183</v>
      </c>
      <c r="G236" s="168">
        <f ca="1">IF($C236-G$1&lt;År1,0,F235*(1-VLOOKUP($A236,[1]Hugst!$R$5:$W$9,MATCH(ROUNDUP((G$1)/10,0)*10,[1]Hugst!$R$4:$W$4,0))))</f>
        <v>830.97334418085961</v>
      </c>
      <c r="H236" s="168">
        <f ca="1">IF($C236-H$1&lt;År1,0,G235*(1-VLOOKUP($A236,[1]Hugst!$R$5:$W$9,MATCH(ROUNDUP((H$1)/10,0)*10,[1]Hugst!$R$4:$W$4,0))))</f>
        <v>829.54373082597817</v>
      </c>
      <c r="I236" s="168">
        <f ca="1">IF($C236-I$1&lt;År1,0,H235*(1-VLOOKUP($A236,[1]Hugst!$R$5:$W$9,MATCH(ROUNDUP((I$1)/10,0)*10,[1]Hugst!$R$4:$W$4,0))))</f>
        <v>828.11165234078294</v>
      </c>
      <c r="J236" s="168">
        <f ca="1">IF($C236-J$1&lt;År1,0,I235*(1-VLOOKUP($A236,[1]Hugst!$R$5:$W$9,MATCH(ROUNDUP((J$1)/10,0)*10,[1]Hugst!$R$4:$W$4,0))))</f>
        <v>826.67710671896816</v>
      </c>
      <c r="K236" s="168">
        <f ca="1">IF($C236-K$1&lt;År1,0,J235*(1-VLOOKUP($A236,[1]Hugst!$R$5:$W$9,MATCH(ROUNDUP((K$1)/10,0)*10,[1]Hugst!$R$4:$W$4,0))))</f>
        <v>825.24009196694828</v>
      </c>
      <c r="L236" s="168">
        <f ca="1">IF($C236-L$1&lt;År1,0,K235*(1-VLOOKUP($A236,[1]Hugst!$R$5:$W$9,MATCH(ROUNDUP((L$1)/10,0)*10,[1]Hugst!$R$4:$W$4,0))))</f>
        <v>823.80060610400164</v>
      </c>
      <c r="M236" s="168">
        <f ca="1">IF($C236-M$1&lt;År1,0,L235*(1-VLOOKUP($A236,[1]Hugst!$R$5:$W$9,MATCH(ROUNDUP((M$1)/10,0)*10,[1]Hugst!$R$4:$W$4,0))))</f>
        <v>1270.1283598747923</v>
      </c>
      <c r="N236" s="168">
        <f ca="1">IF($C236-N$1&lt;År1,0,M235*(1-VLOOKUP($A236,[1]Hugst!$R$5:$W$9,MATCH(ROUNDUP((N$1)/10,0)*10,[1]Hugst!$R$4:$W$4,0))))</f>
        <v>1268.6839258999375</v>
      </c>
      <c r="O236" s="168">
        <f ca="1">IF($C236-O$1&lt;År1,0,N235*(1-VLOOKUP($A236,[1]Hugst!$R$5:$W$9,MATCH(ROUNDUP((O$1)/10,0)*10,[1]Hugst!$R$4:$W$4,0))))</f>
        <v>1270.0590018792077</v>
      </c>
      <c r="P236" s="168">
        <f ca="1">IF($C236-P$1&lt;År1,0,O235*(1-VLOOKUP($A236,[1]Hugst!$R$5:$W$9,MATCH(ROUNDUP((P$1)/10,0)*10,[1]Hugst!$R$4:$W$4,0))))</f>
        <v>1268.650019766033</v>
      </c>
      <c r="Q236" s="168">
        <f ca="1">IF($C236-Q$1&lt;År1,0,P235*(1-VLOOKUP($A236,[1]Hugst!$R$5:$W$9,MATCH(ROUNDUP((Q$1)/10,0)*10,[1]Hugst!$R$4:$W$4,0))))</f>
        <v>1267.2480177695636</v>
      </c>
      <c r="R236" s="168">
        <f ca="1">IF($C236-R$1&lt;År1,0,Q235*(1-VLOOKUP($A236,[1]Hugst!$R$5:$W$9,MATCH(ROUNDUP((R$1)/10,0)*10,[1]Hugst!$R$4:$W$4,0))))</f>
        <v>1265.8529915255606</v>
      </c>
      <c r="S236" s="168">
        <f ca="1">IF($C236-S$1&lt;År1,0,R235*(1-VLOOKUP($A236,[1]Hugst!$R$5:$W$9,MATCH(ROUNDUP((S$1)/10,0)*10,[1]Hugst!$R$4:$W$4,0))))</f>
        <v>1264.4649367102991</v>
      </c>
      <c r="T236" s="168">
        <f ca="1">IF($C236-T$1&lt;År1,0,S235*(1-VLOOKUP($A236,[1]Hugst!$R$5:$W$9,MATCH(ROUNDUP((T$1)/10,0)*10,[1]Hugst!$R$4:$W$4,0))))</f>
        <v>1263.0838490405124</v>
      </c>
      <c r="U236" s="168">
        <f ca="1">IF($C236-U$1&lt;År1,0,T235*(1-VLOOKUP($A236,[1]Hugst!$R$5:$W$9,MATCH(ROUNDUP((U$1)/10,0)*10,[1]Hugst!$R$4:$W$4,0))))</f>
        <v>1261.7097242733755</v>
      </c>
      <c r="V236" s="168">
        <f ca="1">IF($C236-V$1&lt;År1,0,U235*(1-VLOOKUP($A236,[1]Hugst!$R$5:$W$9,MATCH(ROUNDUP((V$1)/10,0)*10,[1]Hugst!$R$4:$W$4,0))))</f>
        <v>1260.3425582065427</v>
      </c>
      <c r="W236" s="168">
        <f ca="1">IF($C236-W$1&lt;År1,0,V235*(1-VLOOKUP($A236,[1]Hugst!$R$5:$W$9,MATCH(ROUNDUP((W$1)/10,0)*10,[1]Hugst!$R$4:$W$4,0))))</f>
        <v>1258.9823466781504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(IF(B237="Vestdanmark",Skovbrug!$C$22-(Skovbrug!$C$22)*(1-Skovbrug!$C$9)^(C237-Skovbrug!$B$12),Skovbrug!$F$22-(Skovbrug!$F$22)*(1-Skovbrug!$C$9)^(C237-Skovbrug!$B$12)))*VLOOKUP(A237,Skovbrug!$A$13:$D$17,IF('Skovbrug-alder'!C237&lt;=År2,3,4),FALSE)
-IF(C237&gt;2020,SUM(INDEX($C$1:$D$311,MATCH(1,(2020=$C$1:$C$311)*(B237=$B$1:$B$311)*(A237=$A$1:$A$311),0),2):D236),0)</f>
        <v>261.56973880661553</v>
      </c>
      <c r="E237" s="168">
        <f t="shared" ca="1" si="5"/>
        <v>24.981351466496562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833.82518358822222</v>
      </c>
      <c r="G237" s="168">
        <f ca="1">IF($C237-G$1&lt;År1,0,F236*(1-VLOOKUP($A237,[1]Hugst!$R$5:$W$9,MATCH(ROUNDUP((G$1)/10,0)*10,[1]Hugst!$R$4:$W$4,0))))</f>
        <v>832.40049442444183</v>
      </c>
      <c r="H237" s="168">
        <f ca="1">IF($C237-H$1&lt;År1,0,G236*(1-VLOOKUP($A237,[1]Hugst!$R$5:$W$9,MATCH(ROUNDUP((H$1)/10,0)*10,[1]Hugst!$R$4:$W$4,0))))</f>
        <v>830.97334418085961</v>
      </c>
      <c r="I237" s="168">
        <f ca="1">IF($C237-I$1&lt;År1,0,H236*(1-VLOOKUP($A237,[1]Hugst!$R$5:$W$9,MATCH(ROUNDUP((I$1)/10,0)*10,[1]Hugst!$R$4:$W$4,0))))</f>
        <v>829.54373082597817</v>
      </c>
      <c r="J237" s="168">
        <f ca="1">IF($C237-J$1&lt;År1,0,I236*(1-VLOOKUP($A237,[1]Hugst!$R$5:$W$9,MATCH(ROUNDUP((J$1)/10,0)*10,[1]Hugst!$R$4:$W$4,0))))</f>
        <v>828.11165234078294</v>
      </c>
      <c r="K237" s="168">
        <f ca="1">IF($C237-K$1&lt;År1,0,J236*(1-VLOOKUP($A237,[1]Hugst!$R$5:$W$9,MATCH(ROUNDUP((K$1)/10,0)*10,[1]Hugst!$R$4:$W$4,0))))</f>
        <v>826.67710671896816</v>
      </c>
      <c r="L237" s="168">
        <f ca="1">IF($C237-L$1&lt;År1,0,K236*(1-VLOOKUP($A237,[1]Hugst!$R$5:$W$9,MATCH(ROUNDUP((L$1)/10,0)*10,[1]Hugst!$R$4:$W$4,0))))</f>
        <v>825.24009196694828</v>
      </c>
      <c r="M237" s="168">
        <f ca="1">IF($C237-M$1&lt;År1,0,L236*(1-VLOOKUP($A237,[1]Hugst!$R$5:$W$9,MATCH(ROUNDUP((M$1)/10,0)*10,[1]Hugst!$R$4:$W$4,0))))</f>
        <v>823.80060610400164</v>
      </c>
      <c r="N237" s="168">
        <f ca="1">IF($C237-N$1&lt;År1,0,M236*(1-VLOOKUP($A237,[1]Hugst!$R$5:$W$9,MATCH(ROUNDUP((N$1)/10,0)*10,[1]Hugst!$R$4:$W$4,0))))</f>
        <v>1270.1283598747923</v>
      </c>
      <c r="O237" s="168">
        <f ca="1">IF($C237-O$1&lt;År1,0,N236*(1-VLOOKUP($A237,[1]Hugst!$R$5:$W$9,MATCH(ROUNDUP((O$1)/10,0)*10,[1]Hugst!$R$4:$W$4,0))))</f>
        <v>1268.6839258999375</v>
      </c>
      <c r="P237" s="168">
        <f ca="1">IF($C237-P$1&lt;År1,0,O236*(1-VLOOKUP($A237,[1]Hugst!$R$5:$W$9,MATCH(ROUNDUP((P$1)/10,0)*10,[1]Hugst!$R$4:$W$4,0))))</f>
        <v>1267.2710674848388</v>
      </c>
      <c r="Q237" s="168">
        <f ca="1">IF($C237-Q$1&lt;År1,0,P236*(1-VLOOKUP($A237,[1]Hugst!$R$5:$W$9,MATCH(ROUNDUP((Q$1)/10,0)*10,[1]Hugst!$R$4:$W$4,0))))</f>
        <v>1265.8651782592294</v>
      </c>
      <c r="R237" s="168">
        <f ca="1">IF($C237-R$1&lt;År1,0,Q236*(1-VLOOKUP($A237,[1]Hugst!$R$5:$W$9,MATCH(ROUNDUP((R$1)/10,0)*10,[1]Hugst!$R$4:$W$4,0))))</f>
        <v>1264.4662538281182</v>
      </c>
      <c r="S237" s="168">
        <f ca="1">IF($C237-S$1&lt;År1,0,R236*(1-VLOOKUP($A237,[1]Hugst!$R$5:$W$9,MATCH(ROUNDUP((S$1)/10,0)*10,[1]Hugst!$R$4:$W$4,0))))</f>
        <v>1263.074289836846</v>
      </c>
      <c r="T237" s="168">
        <f ca="1">IF($C237-T$1&lt;År1,0,S236*(1-VLOOKUP($A237,[1]Hugst!$R$5:$W$9,MATCH(ROUNDUP((T$1)/10,0)*10,[1]Hugst!$R$4:$W$4,0))))</f>
        <v>1261.6892819711788</v>
      </c>
      <c r="U237" s="168">
        <f ca="1">IF($C237-U$1&lt;År1,0,T236*(1-VLOOKUP($A237,[1]Hugst!$R$5:$W$9,MATCH(ROUNDUP((U$1)/10,0)*10,[1]Hugst!$R$4:$W$4,0))))</f>
        <v>1260.3112259572526</v>
      </c>
      <c r="V237" s="168">
        <f ca="1">IF($C237-V$1&lt;År1,0,U236*(1-VLOOKUP($A237,[1]Hugst!$R$5:$W$9,MATCH(ROUNDUP((V$1)/10,0)*10,[1]Hugst!$R$4:$W$4,0))))</f>
        <v>1258.940117561556</v>
      </c>
      <c r="W237" s="168">
        <f ca="1">IF($C237-W$1&lt;År1,0,V236*(1-VLOOKUP($A237,[1]Hugst!$R$5:$W$9,MATCH(ROUNDUP((W$1)/10,0)*10,[1]Hugst!$R$4:$W$4,0))))</f>
        <v>1257.5759525909673</v>
      </c>
      <c r="X237" s="168">
        <f ca="1">IF($C237-X$1&lt;År1,0,W236*(1-VLOOKUP($A237,[1]Hugst!$R$5:$W$9,MATCH(ROUNDUP((X$1)/10,0)*10,[1]Hugst!$R$4:$W$4,0))))</f>
        <v>1256.2187268927594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(IF(B238="Vestdanmark",Skovbrug!$C$22-(Skovbrug!$C$22)*(1-Skovbrug!$C$9)^(C238-Skovbrug!$B$12),Skovbrug!$F$22-(Skovbrug!$F$22)*(1-Skovbrug!$C$9)^(C238-Skovbrug!$B$12)))*VLOOKUP(A238,Skovbrug!$A$13:$D$17,IF('Skovbrug-alder'!C238&lt;=År2,3,4),FALSE)
-IF(C238&gt;2020,SUM(INDEX($C$1:$D$311,MATCH(1,(2020=$C$1:$C$311)*(B238=$B$1:$B$311)*(A238=$A$1:$A$311),0),2):D237),0)</f>
        <v>260.2618901125752</v>
      </c>
      <c r="E238" s="168">
        <f t="shared" ca="1" si="5"/>
        <v>27.711430288425618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835.24741371611094</v>
      </c>
      <c r="G238" s="168">
        <f ca="1">IF($C238-G$1&lt;År1,0,F237*(1-VLOOKUP($A238,[1]Hugst!$R$5:$W$9,MATCH(ROUNDUP((G$1)/10,0)*10,[1]Hugst!$R$4:$W$4,0))))</f>
        <v>833.82518358822222</v>
      </c>
      <c r="H238" s="168">
        <f ca="1">IF($C238-H$1&lt;År1,0,G237*(1-VLOOKUP($A238,[1]Hugst!$R$5:$W$9,MATCH(ROUNDUP((H$1)/10,0)*10,[1]Hugst!$R$4:$W$4,0))))</f>
        <v>832.40049442444183</v>
      </c>
      <c r="I238" s="168">
        <f ca="1">IF($C238-I$1&lt;År1,0,H237*(1-VLOOKUP($A238,[1]Hugst!$R$5:$W$9,MATCH(ROUNDUP((I$1)/10,0)*10,[1]Hugst!$R$4:$W$4,0))))</f>
        <v>830.97334418085961</v>
      </c>
      <c r="J238" s="168">
        <f ca="1">IF($C238-J$1&lt;År1,0,I237*(1-VLOOKUP($A238,[1]Hugst!$R$5:$W$9,MATCH(ROUNDUP((J$1)/10,0)*10,[1]Hugst!$R$4:$W$4,0))))</f>
        <v>829.54373082597817</v>
      </c>
      <c r="K238" s="168">
        <f ca="1">IF($C238-K$1&lt;År1,0,J237*(1-VLOOKUP($A238,[1]Hugst!$R$5:$W$9,MATCH(ROUNDUP((K$1)/10,0)*10,[1]Hugst!$R$4:$W$4,0))))</f>
        <v>828.11165234078294</v>
      </c>
      <c r="L238" s="168">
        <f ca="1">IF($C238-L$1&lt;År1,0,K237*(1-VLOOKUP($A238,[1]Hugst!$R$5:$W$9,MATCH(ROUNDUP((L$1)/10,0)*10,[1]Hugst!$R$4:$W$4,0))))</f>
        <v>826.67710671896816</v>
      </c>
      <c r="M238" s="168">
        <f ca="1">IF($C238-M$1&lt;År1,0,L237*(1-VLOOKUP($A238,[1]Hugst!$R$5:$W$9,MATCH(ROUNDUP((M$1)/10,0)*10,[1]Hugst!$R$4:$W$4,0))))</f>
        <v>825.24009196694828</v>
      </c>
      <c r="N238" s="168">
        <f ca="1">IF($C238-N$1&lt;År1,0,M237*(1-VLOOKUP($A238,[1]Hugst!$R$5:$W$9,MATCH(ROUNDUP((N$1)/10,0)*10,[1]Hugst!$R$4:$W$4,0))))</f>
        <v>823.80060610400164</v>
      </c>
      <c r="O238" s="168">
        <f ca="1">IF($C238-O$1&lt;År1,0,N237*(1-VLOOKUP($A238,[1]Hugst!$R$5:$W$9,MATCH(ROUNDUP((O$1)/10,0)*10,[1]Hugst!$R$4:$W$4,0))))</f>
        <v>1270.1283598747923</v>
      </c>
      <c r="P238" s="168">
        <f ca="1">IF($C238-P$1&lt;År1,0,O237*(1-VLOOKUP($A238,[1]Hugst!$R$5:$W$9,MATCH(ROUNDUP((P$1)/10,0)*10,[1]Hugst!$R$4:$W$4,0))))</f>
        <v>1265.8990099650352</v>
      </c>
      <c r="Q238" s="168">
        <f ca="1">IF($C238-Q$1&lt;År1,0,P237*(1-VLOOKUP($A238,[1]Hugst!$R$5:$W$9,MATCH(ROUNDUP((Q$1)/10,0)*10,[1]Hugst!$R$4:$W$4,0))))</f>
        <v>1264.4892529464573</v>
      </c>
      <c r="R238" s="168">
        <f ca="1">IF($C238-R$1&lt;År1,0,Q237*(1-VLOOKUP($A238,[1]Hugst!$R$5:$W$9,MATCH(ROUNDUP((R$1)/10,0)*10,[1]Hugst!$R$4:$W$4,0))))</f>
        <v>1263.0864498191481</v>
      </c>
      <c r="S238" s="168">
        <f ca="1">IF($C238-S$1&lt;År1,0,R237*(1-VLOOKUP($A238,[1]Hugst!$R$5:$W$9,MATCH(ROUNDUP((S$1)/10,0)*10,[1]Hugst!$R$4:$W$4,0))))</f>
        <v>1261.6905961977639</v>
      </c>
      <c r="T238" s="168">
        <f ca="1">IF($C238-T$1&lt;År1,0,S237*(1-VLOOKUP($A238,[1]Hugst!$R$5:$W$9,MATCH(ROUNDUP((T$1)/10,0)*10,[1]Hugst!$R$4:$W$4,0))))</f>
        <v>1260.301687737204</v>
      </c>
      <c r="U238" s="168">
        <f ca="1">IF($C238-U$1&lt;År1,0,T237*(1-VLOOKUP($A238,[1]Hugst!$R$5:$W$9,MATCH(ROUNDUP((U$1)/10,0)*10,[1]Hugst!$R$4:$W$4,0))))</f>
        <v>1258.9197201327056</v>
      </c>
      <c r="V238" s="168">
        <f ca="1">IF($C238-V$1&lt;År1,0,U237*(1-VLOOKUP($A238,[1]Hugst!$R$5:$W$9,MATCH(ROUNDUP((V$1)/10,0)*10,[1]Hugst!$R$4:$W$4,0))))</f>
        <v>1257.5446891197855</v>
      </c>
      <c r="W238" s="168">
        <f ca="1">IF($C238-W$1&lt;År1,0,V237*(1-VLOOKUP($A238,[1]Hugst!$R$5:$W$9,MATCH(ROUNDUP((W$1)/10,0)*10,[1]Hugst!$R$4:$W$4,0))))</f>
        <v>1256.1765904742258</v>
      </c>
      <c r="X238" s="168">
        <f ca="1">IF($C238-X$1&lt;År1,0,W237*(1-VLOOKUP($A238,[1]Hugst!$R$5:$W$9,MATCH(ROUNDUP((X$1)/10,0)*10,[1]Hugst!$R$4:$W$4,0))))</f>
        <v>1254.8154200121091</v>
      </c>
      <c r="Y238" s="168">
        <f ca="1">IF($C238-Y$1&lt;År1,0,X237*(1-VLOOKUP($A238,[1]Hugst!$R$5:$W$9,MATCH(ROUNDUP((Y$1)/10,0)*10,[1]Hugst!$R$4:$W$4,0))))</f>
        <v>1253.4611735898241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(IF(B239="Vestdanmark",Skovbrug!$C$22-(Skovbrug!$C$22)*(1-Skovbrug!$C$9)^(C239-Skovbrug!$B$12),Skovbrug!$F$22-(Skovbrug!$F$22)*(1-Skovbrug!$C$9)^(C239-Skovbrug!$B$12)))*VLOOKUP(A239,Skovbrug!$A$13:$D$17,IF('Skovbrug-alder'!C239&lt;=År2,3,4),FALSE)
-IF(C239&gt;2020,SUM(INDEX($C$1:$D$311,MATCH(1,(2020=$C$1:$C$311)*(B239=$B$1:$B$311)*(A239=$A$1:$A$311),0),2):D238),0)</f>
        <v>258.96058066201022</v>
      </c>
      <c r="E239" s="168">
        <f t="shared" ca="1" si="5"/>
        <v>29.215798013286985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835.45047199040732</v>
      </c>
      <c r="G239" s="168">
        <f ca="1">IF($C239-G$1&lt;År1,0,F238*(1-VLOOKUP($A239,[1]Hugst!$R$5:$W$9,MATCH(ROUNDUP((G$1)/10,0)*10,[1]Hugst!$R$4:$W$4,0))))</f>
        <v>835.24741371611094</v>
      </c>
      <c r="H239" s="168">
        <f ca="1">IF($C239-H$1&lt;År1,0,G238*(1-VLOOKUP($A239,[1]Hugst!$R$5:$W$9,MATCH(ROUNDUP((H$1)/10,0)*10,[1]Hugst!$R$4:$W$4,0))))</f>
        <v>833.82518358822222</v>
      </c>
      <c r="I239" s="168">
        <f ca="1">IF($C239-I$1&lt;År1,0,H238*(1-VLOOKUP($A239,[1]Hugst!$R$5:$W$9,MATCH(ROUNDUP((I$1)/10,0)*10,[1]Hugst!$R$4:$W$4,0))))</f>
        <v>832.40049442444183</v>
      </c>
      <c r="J239" s="168">
        <f ca="1">IF($C239-J$1&lt;År1,0,I238*(1-VLOOKUP($A239,[1]Hugst!$R$5:$W$9,MATCH(ROUNDUP((J$1)/10,0)*10,[1]Hugst!$R$4:$W$4,0))))</f>
        <v>830.97334418085961</v>
      </c>
      <c r="K239" s="168">
        <f ca="1">IF($C239-K$1&lt;År1,0,J238*(1-VLOOKUP($A239,[1]Hugst!$R$5:$W$9,MATCH(ROUNDUP((K$1)/10,0)*10,[1]Hugst!$R$4:$W$4,0))))</f>
        <v>829.54373082597817</v>
      </c>
      <c r="L239" s="168">
        <f ca="1">IF($C239-L$1&lt;År1,0,K238*(1-VLOOKUP($A239,[1]Hugst!$R$5:$W$9,MATCH(ROUNDUP((L$1)/10,0)*10,[1]Hugst!$R$4:$W$4,0))))</f>
        <v>828.11165234078294</v>
      </c>
      <c r="M239" s="168">
        <f ca="1">IF($C239-M$1&lt;År1,0,L238*(1-VLOOKUP($A239,[1]Hugst!$R$5:$W$9,MATCH(ROUNDUP((M$1)/10,0)*10,[1]Hugst!$R$4:$W$4,0))))</f>
        <v>826.67710671896816</v>
      </c>
      <c r="N239" s="168">
        <f ca="1">IF($C239-N$1&lt;År1,0,M238*(1-VLOOKUP($A239,[1]Hugst!$R$5:$W$9,MATCH(ROUNDUP((N$1)/10,0)*10,[1]Hugst!$R$4:$W$4,0))))</f>
        <v>825.24009196694828</v>
      </c>
      <c r="O239" s="168">
        <f ca="1">IF($C239-O$1&lt;År1,0,N238*(1-VLOOKUP($A239,[1]Hugst!$R$5:$W$9,MATCH(ROUNDUP((O$1)/10,0)*10,[1]Hugst!$R$4:$W$4,0))))</f>
        <v>823.80060610400164</v>
      </c>
      <c r="P239" s="168">
        <f ca="1">IF($C239-P$1&lt;År1,0,O238*(1-VLOOKUP($A239,[1]Hugst!$R$5:$W$9,MATCH(ROUNDUP((P$1)/10,0)*10,[1]Hugst!$R$4:$W$4,0))))</f>
        <v>1267.3402732311647</v>
      </c>
      <c r="Q239" s="168">
        <f ca="1">IF($C239-Q$1&lt;År1,0,P238*(1-VLOOKUP($A239,[1]Hugst!$R$5:$W$9,MATCH(ROUNDUP((Q$1)/10,0)*10,[1]Hugst!$R$4:$W$4,0))))</f>
        <v>1263.1202072602339</v>
      </c>
      <c r="R239" s="168">
        <f ca="1">IF($C239-R$1&lt;År1,0,Q238*(1-VLOOKUP($A239,[1]Hugst!$R$5:$W$9,MATCH(ROUNDUP((R$1)/10,0)*10,[1]Hugst!$R$4:$W$4,0))))</f>
        <v>1261.7135448302333</v>
      </c>
      <c r="S239" s="168">
        <f ca="1">IF($C239-S$1&lt;År1,0,R238*(1-VLOOKUP($A239,[1]Hugst!$R$5:$W$9,MATCH(ROUNDUP((S$1)/10,0)*10,[1]Hugst!$R$4:$W$4,0))))</f>
        <v>1260.3138210268621</v>
      </c>
      <c r="T239" s="168">
        <f ca="1">IF($C239-T$1&lt;År1,0,S238*(1-VLOOKUP($A239,[1]Hugst!$R$5:$W$9,MATCH(ROUNDUP((T$1)/10,0)*10,[1]Hugst!$R$4:$W$4,0))))</f>
        <v>1258.921031474403</v>
      </c>
      <c r="U239" s="168">
        <f ca="1">IF($C239-U$1&lt;År1,0,T238*(1-VLOOKUP($A239,[1]Hugst!$R$5:$W$9,MATCH(ROUNDUP((U$1)/10,0)*10,[1]Hugst!$R$4:$W$4,0))))</f>
        <v>1257.5351718372931</v>
      </c>
      <c r="V239" s="168">
        <f ca="1">IF($C239-V$1&lt;År1,0,U238*(1-VLOOKUP($A239,[1]Hugst!$R$5:$W$9,MATCH(ROUNDUP((V$1)/10,0)*10,[1]Hugst!$R$4:$W$4,0))))</f>
        <v>1256.1562378202191</v>
      </c>
      <c r="W239" s="168">
        <f ca="1">IF($C239-W$1&lt;År1,0,V238*(1-VLOOKUP($A239,[1]Hugst!$R$5:$W$9,MATCH(ROUNDUP((W$1)/10,0)*10,[1]Hugst!$R$4:$W$4,0))))</f>
        <v>1254.7842251680593</v>
      </c>
      <c r="X239" s="168">
        <f ca="1">IF($C239-X$1&lt;År1,0,W238*(1-VLOOKUP($A239,[1]Hugst!$R$5:$W$9,MATCH(ROUNDUP((X$1)/10,0)*10,[1]Hugst!$R$4:$W$4,0))))</f>
        <v>1253.4191296658678</v>
      </c>
      <c r="Y239" s="168">
        <f ca="1">IF($C239-Y$1&lt;År1,0,X238*(1-VLOOKUP($A239,[1]Hugst!$R$5:$W$9,MATCH(ROUNDUP((Y$1)/10,0)*10,[1]Hugst!$R$4:$W$4,0))))</f>
        <v>1252.0609471389118</v>
      </c>
      <c r="Z239" s="168">
        <f ca="1">IF($C239-Z$1&lt;År1,0,Y238*(1-VLOOKUP($A239,[1]Hugst!$R$5:$W$9,MATCH(ROUNDUP((Z$1)/10,0)*10,[1]Hugst!$R$4:$W$4,0))))</f>
        <v>1251.9325624025194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(IF(B240="Vestdanmark",Skovbrug!$C$22-(Skovbrug!$C$22)*(1-Skovbrug!$C$9)^(C240-Skovbrug!$B$12),Skovbrug!$F$22-(Skovbrug!$F$22)*(1-Skovbrug!$C$9)^(C240-Skovbrug!$B$12)))*VLOOKUP(A240,Skovbrug!$A$13:$D$17,IF('Skovbrug-alder'!C240&lt;=År2,3,4),FALSE)
-IF(C240&gt;2020,SUM(INDEX($C$1:$D$311,MATCH(1,(2020=$C$1:$C$311)*(B240=$B$1:$B$311)*(A240=$A$1:$A$311),0),2):D239),0)</f>
        <v>257.66577775870064</v>
      </c>
      <c r="E240" s="168">
        <f t="shared" ca="1" si="5"/>
        <v>29.73997702035922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834.67984809416998</v>
      </c>
      <c r="G240" s="168">
        <f ca="1">IF($C240-G$1&lt;År1,0,F239*(1-VLOOKUP($A240,[1]Hugst!$R$5:$W$9,MATCH(ROUNDUP((G$1)/10,0)*10,[1]Hugst!$R$4:$W$4,0))))</f>
        <v>835.45047199040732</v>
      </c>
      <c r="H240" s="168">
        <f ca="1">IF($C240-H$1&lt;År1,0,G239*(1-VLOOKUP($A240,[1]Hugst!$R$5:$W$9,MATCH(ROUNDUP((H$1)/10,0)*10,[1]Hugst!$R$4:$W$4,0))))</f>
        <v>835.24741371611094</v>
      </c>
      <c r="I240" s="168">
        <f ca="1">IF($C240-I$1&lt;År1,0,H239*(1-VLOOKUP($A240,[1]Hugst!$R$5:$W$9,MATCH(ROUNDUP((I$1)/10,0)*10,[1]Hugst!$R$4:$W$4,0))))</f>
        <v>833.82518358822222</v>
      </c>
      <c r="J240" s="168">
        <f ca="1">IF($C240-J$1&lt;År1,0,I239*(1-VLOOKUP($A240,[1]Hugst!$R$5:$W$9,MATCH(ROUNDUP((J$1)/10,0)*10,[1]Hugst!$R$4:$W$4,0))))</f>
        <v>832.40049442444183</v>
      </c>
      <c r="K240" s="168">
        <f ca="1">IF($C240-K$1&lt;År1,0,J239*(1-VLOOKUP($A240,[1]Hugst!$R$5:$W$9,MATCH(ROUNDUP((K$1)/10,0)*10,[1]Hugst!$R$4:$W$4,0))))</f>
        <v>830.97334418085961</v>
      </c>
      <c r="L240" s="168">
        <f ca="1">IF($C240-L$1&lt;År1,0,K239*(1-VLOOKUP($A240,[1]Hugst!$R$5:$W$9,MATCH(ROUNDUP((L$1)/10,0)*10,[1]Hugst!$R$4:$W$4,0))))</f>
        <v>829.54373082597817</v>
      </c>
      <c r="M240" s="168">
        <f ca="1">IF($C240-M$1&lt;År1,0,L239*(1-VLOOKUP($A240,[1]Hugst!$R$5:$W$9,MATCH(ROUNDUP((M$1)/10,0)*10,[1]Hugst!$R$4:$W$4,0))))</f>
        <v>828.11165234078294</v>
      </c>
      <c r="N240" s="168">
        <f ca="1">IF($C240-N$1&lt;År1,0,M239*(1-VLOOKUP($A240,[1]Hugst!$R$5:$W$9,MATCH(ROUNDUP((N$1)/10,0)*10,[1]Hugst!$R$4:$W$4,0))))</f>
        <v>826.67710671896816</v>
      </c>
      <c r="O240" s="168">
        <f ca="1">IF($C240-O$1&lt;År1,0,N239*(1-VLOOKUP($A240,[1]Hugst!$R$5:$W$9,MATCH(ROUNDUP((O$1)/10,0)*10,[1]Hugst!$R$4:$W$4,0))))</f>
        <v>825.24009196694828</v>
      </c>
      <c r="P240" s="168">
        <f ca="1">IF($C240-P$1&lt;År1,0,O239*(1-VLOOKUP($A240,[1]Hugst!$R$5:$W$9,MATCH(ROUNDUP((P$1)/10,0)*10,[1]Hugst!$R$4:$W$4,0))))</f>
        <v>821.99226331011482</v>
      </c>
      <c r="Q240" s="168">
        <f ca="1">IF($C240-Q$1&lt;År1,0,P239*(1-VLOOKUP($A240,[1]Hugst!$R$5:$W$9,MATCH(ROUNDUP((Q$1)/10,0)*10,[1]Hugst!$R$4:$W$4,0))))</f>
        <v>1264.5583067777304</v>
      </c>
      <c r="R240" s="168">
        <f ca="1">IF($C240-R$1&lt;År1,0,Q239*(1-VLOOKUP($A240,[1]Hugst!$R$5:$W$9,MATCH(ROUNDUP((R$1)/10,0)*10,[1]Hugst!$R$4:$W$4,0))))</f>
        <v>1260.3475043662479</v>
      </c>
      <c r="S240" s="168">
        <f ca="1">IF($C240-S$1&lt;År1,0,R239*(1-VLOOKUP($A240,[1]Hugst!$R$5:$W$9,MATCH(ROUNDUP((S$1)/10,0)*10,[1]Hugst!$R$4:$W$4,0))))</f>
        <v>1258.9439297318254</v>
      </c>
      <c r="T240" s="168">
        <f ca="1">IF($C240-T$1&lt;År1,0,S239*(1-VLOOKUP($A240,[1]Hugst!$R$5:$W$9,MATCH(ROUNDUP((T$1)/10,0)*10,[1]Hugst!$R$4:$W$4,0))))</f>
        <v>1257.5472784929007</v>
      </c>
      <c r="U240" s="168">
        <f ca="1">IF($C240-U$1&lt;År1,0,T239*(1-VLOOKUP($A240,[1]Hugst!$R$5:$W$9,MATCH(ROUNDUP((U$1)/10,0)*10,[1]Hugst!$R$4:$W$4,0))))</f>
        <v>1256.1575462833616</v>
      </c>
      <c r="V240" s="168">
        <f ca="1">IF($C240-V$1&lt;År1,0,U239*(1-VLOOKUP($A240,[1]Hugst!$R$5:$W$9,MATCH(ROUNDUP((V$1)/10,0)*10,[1]Hugst!$R$4:$W$4,0))))</f>
        <v>1254.7747287771624</v>
      </c>
      <c r="W240" s="168">
        <f ca="1">IF($C240-W$1&lt;År1,0,V239*(1-VLOOKUP($A240,[1]Hugst!$R$5:$W$9,MATCH(ROUNDUP((W$1)/10,0)*10,[1]Hugst!$R$4:$W$4,0))))</f>
        <v>1253.3988216884186</v>
      </c>
      <c r="X240" s="168">
        <f ca="1">IF($C240-X$1&lt;År1,0,W239*(1-VLOOKUP($A240,[1]Hugst!$R$5:$W$9,MATCH(ROUNDUP((X$1)/10,0)*10,[1]Hugst!$R$4:$W$4,0))))</f>
        <v>1252.0298207713488</v>
      </c>
      <c r="Y240" s="168">
        <f ca="1">IF($C240-Y$1&lt;År1,0,X239*(1-VLOOKUP($A240,[1]Hugst!$R$5:$W$9,MATCH(ROUNDUP((Y$1)/10,0)*10,[1]Hugst!$R$4:$W$4,0))))</f>
        <v>1250.6677218202599</v>
      </c>
      <c r="Z240" s="168">
        <f ca="1">IF($C240-Z$1&lt;År1,0,Y239*(1-VLOOKUP($A240,[1]Hugst!$R$5:$W$9,MATCH(ROUNDUP((Z$1)/10,0)*10,[1]Hugst!$R$4:$W$4,0))))</f>
        <v>1250.53404354484</v>
      </c>
      <c r="AA240" s="168">
        <f ca="1">IF($C240-AA$1&lt;År1,0,Z239*(1-VLOOKUP($A240,[1]Hugst!$R$5:$W$9,MATCH(ROUNDUP((AA$1)/10,0)*10,[1]Hugst!$R$4:$W$4,0))))</f>
        <v>1250.4058153751992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(IF(B241="Vestdanmark",Skovbrug!$C$22-(Skovbrug!$C$22)*(1-Skovbrug!$C$9)^(C241-Skovbrug!$B$12),Skovbrug!$F$22-(Skovbrug!$F$22)*(1-Skovbrug!$C$9)^(C241-Skovbrug!$B$12)))*VLOOKUP(A241,Skovbrug!$A$13:$D$17,IF('Skovbrug-alder'!C241&lt;=År2,3,4),FALSE)
-IF(C241&gt;2020,SUM(INDEX($C$1:$D$311,MATCH(1,(2020=$C$1:$C$311)*(B241=$B$1:$B$311)*(A241=$A$1:$A$311),0),2):D240),0)</f>
        <v>256.37744886991914</v>
      </c>
      <c r="E241" s="168">
        <f t="shared" ca="1" si="5"/>
        <v>30.269012325170479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833.92055451019974</v>
      </c>
      <c r="G241" s="168">
        <f ca="1">IF($C241-G$1&lt;År1,0,F240*(1-VLOOKUP($A241,[1]Hugst!$R$5:$W$9,MATCH(ROUNDUP((G$1)/10,0)*10,[1]Hugst!$R$4:$W$4,0))))</f>
        <v>834.67984809416998</v>
      </c>
      <c r="H241" s="168">
        <f ca="1">IF($C241-H$1&lt;År1,0,G240*(1-VLOOKUP($A241,[1]Hugst!$R$5:$W$9,MATCH(ROUNDUP((H$1)/10,0)*10,[1]Hugst!$R$4:$W$4,0))))</f>
        <v>835.45047199040732</v>
      </c>
      <c r="I241" s="168">
        <f ca="1">IF($C241-I$1&lt;År1,0,H240*(1-VLOOKUP($A241,[1]Hugst!$R$5:$W$9,MATCH(ROUNDUP((I$1)/10,0)*10,[1]Hugst!$R$4:$W$4,0))))</f>
        <v>835.24741371611094</v>
      </c>
      <c r="J241" s="168">
        <f ca="1">IF($C241-J$1&lt;År1,0,I240*(1-VLOOKUP($A241,[1]Hugst!$R$5:$W$9,MATCH(ROUNDUP((J$1)/10,0)*10,[1]Hugst!$R$4:$W$4,0))))</f>
        <v>833.82518358822222</v>
      </c>
      <c r="K241" s="168">
        <f ca="1">IF($C241-K$1&lt;År1,0,J240*(1-VLOOKUP($A241,[1]Hugst!$R$5:$W$9,MATCH(ROUNDUP((K$1)/10,0)*10,[1]Hugst!$R$4:$W$4,0))))</f>
        <v>832.40049442444183</v>
      </c>
      <c r="L241" s="168">
        <f ca="1">IF($C241-L$1&lt;År1,0,K240*(1-VLOOKUP($A241,[1]Hugst!$R$5:$W$9,MATCH(ROUNDUP((L$1)/10,0)*10,[1]Hugst!$R$4:$W$4,0))))</f>
        <v>830.97334418085961</v>
      </c>
      <c r="M241" s="168">
        <f ca="1">IF($C241-M$1&lt;År1,0,L240*(1-VLOOKUP($A241,[1]Hugst!$R$5:$W$9,MATCH(ROUNDUP((M$1)/10,0)*10,[1]Hugst!$R$4:$W$4,0))))</f>
        <v>829.54373082597817</v>
      </c>
      <c r="N241" s="168">
        <f ca="1">IF($C241-N$1&lt;År1,0,M240*(1-VLOOKUP($A241,[1]Hugst!$R$5:$W$9,MATCH(ROUNDUP((N$1)/10,0)*10,[1]Hugst!$R$4:$W$4,0))))</f>
        <v>828.11165234078294</v>
      </c>
      <c r="O241" s="168">
        <f ca="1">IF($C241-O$1&lt;År1,0,N240*(1-VLOOKUP($A241,[1]Hugst!$R$5:$W$9,MATCH(ROUNDUP((O$1)/10,0)*10,[1]Hugst!$R$4:$W$4,0))))</f>
        <v>826.67710671896816</v>
      </c>
      <c r="P241" s="168">
        <f ca="1">IF($C241-P$1&lt;År1,0,O240*(1-VLOOKUP($A241,[1]Hugst!$R$5:$W$9,MATCH(ROUNDUP((P$1)/10,0)*10,[1]Hugst!$R$4:$W$4,0))))</f>
        <v>823.4285893260452</v>
      </c>
      <c r="Q241" s="168">
        <f ca="1">IF($C241-Q$1&lt;År1,0,P240*(1-VLOOKUP($A241,[1]Hugst!$R$5:$W$9,MATCH(ROUNDUP((Q$1)/10,0)*10,[1]Hugst!$R$4:$W$4,0))))</f>
        <v>820.18789004919017</v>
      </c>
      <c r="R241" s="168">
        <f ca="1">IF($C241-R$1&lt;År1,0,Q240*(1-VLOOKUP($A241,[1]Hugst!$R$5:$W$9,MATCH(ROUNDUP((R$1)/10,0)*10,[1]Hugst!$R$4:$W$4,0))))</f>
        <v>1261.7824470799255</v>
      </c>
      <c r="S241" s="168">
        <f ca="1">IF($C241-S$1&lt;År1,0,R240*(1-VLOOKUP($A241,[1]Hugst!$R$5:$W$9,MATCH(ROUNDUP((S$1)/10,0)*10,[1]Hugst!$R$4:$W$4,0))))</f>
        <v>1257.5808878932489</v>
      </c>
      <c r="T241" s="168">
        <f ca="1">IF($C241-T$1&lt;År1,0,S240*(1-VLOOKUP($A241,[1]Hugst!$R$5:$W$9,MATCH(ROUNDUP((T$1)/10,0)*10,[1]Hugst!$R$4:$W$4,0))))</f>
        <v>1256.1803942763165</v>
      </c>
      <c r="U241" s="168">
        <f ca="1">IF($C241-U$1&lt;År1,0,T240*(1-VLOOKUP($A241,[1]Hugst!$R$5:$W$9,MATCH(ROUNDUP((U$1)/10,0)*10,[1]Hugst!$R$4:$W$4,0))))</f>
        <v>1254.7868088571845</v>
      </c>
      <c r="V241" s="168">
        <f ca="1">IF($C241-V$1&lt;År1,0,U240*(1-VLOOKUP($A241,[1]Hugst!$R$5:$W$9,MATCH(ROUNDUP((V$1)/10,0)*10,[1]Hugst!$R$4:$W$4,0))))</f>
        <v>1253.400127279325</v>
      </c>
      <c r="W241" s="168">
        <f ca="1">IF($C241-W$1&lt;År1,0,V240*(1-VLOOKUP($A241,[1]Hugst!$R$5:$W$9,MATCH(ROUNDUP((W$1)/10,0)*10,[1]Hugst!$R$4:$W$4,0))))</f>
        <v>1252.0203452261881</v>
      </c>
      <c r="X241" s="168">
        <f ca="1">IF($C241-X$1&lt;År1,0,W240*(1-VLOOKUP($A241,[1]Hugst!$R$5:$W$9,MATCH(ROUNDUP((X$1)/10,0)*10,[1]Hugst!$R$4:$W$4,0))))</f>
        <v>1250.6474584212976</v>
      </c>
      <c r="Y241" s="168">
        <f ca="1">IF($C241-Y$1&lt;År1,0,X240*(1-VLOOKUP($A241,[1]Hugst!$R$5:$W$9,MATCH(ROUNDUP((Y$1)/10,0)*10,[1]Hugst!$R$4:$W$4,0))))</f>
        <v>1249.2814626281922</v>
      </c>
      <c r="Z241" s="168">
        <f ca="1">IF($C241-Z$1&lt;År1,0,Y240*(1-VLOOKUP($A241,[1]Hugst!$R$5:$W$9,MATCH(ROUNDUP((Z$1)/10,0)*10,[1]Hugst!$R$4:$W$4,0))))</f>
        <v>1249.1425172814547</v>
      </c>
      <c r="AA241" s="168">
        <f ca="1">IF($C241-AA$1&lt;År1,0,Z240*(1-VLOOKUP($A241,[1]Hugst!$R$5:$W$9,MATCH(ROUNDUP((AA$1)/10,0)*10,[1]Hugst!$R$4:$W$4,0))))</f>
        <v>1249.0090020283219</v>
      </c>
      <c r="AB241" s="168">
        <f ca="1">IF($C241-AB$1&lt;År1,0,AA240*(1-VLOOKUP($A241,[1]Hugst!$R$5:$W$9,MATCH(ROUNDUP((AB$1)/10,0)*10,[1]Hugst!$R$4:$W$4,0))))</f>
        <v>1248.8809302344978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(IF(B242="Vestdanmark",Skovbrug!$C$22-(Skovbrug!$C$22)*(1-Skovbrug!$C$9)^(C242-Skovbrug!$B$12),Skovbrug!$F$22-(Skovbrug!$F$22)*(1-Skovbrug!$C$9)^(C242-Skovbrug!$B$12)))*VLOOKUP(A242,Skovbrug!$A$13:$D$17,IF('Skovbrug-alder'!C242&lt;=År2,3,4),FALSE)
-IF(C242&gt;2020,SUM(INDEX($C$1:$D$311,MATCH(1,(2020=$C$1:$C$311)*(B242=$B$1:$B$311)*(A242=$A$1:$A$311),0),2):D241),0)</f>
        <v>255.095561625556</v>
      </c>
      <c r="E242" s="168">
        <f t="shared" ca="1" si="5"/>
        <v>30.802877574871673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833.1725325155378</v>
      </c>
      <c r="G242" s="168">
        <f ca="1">IF($C242-G$1&lt;År1,0,F241*(1-VLOOKUP($A242,[1]Hugst!$R$5:$W$9,MATCH(ROUNDUP((G$1)/10,0)*10,[1]Hugst!$R$4:$W$4,0))))</f>
        <v>833.92055451019974</v>
      </c>
      <c r="H242" s="168">
        <f ca="1">IF($C242-H$1&lt;År1,0,G241*(1-VLOOKUP($A242,[1]Hugst!$R$5:$W$9,MATCH(ROUNDUP((H$1)/10,0)*10,[1]Hugst!$R$4:$W$4,0))))</f>
        <v>834.67984809416998</v>
      </c>
      <c r="I242" s="168">
        <f ca="1">IF($C242-I$1&lt;År1,0,H241*(1-VLOOKUP($A242,[1]Hugst!$R$5:$W$9,MATCH(ROUNDUP((I$1)/10,0)*10,[1]Hugst!$R$4:$W$4,0))))</f>
        <v>835.45047199040732</v>
      </c>
      <c r="J242" s="168">
        <f ca="1">IF($C242-J$1&lt;År1,0,I241*(1-VLOOKUP($A242,[1]Hugst!$R$5:$W$9,MATCH(ROUNDUP((J$1)/10,0)*10,[1]Hugst!$R$4:$W$4,0))))</f>
        <v>835.24741371611094</v>
      </c>
      <c r="K242" s="168">
        <f ca="1">IF($C242-K$1&lt;År1,0,J241*(1-VLOOKUP($A242,[1]Hugst!$R$5:$W$9,MATCH(ROUNDUP((K$1)/10,0)*10,[1]Hugst!$R$4:$W$4,0))))</f>
        <v>833.82518358822222</v>
      </c>
      <c r="L242" s="168">
        <f ca="1">IF($C242-L$1&lt;År1,0,K241*(1-VLOOKUP($A242,[1]Hugst!$R$5:$W$9,MATCH(ROUNDUP((L$1)/10,0)*10,[1]Hugst!$R$4:$W$4,0))))</f>
        <v>832.40049442444183</v>
      </c>
      <c r="M242" s="168">
        <f ca="1">IF($C242-M$1&lt;År1,0,L241*(1-VLOOKUP($A242,[1]Hugst!$R$5:$W$9,MATCH(ROUNDUP((M$1)/10,0)*10,[1]Hugst!$R$4:$W$4,0))))</f>
        <v>830.97334418085961</v>
      </c>
      <c r="N242" s="168">
        <f ca="1">IF($C242-N$1&lt;År1,0,M241*(1-VLOOKUP($A242,[1]Hugst!$R$5:$W$9,MATCH(ROUNDUP((N$1)/10,0)*10,[1]Hugst!$R$4:$W$4,0))))</f>
        <v>829.54373082597817</v>
      </c>
      <c r="O242" s="168">
        <f ca="1">IF($C242-O$1&lt;År1,0,N241*(1-VLOOKUP($A242,[1]Hugst!$R$5:$W$9,MATCH(ROUNDUP((O$1)/10,0)*10,[1]Hugst!$R$4:$W$4,0))))</f>
        <v>828.11165234078294</v>
      </c>
      <c r="P242" s="168">
        <f ca="1">IF($C242-P$1&lt;År1,0,O241*(1-VLOOKUP($A242,[1]Hugst!$R$5:$W$9,MATCH(ROUNDUP((P$1)/10,0)*10,[1]Hugst!$R$4:$W$4,0))))</f>
        <v>824.8624496554387</v>
      </c>
      <c r="Q242" s="168">
        <f ca="1">IF($C242-Q$1&lt;År1,0,P241*(1-VLOOKUP($A242,[1]Hugst!$R$5:$W$9,MATCH(ROUNDUP((Q$1)/10,0)*10,[1]Hugst!$R$4:$W$4,0))))</f>
        <v>821.62106315435392</v>
      </c>
      <c r="R242" s="168">
        <f ca="1">IF($C242-R$1&lt;År1,0,Q241*(1-VLOOKUP($A242,[1]Hugst!$R$5:$W$9,MATCH(ROUNDUP((R$1)/10,0)*10,[1]Hugst!$R$4:$W$4,0))))</f>
        <v>818.38747760761873</v>
      </c>
      <c r="S242" s="168">
        <f ca="1">IF($C242-S$1&lt;År1,0,R241*(1-VLOOKUP($A242,[1]Hugst!$R$5:$W$9,MATCH(ROUNDUP((S$1)/10,0)*10,[1]Hugst!$R$4:$W$4,0))))</f>
        <v>1259.0126807326769</v>
      </c>
      <c r="T242" s="168">
        <f ca="1">IF($C242-T$1&lt;År1,0,S241*(1-VLOOKUP($A242,[1]Hugst!$R$5:$W$9,MATCH(ROUNDUP((T$1)/10,0)*10,[1]Hugst!$R$4:$W$4,0))))</f>
        <v>1254.8203444808003</v>
      </c>
      <c r="U242" s="168">
        <f ca="1">IF($C242-U$1&lt;År1,0,T241*(1-VLOOKUP($A242,[1]Hugst!$R$5:$W$9,MATCH(ROUNDUP((U$1)/10,0)*10,[1]Hugst!$R$4:$W$4,0))))</f>
        <v>1253.4229251181489</v>
      </c>
      <c r="V242" s="168">
        <f ca="1">IF($C242-V$1&lt;År1,0,U241*(1-VLOOKUP($A242,[1]Hugst!$R$5:$W$9,MATCH(ROUNDUP((V$1)/10,0)*10,[1]Hugst!$R$4:$W$4,0))))</f>
        <v>1252.0323987889615</v>
      </c>
      <c r="W242" s="168">
        <f ca="1">IF($C242-W$1&lt;År1,0,V241*(1-VLOOKUP($A242,[1]Hugst!$R$5:$W$9,MATCH(ROUNDUP((W$1)/10,0)*10,[1]Hugst!$R$4:$W$4,0))))</f>
        <v>1250.6487611462728</v>
      </c>
      <c r="X242" s="168">
        <f ca="1">IF($C242-X$1&lt;År1,0,W241*(1-VLOOKUP($A242,[1]Hugst!$R$5:$W$9,MATCH(ROUNDUP((X$1)/10,0)*10,[1]Hugst!$R$4:$W$4,0))))</f>
        <v>1249.2720078830087</v>
      </c>
      <c r="Y242" s="168">
        <f ca="1">IF($C242-Y$1&lt;År1,0,X241*(1-VLOOKUP($A242,[1]Hugst!$R$5:$W$9,MATCH(ROUNDUP((Y$1)/10,0)*10,[1]Hugst!$R$4:$W$4,0))))</f>
        <v>1247.9021347320802</v>
      </c>
      <c r="Z242" s="168">
        <f ca="1">IF($C242-Z$1&lt;År1,0,Y241*(1-VLOOKUP($A242,[1]Hugst!$R$5:$W$9,MATCH(ROUNDUP((Z$1)/10,0)*10,[1]Hugst!$R$4:$W$4,0))))</f>
        <v>1247.7579486493773</v>
      </c>
      <c r="AA242" s="168">
        <f ca="1">IF($C242-AA$1&lt;År1,0,Z241*(1-VLOOKUP($A242,[1]Hugst!$R$5:$W$9,MATCH(ROUNDUP((AA$1)/10,0)*10,[1]Hugst!$R$4:$W$4,0))))</f>
        <v>1247.6191727481846</v>
      </c>
      <c r="AB242" s="168">
        <f ca="1">IF($C242-AB$1&lt;År1,0,AA241*(1-VLOOKUP($A242,[1]Hugst!$R$5:$W$9,MATCH(ROUNDUP((AB$1)/10,0)*10,[1]Hugst!$R$4:$W$4,0))))</f>
        <v>1247.4858203185313</v>
      </c>
      <c r="AC242" s="168">
        <f ca="1">IF($C242-AC$1&lt;År1,0,AB241*(1-VLOOKUP($A242,[1]Hugst!$R$5:$W$9,MATCH(ROUNDUP((AC$1)/10,0)*10,[1]Hugst!$R$4:$W$4,0))))</f>
        <v>1247.3579047098215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(IF(B243="Vestdanmark",Skovbrug!$C$22-(Skovbrug!$C$22)*(1-Skovbrug!$C$9)^(C243-Skovbrug!$B$12),Skovbrug!$F$22-(Skovbrug!$F$22)*(1-Skovbrug!$C$9)^(C243-Skovbrug!$B$12)))*VLOOKUP(A243,Skovbrug!$A$13:$D$17,IF('Skovbrug-alder'!C243&lt;=År2,3,4),FALSE)
-IF(C243&gt;2020,SUM(INDEX($C$1:$D$311,MATCH(1,(2020=$C$1:$C$311)*(B243=$B$1:$B$311)*(A243=$A$1:$A$311),0),2):D242),0)</f>
        <v>253.82008381743344</v>
      </c>
      <c r="E243" s="168">
        <f t="shared" ca="1" si="5"/>
        <v>31.341546525360172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832.43572365790374</v>
      </c>
      <c r="G243" s="168">
        <f ca="1">IF($C243-G$1&lt;År1,0,F242*(1-VLOOKUP($A243,[1]Hugst!$R$5:$W$9,MATCH(ROUNDUP((G$1)/10,0)*10,[1]Hugst!$R$4:$W$4,0))))</f>
        <v>833.1725325155378</v>
      </c>
      <c r="H243" s="168">
        <f ca="1">IF($C243-H$1&lt;År1,0,G242*(1-VLOOKUP($A243,[1]Hugst!$R$5:$W$9,MATCH(ROUNDUP((H$1)/10,0)*10,[1]Hugst!$R$4:$W$4,0))))</f>
        <v>833.92055451019974</v>
      </c>
      <c r="I243" s="168">
        <f ca="1">IF($C243-I$1&lt;År1,0,H242*(1-VLOOKUP($A243,[1]Hugst!$R$5:$W$9,MATCH(ROUNDUP((I$1)/10,0)*10,[1]Hugst!$R$4:$W$4,0))))</f>
        <v>834.67984809416998</v>
      </c>
      <c r="J243" s="168">
        <f ca="1">IF($C243-J$1&lt;År1,0,I242*(1-VLOOKUP($A243,[1]Hugst!$R$5:$W$9,MATCH(ROUNDUP((J$1)/10,0)*10,[1]Hugst!$R$4:$W$4,0))))</f>
        <v>835.45047199040732</v>
      </c>
      <c r="K243" s="168">
        <f ca="1">IF($C243-K$1&lt;År1,0,J242*(1-VLOOKUP($A243,[1]Hugst!$R$5:$W$9,MATCH(ROUNDUP((K$1)/10,0)*10,[1]Hugst!$R$4:$W$4,0))))</f>
        <v>835.24741371611094</v>
      </c>
      <c r="L243" s="168">
        <f ca="1">IF($C243-L$1&lt;År1,0,K242*(1-VLOOKUP($A243,[1]Hugst!$R$5:$W$9,MATCH(ROUNDUP((L$1)/10,0)*10,[1]Hugst!$R$4:$W$4,0))))</f>
        <v>833.82518358822222</v>
      </c>
      <c r="M243" s="168">
        <f ca="1">IF($C243-M$1&lt;År1,0,L242*(1-VLOOKUP($A243,[1]Hugst!$R$5:$W$9,MATCH(ROUNDUP((M$1)/10,0)*10,[1]Hugst!$R$4:$W$4,0))))</f>
        <v>832.40049442444183</v>
      </c>
      <c r="N243" s="168">
        <f ca="1">IF($C243-N$1&lt;År1,0,M242*(1-VLOOKUP($A243,[1]Hugst!$R$5:$W$9,MATCH(ROUNDUP((N$1)/10,0)*10,[1]Hugst!$R$4:$W$4,0))))</f>
        <v>830.97334418085961</v>
      </c>
      <c r="O243" s="168">
        <f ca="1">IF($C243-O$1&lt;År1,0,N242*(1-VLOOKUP($A243,[1]Hugst!$R$5:$W$9,MATCH(ROUNDUP((O$1)/10,0)*10,[1]Hugst!$R$4:$W$4,0))))</f>
        <v>829.54373082597817</v>
      </c>
      <c r="P243" s="168">
        <f ca="1">IF($C243-P$1&lt;År1,0,O242*(1-VLOOKUP($A243,[1]Hugst!$R$5:$W$9,MATCH(ROUNDUP((P$1)/10,0)*10,[1]Hugst!$R$4:$W$4,0))))</f>
        <v>826.29384627466902</v>
      </c>
      <c r="Q243" s="168">
        <f ca="1">IF($C243-Q$1&lt;År1,0,P242*(1-VLOOKUP($A243,[1]Hugst!$R$5:$W$9,MATCH(ROUNDUP((Q$1)/10,0)*10,[1]Hugst!$R$4:$W$4,0))))</f>
        <v>823.05177598546334</v>
      </c>
      <c r="R243" s="168">
        <f ca="1">IF($C243-R$1&lt;År1,0,Q242*(1-VLOOKUP($A243,[1]Hugst!$R$5:$W$9,MATCH(ROUNDUP((R$1)/10,0)*10,[1]Hugst!$R$4:$W$4,0))))</f>
        <v>819.81750472303952</v>
      </c>
      <c r="S243" s="168">
        <f ca="1">IF($C243-S$1&lt;År1,0,R242*(1-VLOOKUP($A243,[1]Hugst!$R$5:$W$9,MATCH(ROUNDUP((S$1)/10,0)*10,[1]Hugst!$R$4:$W$4,0))))</f>
        <v>816.59101729091913</v>
      </c>
      <c r="T243" s="168">
        <f ca="1">IF($C243-T$1&lt;År1,0,S242*(1-VLOOKUP($A243,[1]Hugst!$R$5:$W$9,MATCH(ROUNDUP((T$1)/10,0)*10,[1]Hugst!$R$4:$W$4,0))))</f>
        <v>1256.2489943603368</v>
      </c>
      <c r="U243" s="168">
        <f ca="1">IF($C243-U$1&lt;År1,0,T242*(1-VLOOKUP($A243,[1]Hugst!$R$5:$W$9,MATCH(ROUNDUP((U$1)/10,0)*10,[1]Hugst!$R$4:$W$4,0))))</f>
        <v>1252.0658607977937</v>
      </c>
      <c r="V243" s="168">
        <f ca="1">IF($C243-V$1&lt;År1,0,U242*(1-VLOOKUP($A243,[1]Hugst!$R$5:$W$9,MATCH(ROUNDUP((V$1)/10,0)*10,[1]Hugst!$R$4:$W$4,0))))</f>
        <v>1250.6715089410602</v>
      </c>
      <c r="W243" s="168">
        <f ca="1">IF($C243-W$1&lt;År1,0,V242*(1-VLOOKUP($A243,[1]Hugst!$R$5:$W$9,MATCH(ROUNDUP((W$1)/10,0)*10,[1]Hugst!$R$4:$W$4,0))))</f>
        <v>1249.2840349867417</v>
      </c>
      <c r="X243" s="168">
        <f ca="1">IF($C243-X$1&lt;År1,0,W242*(1-VLOOKUP($A243,[1]Hugst!$R$5:$W$9,MATCH(ROUNDUP((X$1)/10,0)*10,[1]Hugst!$R$4:$W$4,0))))</f>
        <v>1247.9034345974151</v>
      </c>
      <c r="Y243" s="168">
        <f ca="1">IF($C243-Y$1&lt;År1,0,X242*(1-VLOOKUP($A243,[1]Hugst!$R$5:$W$9,MATCH(ROUNDUP((Y$1)/10,0)*10,[1]Hugst!$R$4:$W$4,0))))</f>
        <v>1246.5297034754606</v>
      </c>
      <c r="Z243" s="168">
        <f ca="1">IF($C243-Z$1&lt;År1,0,Y242*(1-VLOOKUP($A243,[1]Hugst!$R$5:$W$9,MATCH(ROUNDUP((Z$1)/10,0)*10,[1]Hugst!$R$4:$W$4,0))))</f>
        <v>1246.3803028604557</v>
      </c>
      <c r="AA243" s="168">
        <f ca="1">IF($C243-AA$1&lt;År1,0,Z242*(1-VLOOKUP($A243,[1]Hugst!$R$5:$W$9,MATCH(ROUNDUP((AA$1)/10,0)*10,[1]Hugst!$R$4:$W$4,0))))</f>
        <v>1246.236292614439</v>
      </c>
      <c r="AB243" s="168">
        <f ca="1">IF($C243-AB$1&lt;År1,0,AA242*(1-VLOOKUP($A243,[1]Hugst!$R$5:$W$9,MATCH(ROUNDUP((AB$1)/10,0)*10,[1]Hugst!$R$4:$W$4,0))))</f>
        <v>1246.0976859521502</v>
      </c>
      <c r="AC243" s="168">
        <f ca="1">IF($C243-AC$1&lt;År1,0,AB242*(1-VLOOKUP($A243,[1]Hugst!$R$5:$W$9,MATCH(ROUNDUP((AC$1)/10,0)*10,[1]Hugst!$R$4:$W$4,0))))</f>
        <v>1245.9644961474112</v>
      </c>
      <c r="AD243" s="168">
        <f ca="1">IF($C243-AD$1&lt;År1,0,AC242*(1-VLOOKUP($A243,[1]Hugst!$R$5:$W$9,MATCH(ROUNDUP((AD$1)/10,0)*10,[1]Hugst!$R$4:$W$4,0))))</f>
        <v>1245.8367365333461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(IF(B244="Vestdanmark",Skovbrug!$C$22-(Skovbrug!$C$22)*(1-Skovbrug!$C$9)^(C244-Skovbrug!$B$12),Skovbrug!$F$22-(Skovbrug!$F$22)*(1-Skovbrug!$C$9)^(C244-Skovbrug!$B$12)))*VLOOKUP(A244,Skovbrug!$A$13:$D$17,IF('Skovbrug-alder'!C244&lt;=År2,3,4),FALSE)
-IF(C244&gt;2020,SUM(INDEX($C$1:$D$311,MATCH(1,(2020=$C$1:$C$311)*(B244=$B$1:$B$311)*(A244=$A$1:$A$311),0),2):D243),0)</f>
        <v>252.55098339834058</v>
      </c>
      <c r="E244" s="168">
        <f t="shared" ca="1" si="5"/>
        <v>31.884993040723202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831.7100697541739</v>
      </c>
      <c r="G244" s="168">
        <f ca="1">IF($C244-G$1&lt;År1,0,F243*(1-VLOOKUP($A244,[1]Hugst!$R$5:$W$9,MATCH(ROUNDUP((G$1)/10,0)*10,[1]Hugst!$R$4:$W$4,0))))</f>
        <v>832.43572365790374</v>
      </c>
      <c r="H244" s="168">
        <f ca="1">IF($C244-H$1&lt;År1,0,G243*(1-VLOOKUP($A244,[1]Hugst!$R$5:$W$9,MATCH(ROUNDUP((H$1)/10,0)*10,[1]Hugst!$R$4:$W$4,0))))</f>
        <v>833.1725325155378</v>
      </c>
      <c r="I244" s="168">
        <f ca="1">IF($C244-I$1&lt;År1,0,H243*(1-VLOOKUP($A244,[1]Hugst!$R$5:$W$9,MATCH(ROUNDUP((I$1)/10,0)*10,[1]Hugst!$R$4:$W$4,0))))</f>
        <v>833.92055451019974</v>
      </c>
      <c r="J244" s="168">
        <f ca="1">IF($C244-J$1&lt;År1,0,I243*(1-VLOOKUP($A244,[1]Hugst!$R$5:$W$9,MATCH(ROUNDUP((J$1)/10,0)*10,[1]Hugst!$R$4:$W$4,0))))</f>
        <v>834.67984809416998</v>
      </c>
      <c r="K244" s="168">
        <f ca="1">IF($C244-K$1&lt;År1,0,J243*(1-VLOOKUP($A244,[1]Hugst!$R$5:$W$9,MATCH(ROUNDUP((K$1)/10,0)*10,[1]Hugst!$R$4:$W$4,0))))</f>
        <v>835.45047199040732</v>
      </c>
      <c r="L244" s="168">
        <f ca="1">IF($C244-L$1&lt;År1,0,K243*(1-VLOOKUP($A244,[1]Hugst!$R$5:$W$9,MATCH(ROUNDUP((L$1)/10,0)*10,[1]Hugst!$R$4:$W$4,0))))</f>
        <v>835.24741371611094</v>
      </c>
      <c r="M244" s="168">
        <f ca="1">IF($C244-M$1&lt;År1,0,L243*(1-VLOOKUP($A244,[1]Hugst!$R$5:$W$9,MATCH(ROUNDUP((M$1)/10,0)*10,[1]Hugst!$R$4:$W$4,0))))</f>
        <v>833.82518358822222</v>
      </c>
      <c r="N244" s="168">
        <f ca="1">IF($C244-N$1&lt;År1,0,M243*(1-VLOOKUP($A244,[1]Hugst!$R$5:$W$9,MATCH(ROUNDUP((N$1)/10,0)*10,[1]Hugst!$R$4:$W$4,0))))</f>
        <v>832.40049442444183</v>
      </c>
      <c r="O244" s="168">
        <f ca="1">IF($C244-O$1&lt;År1,0,N243*(1-VLOOKUP($A244,[1]Hugst!$R$5:$W$9,MATCH(ROUNDUP((O$1)/10,0)*10,[1]Hugst!$R$4:$W$4,0))))</f>
        <v>830.97334418085961</v>
      </c>
      <c r="P244" s="168">
        <f ca="1">IF($C244-P$1&lt;År1,0,O243*(1-VLOOKUP($A244,[1]Hugst!$R$5:$W$9,MATCH(ROUNDUP((P$1)/10,0)*10,[1]Hugst!$R$4:$W$4,0))))</f>
        <v>827.72278117294559</v>
      </c>
      <c r="Q244" s="168">
        <f ca="1">IF($C244-Q$1&lt;År1,0,P243*(1-VLOOKUP($A244,[1]Hugst!$R$5:$W$9,MATCH(ROUNDUP((Q$1)/10,0)*10,[1]Hugst!$R$4:$W$4,0))))</f>
        <v>824.48003051455385</v>
      </c>
      <c r="R244" s="168">
        <f ca="1">IF($C244-R$1&lt;År1,0,Q243*(1-VLOOKUP($A244,[1]Hugst!$R$5:$W$9,MATCH(ROUNDUP((R$1)/10,0)*10,[1]Hugst!$R$4:$W$4,0))))</f>
        <v>821.24507696500746</v>
      </c>
      <c r="S244" s="168">
        <f ca="1">IF($C244-S$1&lt;År1,0,R243*(1-VLOOKUP($A244,[1]Hugst!$R$5:$W$9,MATCH(ROUNDUP((S$1)/10,0)*10,[1]Hugst!$R$4:$W$4,0))))</f>
        <v>818.01790532242796</v>
      </c>
      <c r="T244" s="168">
        <f ca="1">IF($C244-T$1&lt;År1,0,S243*(1-VLOOKUP($A244,[1]Hugst!$R$5:$W$9,MATCH(ROUNDUP((T$1)/10,0)*10,[1]Hugst!$R$4:$W$4,0))))</f>
        <v>814.79850042369515</v>
      </c>
      <c r="U244" s="168">
        <f ca="1">IF($C244-U$1&lt;År1,0,T243*(1-VLOOKUP($A244,[1]Hugst!$R$5:$W$9,MATCH(ROUNDUP((U$1)/10,0)*10,[1]Hugst!$R$4:$W$4,0))))</f>
        <v>1253.4913746166189</v>
      </c>
      <c r="V244" s="168">
        <f ca="1">IF($C244-V$1&lt;År1,0,U243*(1-VLOOKUP($A244,[1]Hugst!$R$5:$W$9,MATCH(ROUNDUP((V$1)/10,0)*10,[1]Hugst!$R$4:$W$4,0))))</f>
        <v>1249.3174235423839</v>
      </c>
      <c r="W244" s="168">
        <f ca="1">IF($C244-W$1&lt;År1,0,V243*(1-VLOOKUP($A244,[1]Hugst!$R$5:$W$9,MATCH(ROUNDUP((W$1)/10,0)*10,[1]Hugst!$R$4:$W$4,0))))</f>
        <v>1247.9261324580189</v>
      </c>
      <c r="X244" s="168">
        <f ca="1">IF($C244-X$1&lt;År1,0,W243*(1-VLOOKUP($A244,[1]Hugst!$R$5:$W$9,MATCH(ROUNDUP((X$1)/10,0)*10,[1]Hugst!$R$4:$W$4,0))))</f>
        <v>1246.5417041782343</v>
      </c>
      <c r="Y244" s="168">
        <f ca="1">IF($C244-Y$1&lt;År1,0,X243*(1-VLOOKUP($A244,[1]Hugst!$R$5:$W$9,MATCH(ROUNDUP((Y$1)/10,0)*10,[1]Hugst!$R$4:$W$4,0))))</f>
        <v>1245.164134375128</v>
      </c>
      <c r="Z244" s="168">
        <f ca="1">IF($C244-Z$1&lt;År1,0,Y243*(1-VLOOKUP($A244,[1]Hugst!$R$5:$W$9,MATCH(ROUNDUP((Z$1)/10,0)*10,[1]Hugst!$R$4:$W$4,0))))</f>
        <v>1245.0095453004906</v>
      </c>
      <c r="AA244" s="168">
        <f ca="1">IF($C244-AA$1&lt;År1,0,Z243*(1-VLOOKUP($A244,[1]Hugst!$R$5:$W$9,MATCH(ROUNDUP((AA$1)/10,0)*10,[1]Hugst!$R$4:$W$4,0))))</f>
        <v>1244.8603268813577</v>
      </c>
      <c r="AB244" s="168">
        <f ca="1">IF($C244-AB$1&lt;År1,0,AA243*(1-VLOOKUP($A244,[1]Hugst!$R$5:$W$9,MATCH(ROUNDUP((AB$1)/10,0)*10,[1]Hugst!$R$4:$W$4,0))))</f>
        <v>1244.7164922575921</v>
      </c>
      <c r="AC244" s="168">
        <f ca="1">IF($C244-AC$1&lt;År1,0,AB243*(1-VLOOKUP($A244,[1]Hugst!$R$5:$W$9,MATCH(ROUNDUP((AC$1)/10,0)*10,[1]Hugst!$R$4:$W$4,0))))</f>
        <v>1244.5780546278183</v>
      </c>
      <c r="AD244" s="168">
        <f ca="1">IF($C244-AD$1&lt;År1,0,AC243*(1-VLOOKUP($A244,[1]Hugst!$R$5:$W$9,MATCH(ROUNDUP((AD$1)/10,0)*10,[1]Hugst!$R$4:$W$4,0))))</f>
        <v>1244.4450272496704</v>
      </c>
      <c r="AE244" s="168">
        <f ca="1">IF($C244-AE$1&lt;År1,0,AD243*(1-VLOOKUP($A244,[1]Hugst!$R$5:$W$9,MATCH(ROUNDUP((AE$1)/10,0)*10,[1]Hugst!$R$4:$W$4,0))))</f>
        <v>1244.3174234400128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(IF(B245="Vestdanmark",Skovbrug!$C$22-(Skovbrug!$C$22)*(1-Skovbrug!$C$9)^(C245-Skovbrug!$B$12),Skovbrug!$F$22-(Skovbrug!$F$22)*(1-Skovbrug!$C$9)^(C245-Skovbrug!$B$12)))*VLOOKUP(A245,Skovbrug!$A$13:$D$17,IF('Skovbrug-alder'!C245&lt;=År2,3,4),FALSE)
-IF(C245&gt;2020,SUM(INDEX($C$1:$D$311,MATCH(1,(2020=$C$1:$C$311)*(B245=$B$1:$B$311)*(A245=$A$1:$A$311),0),2):D244),0)</f>
        <v>251.28822848136315</v>
      </c>
      <c r="E245" s="168">
        <f t="shared" ca="1" si="5"/>
        <v>32.433191092935886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830.99551288940916</v>
      </c>
      <c r="G245" s="168">
        <f ca="1">IF($C245-G$1&lt;År1,0,F244*(1-VLOOKUP($A245,[1]Hugst!$R$5:$W$9,MATCH(ROUNDUP((G$1)/10,0)*10,[1]Hugst!$R$4:$W$4,0))))</f>
        <v>831.7100697541739</v>
      </c>
      <c r="H245" s="168">
        <f ca="1">IF($C245-H$1&lt;År1,0,G244*(1-VLOOKUP($A245,[1]Hugst!$R$5:$W$9,MATCH(ROUNDUP((H$1)/10,0)*10,[1]Hugst!$R$4:$W$4,0))))</f>
        <v>832.43572365790374</v>
      </c>
      <c r="I245" s="168">
        <f ca="1">IF($C245-I$1&lt;År1,0,H244*(1-VLOOKUP($A245,[1]Hugst!$R$5:$W$9,MATCH(ROUNDUP((I$1)/10,0)*10,[1]Hugst!$R$4:$W$4,0))))</f>
        <v>833.1725325155378</v>
      </c>
      <c r="J245" s="168">
        <f ca="1">IF($C245-J$1&lt;År1,0,I244*(1-VLOOKUP($A245,[1]Hugst!$R$5:$W$9,MATCH(ROUNDUP((J$1)/10,0)*10,[1]Hugst!$R$4:$W$4,0))))</f>
        <v>833.92055451019974</v>
      </c>
      <c r="K245" s="168">
        <f ca="1">IF($C245-K$1&lt;År1,0,J244*(1-VLOOKUP($A245,[1]Hugst!$R$5:$W$9,MATCH(ROUNDUP((K$1)/10,0)*10,[1]Hugst!$R$4:$W$4,0))))</f>
        <v>834.67984809416998</v>
      </c>
      <c r="L245" s="168">
        <f ca="1">IF($C245-L$1&lt;År1,0,K244*(1-VLOOKUP($A245,[1]Hugst!$R$5:$W$9,MATCH(ROUNDUP((L$1)/10,0)*10,[1]Hugst!$R$4:$W$4,0))))</f>
        <v>835.45047199040732</v>
      </c>
      <c r="M245" s="168">
        <f ca="1">IF($C245-M$1&lt;År1,0,L244*(1-VLOOKUP($A245,[1]Hugst!$R$5:$W$9,MATCH(ROUNDUP((M$1)/10,0)*10,[1]Hugst!$R$4:$W$4,0))))</f>
        <v>835.24741371611094</v>
      </c>
      <c r="N245" s="168">
        <f ca="1">IF($C245-N$1&lt;År1,0,M244*(1-VLOOKUP($A245,[1]Hugst!$R$5:$W$9,MATCH(ROUNDUP((N$1)/10,0)*10,[1]Hugst!$R$4:$W$4,0))))</f>
        <v>833.82518358822222</v>
      </c>
      <c r="O245" s="168">
        <f ca="1">IF($C245-O$1&lt;År1,0,N244*(1-VLOOKUP($A245,[1]Hugst!$R$5:$W$9,MATCH(ROUNDUP((O$1)/10,0)*10,[1]Hugst!$R$4:$W$4,0))))</f>
        <v>832.40049442444183</v>
      </c>
      <c r="P245" s="168">
        <f ca="1">IF($C245-P$1&lt;År1,0,O244*(1-VLOOKUP($A245,[1]Hugst!$R$5:$W$9,MATCH(ROUNDUP((P$1)/10,0)*10,[1]Hugst!$R$4:$W$4,0))))</f>
        <v>829.14925635216991</v>
      </c>
      <c r="Q245" s="168">
        <f ca="1">IF($C245-Q$1&lt;År1,0,P244*(1-VLOOKUP($A245,[1]Hugst!$R$5:$W$9,MATCH(ROUNDUP((Q$1)/10,0)*10,[1]Hugst!$R$4:$W$4,0))))</f>
        <v>825.90582872646837</v>
      </c>
      <c r="R245" s="168">
        <f ca="1">IF($C245-R$1&lt;År1,0,Q244*(1-VLOOKUP($A245,[1]Hugst!$R$5:$W$9,MATCH(ROUNDUP((R$1)/10,0)*10,[1]Hugst!$R$4:$W$4,0))))</f>
        <v>822.67019630122923</v>
      </c>
      <c r="S245" s="168">
        <f ca="1">IF($C245-S$1&lt;År1,0,R244*(1-VLOOKUP($A245,[1]Hugst!$R$5:$W$9,MATCH(ROUNDUP((S$1)/10,0)*10,[1]Hugst!$R$4:$W$4,0))))</f>
        <v>819.44234386923063</v>
      </c>
      <c r="T245" s="168">
        <f ca="1">IF($C245-T$1&lt;År1,0,S244*(1-VLOOKUP($A245,[1]Hugst!$R$5:$W$9,MATCH(ROUNDUP((T$1)/10,0)*10,[1]Hugst!$R$4:$W$4,0))))</f>
        <v>816.22225626196405</v>
      </c>
      <c r="U245" s="168">
        <f ca="1">IF($C245-U$1&lt;År1,0,T244*(1-VLOOKUP($A245,[1]Hugst!$R$5:$W$9,MATCH(ROUNDUP((U$1)/10,0)*10,[1]Hugst!$R$4:$W$4,0))))</f>
        <v>813.00991834959439</v>
      </c>
      <c r="V245" s="168">
        <f ca="1">IF($C245-V$1&lt;År1,0,U244*(1-VLOOKUP($A245,[1]Hugst!$R$5:$W$9,MATCH(ROUNDUP((V$1)/10,0)*10,[1]Hugst!$R$4:$W$4,0))))</f>
        <v>1250.7398081845338</v>
      </c>
      <c r="W245" s="168">
        <f ca="1">IF($C245-W$1&lt;År1,0,V244*(1-VLOOKUP($A245,[1]Hugst!$R$5:$W$9,MATCH(ROUNDUP((W$1)/10,0)*10,[1]Hugst!$R$4:$W$4,0))))</f>
        <v>1246.575019441925</v>
      </c>
      <c r="X245" s="168">
        <f ca="1">IF($C245-X$1&lt;År1,0,W244*(1-VLOOKUP($A245,[1]Hugst!$R$5:$W$9,MATCH(ROUNDUP((X$1)/10,0)*10,[1]Hugst!$R$4:$W$4,0))))</f>
        <v>1245.1867824111598</v>
      </c>
      <c r="Y245" s="168">
        <f ca="1">IF($C245-Y$1&lt;År1,0,X244*(1-VLOOKUP($A245,[1]Hugst!$R$5:$W$9,MATCH(ROUNDUP((Y$1)/10,0)*10,[1]Hugst!$R$4:$W$4,0))))</f>
        <v>1243.8053931202821</v>
      </c>
      <c r="Z245" s="168">
        <f ca="1">IF($C245-Z$1&lt;År1,0,Y244*(1-VLOOKUP($A245,[1]Hugst!$R$5:$W$9,MATCH(ROUNDUP((Z$1)/10,0)*10,[1]Hugst!$R$4:$W$4,0))))</f>
        <v>1243.6456415283292</v>
      </c>
      <c r="AA245" s="168">
        <f ca="1">IF($C245-AA$1&lt;År1,0,Z244*(1-VLOOKUP($A245,[1]Hugst!$R$5:$W$9,MATCH(ROUNDUP((AA$1)/10,0)*10,[1]Hugst!$R$4:$W$4,0))))</f>
        <v>1243.4912409769533</v>
      </c>
      <c r="AB245" s="168">
        <f ca="1">IF($C245-AB$1&lt;År1,0,AA244*(1-VLOOKUP($A245,[1]Hugst!$R$5:$W$9,MATCH(ROUNDUP((AB$1)/10,0)*10,[1]Hugst!$R$4:$W$4,0))))</f>
        <v>1243.3422045315024</v>
      </c>
      <c r="AC245" s="168">
        <f ca="1">IF($C245-AC$1&lt;År1,0,AB244*(1-VLOOKUP($A245,[1]Hugst!$R$5:$W$9,MATCH(ROUNDUP((AC$1)/10,0)*10,[1]Hugst!$R$4:$W$4,0))))</f>
        <v>1243.1985453158145</v>
      </c>
      <c r="AD245" s="168">
        <f ca="1">IF($C245-AD$1&lt;År1,0,AC244*(1-VLOOKUP($A245,[1]Hugst!$R$5:$W$9,MATCH(ROUNDUP((AD$1)/10,0)*10,[1]Hugst!$R$4:$W$4,0))))</f>
        <v>1243.0602765124186</v>
      </c>
      <c r="AE245" s="168">
        <f ca="1">IF($C245-AE$1&lt;År1,0,AD244*(1-VLOOKUP($A245,[1]Hugst!$R$5:$W$9,MATCH(ROUNDUP((AE$1)/10,0)*10,[1]Hugst!$R$4:$W$4,0))))</f>
        <v>1242.9274113627805</v>
      </c>
      <c r="AF245" s="168">
        <f ca="1">IF($C245-AF$1&lt;År1,0,AE244*(1-VLOOKUP($A245,[1]Hugst!$R$5:$W$9,MATCH(ROUNDUP((AF$1)/10,0)*10,[1]Hugst!$R$4:$W$4,0))))</f>
        <v>1242.799963167525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(IF(B246="Vestdanmark",Skovbrug!$C$22-(Skovbrug!$C$22)*(1-Skovbrug!$C$9)^(C246-Skovbrug!$B$12),Skovbrug!$F$22-(Skovbrug!$F$22)*(1-Skovbrug!$C$9)^(C246-Skovbrug!$B$12)))*VLOOKUP(A246,Skovbrug!$A$13:$D$17,IF('Skovbrug-alder'!C246&lt;=År2,3,4),FALSE)
-IF(C246&gt;2020,SUM(INDEX($C$1:$D$311,MATCH(1,(2020=$C$1:$C$311)*(B246=$B$1:$B$311)*(A246=$A$1:$A$311),0),2):D245),0)</f>
        <v>250.03178733893583</v>
      </c>
      <c r="E246" s="168">
        <f t="shared" ca="1" si="5"/>
        <v>32.986114761337376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830.29199541538333</v>
      </c>
      <c r="G246" s="168">
        <f ca="1">IF($C246-G$1&lt;År1,0,F245*(1-VLOOKUP($A246,[1]Hugst!$R$5:$W$9,MATCH(ROUNDUP((G$1)/10,0)*10,[1]Hugst!$R$4:$W$4,0))))</f>
        <v>830.99551288940916</v>
      </c>
      <c r="H246" s="168">
        <f ca="1">IF($C246-H$1&lt;År1,0,G245*(1-VLOOKUP($A246,[1]Hugst!$R$5:$W$9,MATCH(ROUNDUP((H$1)/10,0)*10,[1]Hugst!$R$4:$W$4,0))))</f>
        <v>831.7100697541739</v>
      </c>
      <c r="I246" s="168">
        <f ca="1">IF($C246-I$1&lt;År1,0,H245*(1-VLOOKUP($A246,[1]Hugst!$R$5:$W$9,MATCH(ROUNDUP((I$1)/10,0)*10,[1]Hugst!$R$4:$W$4,0))))</f>
        <v>832.43572365790374</v>
      </c>
      <c r="J246" s="168">
        <f ca="1">IF($C246-J$1&lt;År1,0,I245*(1-VLOOKUP($A246,[1]Hugst!$R$5:$W$9,MATCH(ROUNDUP((J$1)/10,0)*10,[1]Hugst!$R$4:$W$4,0))))</f>
        <v>833.1725325155378</v>
      </c>
      <c r="K246" s="168">
        <f ca="1">IF($C246-K$1&lt;År1,0,J245*(1-VLOOKUP($A246,[1]Hugst!$R$5:$W$9,MATCH(ROUNDUP((K$1)/10,0)*10,[1]Hugst!$R$4:$W$4,0))))</f>
        <v>833.92055451019974</v>
      </c>
      <c r="L246" s="168">
        <f ca="1">IF($C246-L$1&lt;År1,0,K245*(1-VLOOKUP($A246,[1]Hugst!$R$5:$W$9,MATCH(ROUNDUP((L$1)/10,0)*10,[1]Hugst!$R$4:$W$4,0))))</f>
        <v>834.67984809416998</v>
      </c>
      <c r="M246" s="168">
        <f ca="1">IF($C246-M$1&lt;År1,0,L245*(1-VLOOKUP($A246,[1]Hugst!$R$5:$W$9,MATCH(ROUNDUP((M$1)/10,0)*10,[1]Hugst!$R$4:$W$4,0))))</f>
        <v>835.45047199040732</v>
      </c>
      <c r="N246" s="168">
        <f ca="1">IF($C246-N$1&lt;År1,0,M245*(1-VLOOKUP($A246,[1]Hugst!$R$5:$W$9,MATCH(ROUNDUP((N$1)/10,0)*10,[1]Hugst!$R$4:$W$4,0))))</f>
        <v>835.24741371611094</v>
      </c>
      <c r="O246" s="168">
        <f ca="1">IF($C246-O$1&lt;År1,0,N245*(1-VLOOKUP($A246,[1]Hugst!$R$5:$W$9,MATCH(ROUNDUP((O$1)/10,0)*10,[1]Hugst!$R$4:$W$4,0))))</f>
        <v>833.82518358822222</v>
      </c>
      <c r="P246" s="168">
        <f ca="1">IF($C246-P$1&lt;År1,0,O245*(1-VLOOKUP($A246,[1]Hugst!$R$5:$W$9,MATCH(ROUNDUP((P$1)/10,0)*10,[1]Hugst!$R$4:$W$4,0))))</f>
        <v>830.57327382692472</v>
      </c>
      <c r="Q246" s="168">
        <f ca="1">IF($C246-Q$1&lt;År1,0,P245*(1-VLOOKUP($A246,[1]Hugst!$R$5:$W$9,MATCH(ROUNDUP((Q$1)/10,0)*10,[1]Hugst!$R$4:$W$4,0))))</f>
        <v>827.32917261871398</v>
      </c>
      <c r="R246" s="168">
        <f ca="1">IF($C246-R$1&lt;År1,0,Q245*(1-VLOOKUP($A246,[1]Hugst!$R$5:$W$9,MATCH(ROUNDUP((R$1)/10,0)*10,[1]Hugst!$R$4:$W$4,0))))</f>
        <v>824.0928647121907</v>
      </c>
      <c r="S246" s="168">
        <f ca="1">IF($C246-S$1&lt;År1,0,R245*(1-VLOOKUP($A246,[1]Hugst!$R$5:$W$9,MATCH(ROUNDUP((S$1)/10,0)*10,[1]Hugst!$R$4:$W$4,0))))</f>
        <v>820.86433489471437</v>
      </c>
      <c r="T246" s="168">
        <f ca="1">IF($C246-T$1&lt;År1,0,S245*(1-VLOOKUP($A246,[1]Hugst!$R$5:$W$9,MATCH(ROUNDUP((T$1)/10,0)*10,[1]Hugst!$R$4:$W$4,0))))</f>
        <v>817.64356799244456</v>
      </c>
      <c r="U246" s="168">
        <f ca="1">IF($C246-U$1&lt;År1,0,T245*(1-VLOOKUP($A246,[1]Hugst!$R$5:$W$9,MATCH(ROUNDUP((U$1)/10,0)*10,[1]Hugst!$R$4:$W$4,0))))</f>
        <v>814.43054887016945</v>
      </c>
      <c r="V246" s="168">
        <f ca="1">IF($C246-V$1&lt;År1,0,U245*(1-VLOOKUP($A246,[1]Hugst!$R$5:$W$9,MATCH(ROUNDUP((V$1)/10,0)*10,[1]Hugst!$R$4:$W$4,0))))</f>
        <v>811.22526243126606</v>
      </c>
      <c r="W246" s="168">
        <f ca="1">IF($C246-W$1&lt;År1,0,V245*(1-VLOOKUP($A246,[1]Hugst!$R$5:$W$9,MATCH(ROUNDUP((W$1)/10,0)*10,[1]Hugst!$R$4:$W$4,0))))</f>
        <v>1247.9942817763238</v>
      </c>
      <c r="X246" s="168">
        <f ca="1">IF($C246-X$1&lt;År1,0,W245*(1-VLOOKUP($A246,[1]Hugst!$R$5:$W$9,MATCH(ROUNDUP((X$1)/10,0)*10,[1]Hugst!$R$4:$W$4,0))))</f>
        <v>1243.838635252906</v>
      </c>
      <c r="Y246" s="168">
        <f ca="1">IF($C246-Y$1&lt;År1,0,X245*(1-VLOOKUP($A246,[1]Hugst!$R$5:$W$9,MATCH(ROUNDUP((Y$1)/10,0)*10,[1]Hugst!$R$4:$W$4,0))))</f>
        <v>1242.4534455717207</v>
      </c>
      <c r="Z246" s="168">
        <f ca="1">IF($C246-Z$1&lt;År1,0,Y245*(1-VLOOKUP($A246,[1]Hugst!$R$5:$W$9,MATCH(ROUNDUP((Z$1)/10,0)*10,[1]Hugst!$R$4:$W$4,0))))</f>
        <v>1242.2885572750135</v>
      </c>
      <c r="AA246" s="168">
        <f ca="1">IF($C246-AA$1&lt;År1,0,Z245*(1-VLOOKUP($A246,[1]Hugst!$R$5:$W$9,MATCH(ROUNDUP((AA$1)/10,0)*10,[1]Hugst!$R$4:$W$4,0))))</f>
        <v>1242.1290005020751</v>
      </c>
      <c r="AB246" s="168">
        <f ca="1">IF($C246-AB$1&lt;År1,0,AA245*(1-VLOOKUP($A246,[1]Hugst!$R$5:$W$9,MATCH(ROUNDUP((AB$1)/10,0)*10,[1]Hugst!$R$4:$W$4,0))))</f>
        <v>1241.9747882440547</v>
      </c>
      <c r="AC246" s="168">
        <f ca="1">IF($C246-AC$1&lt;År1,0,AB245*(1-VLOOKUP($A246,[1]Hugst!$R$5:$W$9,MATCH(ROUNDUP((AC$1)/10,0)*10,[1]Hugst!$R$4:$W$4,0))))</f>
        <v>1241.8259335503665</v>
      </c>
      <c r="AD246" s="168">
        <f ca="1">IF($C246-AD$1&lt;År1,0,AC245*(1-VLOOKUP($A246,[1]Hugst!$R$5:$W$9,MATCH(ROUNDUP((AD$1)/10,0)*10,[1]Hugst!$R$4:$W$4,0))))</f>
        <v>1241.682449528844</v>
      </c>
      <c r="AE246" s="168">
        <f ca="1">IF($C246-AE$1&lt;År1,0,AD245*(1-VLOOKUP($A246,[1]Hugst!$R$5:$W$9,MATCH(ROUNDUP((AE$1)/10,0)*10,[1]Hugst!$R$4:$W$4,0))))</f>
        <v>1241.54434934594</v>
      </c>
      <c r="AF246" s="168">
        <f ca="1">IF($C246-AF$1&lt;År1,0,AE245*(1-VLOOKUP($A246,[1]Hugst!$R$5:$W$9,MATCH(ROUNDUP((AF$1)/10,0)*10,[1]Hugst!$R$4:$W$4,0))))</f>
        <v>1241.4116462269722</v>
      </c>
      <c r="AG246" s="168">
        <f ca="1">IF($C246-AG$1&lt;År1,0,AF245*(1-VLOOKUP($A246,[1]Hugst!$R$5:$W$9,MATCH(ROUNDUP((AG$1)/10,0)*10,[1]Hugst!$R$4:$W$4,0))))</f>
        <v>1241.2843534563451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(IF(B247="Vestdanmark",Skovbrug!$C$22-(Skovbrug!$C$22)*(1-Skovbrug!$C$9)^(C247-Skovbrug!$B$12),Skovbrug!$F$22-(Skovbrug!$F$22)*(1-Skovbrug!$C$9)^(C247-Skovbrug!$B$12)))*VLOOKUP(A247,Skovbrug!$A$13:$D$17,IF('Skovbrug-alder'!C247&lt;=År2,3,4),FALSE)
-IF(C247&gt;2020,SUM(INDEX($C$1:$D$311,MATCH(1,(2020=$C$1:$C$311)*(B247=$B$1:$B$311)*(A247=$A$1:$A$311),0),2):D246),0)</f>
        <v>248.78162840224832</v>
      </c>
      <c r="E247" s="168">
        <f t="shared" ca="1" si="5"/>
        <v>33.543738232241594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829.59945994960003</v>
      </c>
      <c r="G247" s="168">
        <f ca="1">IF($C247-G$1&lt;År1,0,F246*(1-VLOOKUP($A247,[1]Hugst!$R$5:$W$9,MATCH(ROUNDUP((G$1)/10,0)*10,[1]Hugst!$R$4:$W$4,0))))</f>
        <v>830.29199541538333</v>
      </c>
      <c r="H247" s="168">
        <f ca="1">IF($C247-H$1&lt;År1,0,G246*(1-VLOOKUP($A247,[1]Hugst!$R$5:$W$9,MATCH(ROUNDUP((H$1)/10,0)*10,[1]Hugst!$R$4:$W$4,0))))</f>
        <v>830.99551288940916</v>
      </c>
      <c r="I247" s="168">
        <f ca="1">IF($C247-I$1&lt;År1,0,H246*(1-VLOOKUP($A247,[1]Hugst!$R$5:$W$9,MATCH(ROUNDUP((I$1)/10,0)*10,[1]Hugst!$R$4:$W$4,0))))</f>
        <v>831.7100697541739</v>
      </c>
      <c r="J247" s="168">
        <f ca="1">IF($C247-J$1&lt;År1,0,I246*(1-VLOOKUP($A247,[1]Hugst!$R$5:$W$9,MATCH(ROUNDUP((J$1)/10,0)*10,[1]Hugst!$R$4:$W$4,0))))</f>
        <v>832.43572365790374</v>
      </c>
      <c r="K247" s="168">
        <f ca="1">IF($C247-K$1&lt;År1,0,J246*(1-VLOOKUP($A247,[1]Hugst!$R$5:$W$9,MATCH(ROUNDUP((K$1)/10,0)*10,[1]Hugst!$R$4:$W$4,0))))</f>
        <v>833.1725325155378</v>
      </c>
      <c r="L247" s="168">
        <f ca="1">IF($C247-L$1&lt;År1,0,K246*(1-VLOOKUP($A247,[1]Hugst!$R$5:$W$9,MATCH(ROUNDUP((L$1)/10,0)*10,[1]Hugst!$R$4:$W$4,0))))</f>
        <v>833.92055451019974</v>
      </c>
      <c r="M247" s="168">
        <f ca="1">IF($C247-M$1&lt;År1,0,L246*(1-VLOOKUP($A247,[1]Hugst!$R$5:$W$9,MATCH(ROUNDUP((M$1)/10,0)*10,[1]Hugst!$R$4:$W$4,0))))</f>
        <v>834.67984809416998</v>
      </c>
      <c r="N247" s="168">
        <f ca="1">IF($C247-N$1&lt;År1,0,M246*(1-VLOOKUP($A247,[1]Hugst!$R$5:$W$9,MATCH(ROUNDUP((N$1)/10,0)*10,[1]Hugst!$R$4:$W$4,0))))</f>
        <v>835.45047199040732</v>
      </c>
      <c r="O247" s="168">
        <f ca="1">IF($C247-O$1&lt;År1,0,N246*(1-VLOOKUP($A247,[1]Hugst!$R$5:$W$9,MATCH(ROUNDUP((O$1)/10,0)*10,[1]Hugst!$R$4:$W$4,0))))</f>
        <v>835.24741371611094</v>
      </c>
      <c r="P247" s="168">
        <f ca="1">IF($C247-P$1&lt;År1,0,O246*(1-VLOOKUP($A247,[1]Hugst!$R$5:$W$9,MATCH(ROUNDUP((P$1)/10,0)*10,[1]Hugst!$R$4:$W$4,0))))</f>
        <v>831.99483562424803</v>
      </c>
      <c r="Q247" s="168">
        <f ca="1">IF($C247-Q$1&lt;År1,0,P246*(1-VLOOKUP($A247,[1]Hugst!$R$5:$W$9,MATCH(ROUNDUP((Q$1)/10,0)*10,[1]Hugst!$R$4:$W$4,0))))</f>
        <v>828.75006420145098</v>
      </c>
      <c r="R247" s="168">
        <f ca="1">IF($C247-R$1&lt;År1,0,Q246*(1-VLOOKUP($A247,[1]Hugst!$R$5:$W$9,MATCH(ROUNDUP((R$1)/10,0)*10,[1]Hugst!$R$4:$W$4,0))))</f>
        <v>825.5130841910144</v>
      </c>
      <c r="S247" s="168">
        <f ca="1">IF($C247-S$1&lt;År1,0,R246*(1-VLOOKUP($A247,[1]Hugst!$R$5:$W$9,MATCH(ROUNDUP((S$1)/10,0)*10,[1]Hugst!$R$4:$W$4,0))))</f>
        <v>822.28388037501759</v>
      </c>
      <c r="T247" s="168">
        <f ca="1">IF($C247-T$1&lt;År1,0,S246*(1-VLOOKUP($A247,[1]Hugst!$R$5:$W$9,MATCH(ROUNDUP((T$1)/10,0)*10,[1]Hugst!$R$4:$W$4,0))))</f>
        <v>819.06243757421373</v>
      </c>
      <c r="U247" s="168">
        <f ca="1">IF($C247-U$1&lt;År1,0,T246*(1-VLOOKUP($A247,[1]Hugst!$R$5:$W$9,MATCH(ROUNDUP((U$1)/10,0)*10,[1]Hugst!$R$4:$W$4,0))))</f>
        <v>815.84874064807093</v>
      </c>
      <c r="V247" s="168">
        <f ca="1">IF($C247-V$1&lt;År1,0,U246*(1-VLOOKUP($A247,[1]Hugst!$R$5:$W$9,MATCH(ROUNDUP((V$1)/10,0)*10,[1]Hugst!$R$4:$W$4,0))))</f>
        <v>812.64277449460076</v>
      </c>
      <c r="W247" s="168">
        <f ca="1">IF($C247-W$1&lt;År1,0,V246*(1-VLOOKUP($A247,[1]Hugst!$R$5:$W$9,MATCH(ROUNDUP((W$1)/10,0)*10,[1]Hugst!$R$4:$W$4,0))))</f>
        <v>809.44452405031939</v>
      </c>
      <c r="X247" s="168">
        <f ca="1">IF($C247-X$1&lt;År1,0,W246*(1-VLOOKUP($A247,[1]Hugst!$R$5:$W$9,MATCH(ROUNDUP((X$1)/10,0)*10,[1]Hugst!$R$4:$W$4,0))))</f>
        <v>1245.2547821334001</v>
      </c>
      <c r="Y247" s="168">
        <f ca="1">IF($C247-Y$1&lt;År1,0,X246*(1-VLOOKUP($A247,[1]Hugst!$R$5:$W$9,MATCH(ROUNDUP((Y$1)/10,0)*10,[1]Hugst!$R$4:$W$4,0))))</f>
        <v>1241.1082577608875</v>
      </c>
      <c r="Z247" s="168">
        <f ca="1">IF($C247-Z$1&lt;År1,0,Y246*(1-VLOOKUP($A247,[1]Hugst!$R$5:$W$9,MATCH(ROUNDUP((Z$1)/10,0)*10,[1]Hugst!$R$4:$W$4,0))))</f>
        <v>1240.9382584429748</v>
      </c>
      <c r="AA247" s="168">
        <f ca="1">IF($C247-AA$1&lt;År1,0,Z246*(1-VLOOKUP($A247,[1]Hugst!$R$5:$W$9,MATCH(ROUNDUP((AA$1)/10,0)*10,[1]Hugst!$R$4:$W$4,0))))</f>
        <v>1240.7735712295562</v>
      </c>
      <c r="AB247" s="168">
        <f ca="1">IF($C247-AB$1&lt;År1,0,AA246*(1-VLOOKUP($A247,[1]Hugst!$R$5:$W$9,MATCH(ROUNDUP((AB$1)/10,0)*10,[1]Hugst!$R$4:$W$4,0))))</f>
        <v>1240.6142090380481</v>
      </c>
      <c r="AC247" s="168">
        <f ca="1">IF($C247-AC$1&lt;År1,0,AB246*(1-VLOOKUP($A247,[1]Hugst!$R$5:$W$9,MATCH(ROUNDUP((AC$1)/10,0)*10,[1]Hugst!$R$4:$W$4,0))))</f>
        <v>1240.4601848437571</v>
      </c>
      <c r="AD247" s="168">
        <f ca="1">IF($C247-AD$1&lt;År1,0,AC246*(1-VLOOKUP($A247,[1]Hugst!$R$5:$W$9,MATCH(ROUNDUP((AD$1)/10,0)*10,[1]Hugst!$R$4:$W$4,0))))</f>
        <v>1240.311511680183</v>
      </c>
      <c r="AE247" s="168">
        <f ca="1">IF($C247-AE$1&lt;År1,0,AD246*(1-VLOOKUP($A247,[1]Hugst!$R$5:$W$9,MATCH(ROUNDUP((AE$1)/10,0)*10,[1]Hugst!$R$4:$W$4,0))))</f>
        <v>1240.1682026391748</v>
      </c>
      <c r="AF247" s="168">
        <f ca="1">IF($C247-AF$1&lt;År1,0,AE246*(1-VLOOKUP($A247,[1]Hugst!$R$5:$W$9,MATCH(ROUNDUP((AF$1)/10,0)*10,[1]Hugst!$R$4:$W$4,0))))</f>
        <v>1240.0302708711279</v>
      </c>
      <c r="AG247" s="168">
        <f ca="1">IF($C247-AG$1&lt;År1,0,AF246*(1-VLOOKUP($A247,[1]Hugst!$R$5:$W$9,MATCH(ROUNDUP((AG$1)/10,0)*10,[1]Hugst!$R$4:$W$4,0))))</f>
        <v>1239.8977295852319</v>
      </c>
      <c r="AH247" s="168">
        <f ca="1">IF($C247-AH$1&lt;År1,0,AG246*(1-VLOOKUP($A247,[1]Hugst!$R$5:$W$9,MATCH(ROUNDUP((AH$1)/10,0)*10,[1]Hugst!$R$4:$W$4,0))))</f>
        <v>1239.770592049691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(IF(B248="Vestdanmark",Skovbrug!$C$22-(Skovbrug!$C$22)*(1-Skovbrug!$C$9)^(C248-Skovbrug!$B$12),Skovbrug!$F$22-(Skovbrug!$F$22)*(1-Skovbrug!$C$9)^(C248-Skovbrug!$B$12)))*VLOOKUP(A248,Skovbrug!$A$13:$D$17,IF('Skovbrug-alder'!C248&lt;=År2,3,4),FALSE)
-IF(C248&gt;2020,SUM(INDEX($C$1:$D$311,MATCH(1,(2020=$C$1:$C$311)*(B248=$B$1:$B$311)*(A248=$A$1:$A$311),0),2):D247),0)</f>
        <v>247.5377202602449</v>
      </c>
      <c r="E248" s="168">
        <f t="shared" ca="1" si="5"/>
        <v>34.106035798475205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828.91784937383022</v>
      </c>
      <c r="G248" s="168">
        <f ca="1">IF($C248-G$1&lt;År1,0,F247*(1-VLOOKUP($A248,[1]Hugst!$R$5:$W$9,MATCH(ROUNDUP((G$1)/10,0)*10,[1]Hugst!$R$4:$W$4,0))))</f>
        <v>829.59945994960003</v>
      </c>
      <c r="H248" s="168">
        <f ca="1">IF($C248-H$1&lt;År1,0,G247*(1-VLOOKUP($A248,[1]Hugst!$R$5:$W$9,MATCH(ROUNDUP((H$1)/10,0)*10,[1]Hugst!$R$4:$W$4,0))))</f>
        <v>830.29199541538333</v>
      </c>
      <c r="I248" s="168">
        <f ca="1">IF($C248-I$1&lt;År1,0,H247*(1-VLOOKUP($A248,[1]Hugst!$R$5:$W$9,MATCH(ROUNDUP((I$1)/10,0)*10,[1]Hugst!$R$4:$W$4,0))))</f>
        <v>830.99551288940916</v>
      </c>
      <c r="J248" s="168">
        <f ca="1">IF($C248-J$1&lt;År1,0,I247*(1-VLOOKUP($A248,[1]Hugst!$R$5:$W$9,MATCH(ROUNDUP((J$1)/10,0)*10,[1]Hugst!$R$4:$W$4,0))))</f>
        <v>831.7100697541739</v>
      </c>
      <c r="K248" s="168">
        <f ca="1">IF($C248-K$1&lt;År1,0,J247*(1-VLOOKUP($A248,[1]Hugst!$R$5:$W$9,MATCH(ROUNDUP((K$1)/10,0)*10,[1]Hugst!$R$4:$W$4,0))))</f>
        <v>832.43572365790374</v>
      </c>
      <c r="L248" s="168">
        <f ca="1">IF($C248-L$1&lt;År1,0,K247*(1-VLOOKUP($A248,[1]Hugst!$R$5:$W$9,MATCH(ROUNDUP((L$1)/10,0)*10,[1]Hugst!$R$4:$W$4,0))))</f>
        <v>833.1725325155378</v>
      </c>
      <c r="M248" s="168">
        <f ca="1">IF($C248-M$1&lt;År1,0,L247*(1-VLOOKUP($A248,[1]Hugst!$R$5:$W$9,MATCH(ROUNDUP((M$1)/10,0)*10,[1]Hugst!$R$4:$W$4,0))))</f>
        <v>833.92055451019974</v>
      </c>
      <c r="N248" s="168">
        <f ca="1">IF($C248-N$1&lt;År1,0,M247*(1-VLOOKUP($A248,[1]Hugst!$R$5:$W$9,MATCH(ROUNDUP((N$1)/10,0)*10,[1]Hugst!$R$4:$W$4,0))))</f>
        <v>834.67984809416998</v>
      </c>
      <c r="O248" s="168">
        <f ca="1">IF($C248-O$1&lt;År1,0,N247*(1-VLOOKUP($A248,[1]Hugst!$R$5:$W$9,MATCH(ROUNDUP((O$1)/10,0)*10,[1]Hugst!$R$4:$W$4,0))))</f>
        <v>835.45047199040732</v>
      </c>
      <c r="P248" s="168">
        <f ca="1">IF($C248-P$1&lt;År1,0,O247*(1-VLOOKUP($A248,[1]Hugst!$R$5:$W$9,MATCH(ROUNDUP((P$1)/10,0)*10,[1]Hugst!$R$4:$W$4,0))))</f>
        <v>833.41394378356335</v>
      </c>
      <c r="Q248" s="168">
        <f ca="1">IF($C248-Q$1&lt;År1,0,P247*(1-VLOOKUP($A248,[1]Hugst!$R$5:$W$9,MATCH(ROUNDUP((Q$1)/10,0)*10,[1]Hugst!$R$4:$W$4,0))))</f>
        <v>830.16850549726792</v>
      </c>
      <c r="R248" s="168">
        <f ca="1">IF($C248-R$1&lt;År1,0,Q247*(1-VLOOKUP($A248,[1]Hugst!$R$5:$W$9,MATCH(ROUNDUP((R$1)/10,0)*10,[1]Hugst!$R$4:$W$4,0))))</f>
        <v>826.93085674344775</v>
      </c>
      <c r="S248" s="168">
        <f ca="1">IF($C248-S$1&lt;År1,0,R247*(1-VLOOKUP($A248,[1]Hugst!$R$5:$W$9,MATCH(ROUNDUP((S$1)/10,0)*10,[1]Hugst!$R$4:$W$4,0))))</f>
        <v>823.70098229888777</v>
      </c>
      <c r="T248" s="168">
        <f ca="1">IF($C248-T$1&lt;År1,0,S247*(1-VLOOKUP($A248,[1]Hugst!$R$5:$W$9,MATCH(ROUNDUP((T$1)/10,0)*10,[1]Hugst!$R$4:$W$4,0))))</f>
        <v>820.47886697907245</v>
      </c>
      <c r="U248" s="168">
        <f ca="1">IF($C248-U$1&lt;År1,0,T247*(1-VLOOKUP($A248,[1]Hugst!$R$5:$W$9,MATCH(ROUNDUP((U$1)/10,0)*10,[1]Hugst!$R$4:$W$4,0))))</f>
        <v>817.26449563807523</v>
      </c>
      <c r="V248" s="168">
        <f ca="1">IF($C248-V$1&lt;År1,0,U247*(1-VLOOKUP($A248,[1]Hugst!$R$5:$W$9,MATCH(ROUNDUP((V$1)/10,0)*10,[1]Hugst!$R$4:$W$4,0))))</f>
        <v>814.05785316859954</v>
      </c>
      <c r="W248" s="168">
        <f ca="1">IF($C248-W$1&lt;År1,0,V247*(1-VLOOKUP($A248,[1]Hugst!$R$5:$W$9,MATCH(ROUNDUP((W$1)/10,0)*10,[1]Hugst!$R$4:$W$4,0))))</f>
        <v>810.85892450180768</v>
      </c>
      <c r="X248" s="168">
        <f ca="1">IF($C248-X$1&lt;År1,0,W247*(1-VLOOKUP($A248,[1]Hugst!$R$5:$W$9,MATCH(ROUNDUP((X$1)/10,0)*10,[1]Hugst!$R$4:$W$4,0))))</f>
        <v>807.6676946072821</v>
      </c>
      <c r="Y248" s="168">
        <f ca="1">IF($C248-Y$1&lt;År1,0,X247*(1-VLOOKUP($A248,[1]Hugst!$R$5:$W$9,MATCH(ROUNDUP((Y$1)/10,0)*10,[1]Hugst!$R$4:$W$4,0))))</f>
        <v>1242.5212960262779</v>
      </c>
      <c r="Z248" s="168">
        <f ca="1">IF($C248-Z$1&lt;År1,0,Y247*(1-VLOOKUP($A248,[1]Hugst!$R$5:$W$9,MATCH(ROUNDUP((Z$1)/10,0)*10,[1]Hugst!$R$4:$W$4,0))))</f>
        <v>1239.5947111050814</v>
      </c>
      <c r="AA248" s="168">
        <f ca="1">IF($C248-AA$1&lt;År1,0,Z247*(1-VLOOKUP($A248,[1]Hugst!$R$5:$W$9,MATCH(ROUNDUP((AA$1)/10,0)*10,[1]Hugst!$R$4:$W$4,0))))</f>
        <v>1239.42491910341</v>
      </c>
      <c r="AB248" s="168">
        <f ca="1">IF($C248-AB$1&lt;År1,0,AA247*(1-VLOOKUP($A248,[1]Hugst!$R$5:$W$9,MATCH(ROUNDUP((AB$1)/10,0)*10,[1]Hugst!$R$4:$W$4,0))))</f>
        <v>1239.2604327280567</v>
      </c>
      <c r="AC248" s="168">
        <f ca="1">IF($C248-AC$1&lt;År1,0,AB247*(1-VLOOKUP($A248,[1]Hugst!$R$5:$W$9,MATCH(ROUNDUP((AC$1)/10,0)*10,[1]Hugst!$R$4:$W$4,0))))</f>
        <v>1239.1012648806845</v>
      </c>
      <c r="AD248" s="168">
        <f ca="1">IF($C248-AD$1&lt;År1,0,AC247*(1-VLOOKUP($A248,[1]Hugst!$R$5:$W$9,MATCH(ROUNDUP((AD$1)/10,0)*10,[1]Hugst!$R$4:$W$4,0))))</f>
        <v>1238.9474285207768</v>
      </c>
      <c r="AE248" s="168">
        <f ca="1">IF($C248-AE$1&lt;År1,0,AD247*(1-VLOOKUP($A248,[1]Hugst!$R$5:$W$9,MATCH(ROUNDUP((AE$1)/10,0)*10,[1]Hugst!$R$4:$W$4,0))))</f>
        <v>1238.798936665939</v>
      </c>
      <c r="AF248" s="168">
        <f ca="1">IF($C248-AF$1&lt;År1,0,AE247*(1-VLOOKUP($A248,[1]Hugst!$R$5:$W$9,MATCH(ROUNDUP((AF$1)/10,0)*10,[1]Hugst!$R$4:$W$4,0))))</f>
        <v>1238.6558023920538</v>
      </c>
      <c r="AG248" s="168">
        <f ca="1">IF($C248-AG$1&lt;År1,0,AF247*(1-VLOOKUP($A248,[1]Hugst!$R$5:$W$9,MATCH(ROUNDUP((AG$1)/10,0)*10,[1]Hugst!$R$4:$W$4,0))))</f>
        <v>1238.5180388334802</v>
      </c>
      <c r="AH248" s="168">
        <f ca="1">IF($C248-AH$1&lt;År1,0,AG247*(1-VLOOKUP($A248,[1]Hugst!$R$5:$W$9,MATCH(ROUNDUP((AH$1)/10,0)*10,[1]Hugst!$R$4:$W$4,0))))</f>
        <v>1238.3856591832987</v>
      </c>
      <c r="AI248" s="168">
        <f ca="1">IF($C248-AI$1&lt;År1,0,AH247*(1-VLOOKUP($A248,[1]Hugst!$R$5:$W$9,MATCH(ROUNDUP((AI$1)/10,0)*10,[1]Hugst!$R$4:$W$4,0))))</f>
        <v>1238.2586766935328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(IF(B249="Vestdanmark",Skovbrug!$C$22-(Skovbrug!$C$22)*(1-Skovbrug!$C$9)^(C249-Skovbrug!$B$12),Skovbrug!$F$22-(Skovbrug!$F$22)*(1-Skovbrug!$C$9)^(C249-Skovbrug!$B$12)))*VLOOKUP(A249,Skovbrug!$A$13:$D$17,IF('Skovbrug-alder'!C249&lt;=År2,3,4),FALSE)
-IF(C249&gt;2020,SUM(INDEX($C$1:$D$311,MATCH(1,(2020=$C$1:$C$311)*(B249=$B$1:$B$311)*(A249=$A$1:$A$311),0),2):D248),0)</f>
        <v>246.30003165894323</v>
      </c>
      <c r="E249" s="168">
        <f ca="1">IF(C249=2020,SUM(G249:AJ249),SUM(F248:AJ248)-SUM(G249:AJ249))</f>
        <v>33.988094430489582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827.56221940454293</v>
      </c>
      <c r="G249" s="168">
        <f ca="1">IF($C249-G$1&lt;År1,0,F248*(1-VLOOKUP($A249,[1]Hugst!$R$5:$W$9,MATCH(ROUNDUP((G$1)/10,0)*10,[1]Hugst!$R$4:$W$4,0))))</f>
        <v>828.91784937383022</v>
      </c>
      <c r="H249" s="168">
        <f ca="1">IF($C249-H$1&lt;År1,0,G248*(1-VLOOKUP($A249,[1]Hugst!$R$5:$W$9,MATCH(ROUNDUP((H$1)/10,0)*10,[1]Hugst!$R$4:$W$4,0))))</f>
        <v>829.59945994960003</v>
      </c>
      <c r="I249" s="168">
        <f ca="1">IF($C249-I$1&lt;År1,0,H248*(1-VLOOKUP($A249,[1]Hugst!$R$5:$W$9,MATCH(ROUNDUP((I$1)/10,0)*10,[1]Hugst!$R$4:$W$4,0))))</f>
        <v>830.29199541538333</v>
      </c>
      <c r="J249" s="168">
        <f ca="1">IF($C249-J$1&lt;År1,0,I248*(1-VLOOKUP($A249,[1]Hugst!$R$5:$W$9,MATCH(ROUNDUP((J$1)/10,0)*10,[1]Hugst!$R$4:$W$4,0))))</f>
        <v>830.99551288940916</v>
      </c>
      <c r="K249" s="168">
        <f ca="1">IF($C249-K$1&lt;År1,0,J248*(1-VLOOKUP($A249,[1]Hugst!$R$5:$W$9,MATCH(ROUNDUP((K$1)/10,0)*10,[1]Hugst!$R$4:$W$4,0))))</f>
        <v>831.7100697541739</v>
      </c>
      <c r="L249" s="168">
        <f ca="1">IF($C249-L$1&lt;År1,0,K248*(1-VLOOKUP($A249,[1]Hugst!$R$5:$W$9,MATCH(ROUNDUP((L$1)/10,0)*10,[1]Hugst!$R$4:$W$4,0))))</f>
        <v>832.43572365790374</v>
      </c>
      <c r="M249" s="168">
        <f ca="1">IF($C249-M$1&lt;År1,0,L248*(1-VLOOKUP($A249,[1]Hugst!$R$5:$W$9,MATCH(ROUNDUP((M$1)/10,0)*10,[1]Hugst!$R$4:$W$4,0))))</f>
        <v>833.1725325155378</v>
      </c>
      <c r="N249" s="168">
        <f ca="1">IF($C249-N$1&lt;År1,0,M248*(1-VLOOKUP($A249,[1]Hugst!$R$5:$W$9,MATCH(ROUNDUP((N$1)/10,0)*10,[1]Hugst!$R$4:$W$4,0))))</f>
        <v>833.92055451019974</v>
      </c>
      <c r="O249" s="168">
        <f ca="1">IF($C249-O$1&lt;År1,0,N248*(1-VLOOKUP($A249,[1]Hugst!$R$5:$W$9,MATCH(ROUNDUP((O$1)/10,0)*10,[1]Hugst!$R$4:$W$4,0))))</f>
        <v>834.67984809416998</v>
      </c>
      <c r="P249" s="168">
        <f ca="1">IF($C249-P$1&lt;År1,0,O248*(1-VLOOKUP($A249,[1]Hugst!$R$5:$W$9,MATCH(ROUNDUP((P$1)/10,0)*10,[1]Hugst!$R$4:$W$4,0))))</f>
        <v>833.61655632018449</v>
      </c>
      <c r="Q249" s="168">
        <f ca="1">IF($C249-Q$1&lt;År1,0,P248*(1-VLOOKUP($A249,[1]Hugst!$R$5:$W$9,MATCH(ROUNDUP((Q$1)/10,0)*10,[1]Hugst!$R$4:$W$4,0))))</f>
        <v>831.58449854111166</v>
      </c>
      <c r="R249" s="168">
        <f ca="1">IF($C249-R$1&lt;År1,0,Q248*(1-VLOOKUP($A249,[1]Hugst!$R$5:$W$9,MATCH(ROUNDUP((R$1)/10,0)*10,[1]Hugst!$R$4:$W$4,0))))</f>
        <v>828.34618438763971</v>
      </c>
      <c r="S249" s="168">
        <f ca="1">IF($C249-S$1&lt;År1,0,R248*(1-VLOOKUP($A249,[1]Hugst!$R$5:$W$9,MATCH(ROUNDUP((S$1)/10,0)*10,[1]Hugst!$R$4:$W$4,0))))</f>
        <v>825.11564266766948</v>
      </c>
      <c r="T249" s="168">
        <f ca="1">IF($C249-T$1&lt;År1,0,S248*(1-VLOOKUP($A249,[1]Hugst!$R$5:$W$9,MATCH(ROUNDUP((T$1)/10,0)*10,[1]Hugst!$R$4:$W$4,0))))</f>
        <v>821.89285819140241</v>
      </c>
      <c r="U249" s="168">
        <f ca="1">IF($C249-U$1&lt;År1,0,T248*(1-VLOOKUP($A249,[1]Hugst!$R$5:$W$9,MATCH(ROUNDUP((U$1)/10,0)*10,[1]Hugst!$R$4:$W$4,0))))</f>
        <v>818.67781580765495</v>
      </c>
      <c r="V249" s="168">
        <f ca="1">IF($C249-V$1&lt;År1,0,U248*(1-VLOOKUP($A249,[1]Hugst!$R$5:$W$9,MATCH(ROUNDUP((V$1)/10,0)*10,[1]Hugst!$R$4:$W$4,0))))</f>
        <v>815.47050040374779</v>
      </c>
      <c r="W249" s="168">
        <f ca="1">IF($C249-W$1&lt;År1,0,V248*(1-VLOOKUP($A249,[1]Hugst!$R$5:$W$9,MATCH(ROUNDUP((W$1)/10,0)*10,[1]Hugst!$R$4:$W$4,0))))</f>
        <v>812.27089690554646</v>
      </c>
      <c r="X249" s="168">
        <f ca="1">IF($C249-X$1&lt;År1,0,W248*(1-VLOOKUP($A249,[1]Hugst!$R$5:$W$9,MATCH(ROUNDUP((X$1)/10,0)*10,[1]Hugst!$R$4:$W$4,0))))</f>
        <v>809.0789902772915</v>
      </c>
      <c r="Y249" s="168">
        <f ca="1">IF($C249-Y$1&lt;År1,0,X248*(1-VLOOKUP($A249,[1]Hugst!$R$5:$W$9,MATCH(ROUNDUP((Y$1)/10,0)*10,[1]Hugst!$R$4:$W$4,0))))</f>
        <v>805.89476552155884</v>
      </c>
      <c r="Z249" s="168">
        <f ca="1">IF($C249-Z$1&lt;År1,0,Y248*(1-VLOOKUP($A249,[1]Hugst!$R$5:$W$9,MATCH(ROUNDUP((Z$1)/10,0)*10,[1]Hugst!$R$4:$W$4,0))))</f>
        <v>1241.0060261530753</v>
      </c>
      <c r="AA249" s="168">
        <f ca="1">IF($C249-AA$1&lt;År1,0,Z248*(1-VLOOKUP($A249,[1]Hugst!$R$5:$W$9,MATCH(ROUNDUP((AA$1)/10,0)*10,[1]Hugst!$R$4:$W$4,0))))</f>
        <v>1238.08301023788</v>
      </c>
      <c r="AB249" s="168">
        <f ca="1">IF($C249-AB$1&lt;År1,0,AA248*(1-VLOOKUP($A249,[1]Hugst!$R$5:$W$9,MATCH(ROUNDUP((AB$1)/10,0)*10,[1]Hugst!$R$4:$W$4,0))))</f>
        <v>1237.9134252996255</v>
      </c>
      <c r="AC249" s="168">
        <f ca="1">IF($C249-AC$1&lt;År1,0,AB248*(1-VLOOKUP($A249,[1]Hugst!$R$5:$W$9,MATCH(ROUNDUP((AC$1)/10,0)*10,[1]Hugst!$R$4:$W$4,0))))</f>
        <v>1237.7491395174127</v>
      </c>
      <c r="AD249" s="168">
        <f ca="1">IF($C249-AD$1&lt;År1,0,AC248*(1-VLOOKUP($A249,[1]Hugst!$R$5:$W$9,MATCH(ROUNDUP((AD$1)/10,0)*10,[1]Hugst!$R$4:$W$4,0))))</f>
        <v>1237.5901657771715</v>
      </c>
      <c r="AE249" s="168">
        <f ca="1">IF($C249-AE$1&lt;År1,0,AD248*(1-VLOOKUP($A249,[1]Hugst!$R$5:$W$9,MATCH(ROUNDUP((AE$1)/10,0)*10,[1]Hugst!$R$4:$W$4,0))))</f>
        <v>1237.4365170225808</v>
      </c>
      <c r="AF249" s="168">
        <f ca="1">IF($C249-AF$1&lt;År1,0,AE248*(1-VLOOKUP($A249,[1]Hugst!$R$5:$W$9,MATCH(ROUNDUP((AF$1)/10,0)*10,[1]Hugst!$R$4:$W$4,0))))</f>
        <v>1237.2882062553708</v>
      </c>
      <c r="AG249" s="168">
        <f ca="1">IF($C249-AG$1&lt;År1,0,AF248*(1-VLOOKUP($A249,[1]Hugst!$R$5:$W$9,MATCH(ROUNDUP((AG$1)/10,0)*10,[1]Hugst!$R$4:$W$4,0))))</f>
        <v>1237.1452465354782</v>
      </c>
      <c r="AH249" s="168">
        <f ca="1">IF($C249-AH$1&lt;År1,0,AG248*(1-VLOOKUP($A249,[1]Hugst!$R$5:$W$9,MATCH(ROUNDUP((AH$1)/10,0)*10,[1]Hugst!$R$4:$W$4,0))))</f>
        <v>1237.0076509812443</v>
      </c>
      <c r="AI249" s="168">
        <f ca="1">IF($C249-AI$1&lt;År1,0,AH248*(1-VLOOKUP($A249,[1]Hugst!$R$5:$W$9,MATCH(ROUNDUP((AI$1)/10,0)*10,[1]Hugst!$R$4:$W$4,0))))</f>
        <v>1236.8754327696606</v>
      </c>
      <c r="AJ249" s="168">
        <f ca="1">IF($C249-AJ$1&lt;År1,0,AI248*(1-VLOOKUP($A249,[1]Hugst!$R$5:$W$9,MATCH(ROUNDUP((AJ$1)/10,0)*10,[1]Hugst!$R$4:$W$4,0))))</f>
        <v>1237.4281373372141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(IF(B250="Vestdanmark",Skovbrug!$C$22-(Skovbrug!$C$22)*(1-Skovbrug!$C$9)^(C250-Skovbrug!$B$12),Skovbrug!$F$22-(Skovbrug!$F$22)*(1-Skovbrug!$C$9)^(C250-Skovbrug!$B$12)))*VLOOKUP(A250,Skovbrug!$A$13:$D$17,IF('Skovbrug-alder'!C250&lt;=År2,3,4),FALSE)
-IF(C250&gt;2020,SUM(INDEX($C$1:$D$311,MATCH(1,(2020=$C$1:$C$311)*(B250=$B$1:$B$311)*(A250=$A$1:$A$311),0),2):D249),0)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(IF(B251="Vestdanmark",Skovbrug!$C$22-(Skovbrug!$C$22)*(1-Skovbrug!$C$9)^(C251-Skovbrug!$B$12),Skovbrug!$F$22-(Skovbrug!$F$22)*(1-Skovbrug!$C$9)^(C251-Skovbrug!$B$12)))*VLOOKUP(A251,Skovbrug!$A$13:$D$17,IF('Skovbrug-alder'!C251&lt;=År2,3,4),FALSE)
-IF(C251&gt;2020,SUM(INDEX($C$1:$D$311,MATCH(1,(2020=$C$1:$C$311)*(B251=$B$1:$B$311)*(A251=$A$1:$A$311),0),2):D250),0)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(IF(B252="Vestdanmark",Skovbrug!$C$22-(Skovbrug!$C$22)*(1-Skovbrug!$C$9)^(C252-Skovbrug!$B$12),Skovbrug!$F$22-(Skovbrug!$F$22)*(1-Skovbrug!$C$9)^(C252-Skovbrug!$B$12)))*VLOOKUP(A252,Skovbrug!$A$13:$D$17,IF('Skovbrug-alder'!C252&lt;=År2,3,4),FALSE)
-IF(C252&gt;2020,SUM(INDEX($C$1:$D$311,MATCH(1,(2020=$C$1:$C$311)*(B252=$B$1:$B$311)*(A252=$A$1:$A$311),0),2):D251),0)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(IF(B253="Vestdanmark",Skovbrug!$C$22-(Skovbrug!$C$22)*(1-Skovbrug!$C$9)^(C253-Skovbrug!$B$12),Skovbrug!$F$22-(Skovbrug!$F$22)*(1-Skovbrug!$C$9)^(C253-Skovbrug!$B$12)))*VLOOKUP(A253,Skovbrug!$A$13:$D$17,IF('Skovbrug-alder'!C253&lt;=År2,3,4),FALSE)
-IF(C253&gt;2020,SUM(INDEX($C$1:$D$311,MATCH(1,(2020=$C$1:$C$311)*(B253=$B$1:$B$311)*(A253=$A$1:$A$311),0),2):D252),0)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(IF(B254="Vestdanmark",Skovbrug!$C$22-(Skovbrug!$C$22)*(1-Skovbrug!$C$9)^(C254-Skovbrug!$B$12),Skovbrug!$F$22-(Skovbrug!$F$22)*(1-Skovbrug!$C$9)^(C254-Skovbrug!$B$12)))*VLOOKUP(A254,Skovbrug!$A$13:$D$17,IF('Skovbrug-alder'!C254&lt;=År2,3,4),FALSE)
-IF(C254&gt;2020,SUM(INDEX($C$1:$D$311,MATCH(1,(2020=$C$1:$C$311)*(B254=$B$1:$B$311)*(A254=$A$1:$A$311),0),2):D253),0)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(IF(B255="Vestdanmark",Skovbrug!$C$22-(Skovbrug!$C$22)*(1-Skovbrug!$C$9)^(C255-Skovbrug!$B$12),Skovbrug!$F$22-(Skovbrug!$F$22)*(1-Skovbrug!$C$9)^(C255-Skovbrug!$B$12)))*VLOOKUP(A255,Skovbrug!$A$13:$D$17,IF('Skovbrug-alder'!C255&lt;=År2,3,4),FALSE)
-IF(C255&gt;2020,SUM(INDEX($C$1:$D$311,MATCH(1,(2020=$C$1:$C$311)*(B255=$B$1:$B$311)*(A255=$A$1:$A$311),0),2):D254),0)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(IF(B256="Vestdanmark",Skovbrug!$C$22-(Skovbrug!$C$22)*(1-Skovbrug!$C$9)^(C256-Skovbrug!$B$12),Skovbrug!$F$22-(Skovbrug!$F$22)*(1-Skovbrug!$C$9)^(C256-Skovbrug!$B$12)))*VLOOKUP(A256,Skovbrug!$A$13:$D$17,IF('Skovbrug-alder'!C256&lt;=År2,3,4),FALSE)
-IF(C256&gt;2020,SUM(INDEX($C$1:$D$311,MATCH(1,(2020=$C$1:$C$311)*(B256=$B$1:$B$311)*(A256=$A$1:$A$311),0),2):D255),0)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(IF(B257="Vestdanmark",Skovbrug!$C$22-(Skovbrug!$C$22)*(1-Skovbrug!$C$9)^(C257-Skovbrug!$B$12),Skovbrug!$F$22-(Skovbrug!$F$22)*(1-Skovbrug!$C$9)^(C257-Skovbrug!$B$12)))*VLOOKUP(A257,Skovbrug!$A$13:$D$17,IF('Skovbrug-alder'!C257&lt;=År2,3,4),FALSE)
-IF(C257&gt;2020,SUM(INDEX($C$1:$D$311,MATCH(1,(2020=$C$1:$C$311)*(B257=$B$1:$B$311)*(A257=$A$1:$A$311),0),2):D256),0)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(IF(B258="Vestdanmark",Skovbrug!$C$22-(Skovbrug!$C$22)*(1-Skovbrug!$C$9)^(C258-Skovbrug!$B$12),Skovbrug!$F$22-(Skovbrug!$F$22)*(1-Skovbrug!$C$9)^(C258-Skovbrug!$B$12)))*VLOOKUP(A258,Skovbrug!$A$13:$D$17,IF('Skovbrug-alder'!C258&lt;=År2,3,4),FALSE)
-IF(C258&gt;2020,SUM(INDEX($C$1:$D$311,MATCH(1,(2020=$C$1:$C$311)*(B258=$B$1:$B$311)*(A258=$A$1:$A$311),0),2):D257),0)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(IF(B259="Vestdanmark",Skovbrug!$C$22-(Skovbrug!$C$22)*(1-Skovbrug!$C$9)^(C259-Skovbrug!$B$12),Skovbrug!$F$22-(Skovbrug!$F$22)*(1-Skovbrug!$C$9)^(C259-Skovbrug!$B$12)))*VLOOKUP(A259,Skovbrug!$A$13:$D$17,IF('Skovbrug-alder'!C259&lt;=År2,3,4),FALSE)
-IF(C259&gt;2020,SUM(INDEX($C$1:$D$311,MATCH(1,(2020=$C$1:$C$311)*(B259=$B$1:$B$311)*(A259=$A$1:$A$311),0),2):D258),0)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(IF(B260="Vestdanmark",Skovbrug!$C$22-(Skovbrug!$C$22)*(1-Skovbrug!$C$9)^(C260-Skovbrug!$B$12),Skovbrug!$F$22-(Skovbrug!$F$22)*(1-Skovbrug!$C$9)^(C260-Skovbrug!$B$12)))*VLOOKUP(A260,Skovbrug!$A$13:$D$17,IF('Skovbrug-alder'!C260&lt;=År2,3,4),FALSE)
-IF(C260&gt;2020,SUM(INDEX($C$1:$D$311,MATCH(1,(2020=$C$1:$C$311)*(B260=$B$1:$B$311)*(A260=$A$1:$A$311),0),2):D259),0)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(IF(B261="Vestdanmark",Skovbrug!$C$22-(Skovbrug!$C$22)*(1-Skovbrug!$C$9)^(C261-Skovbrug!$B$12),Skovbrug!$F$22-(Skovbrug!$F$22)*(1-Skovbrug!$C$9)^(C261-Skovbrug!$B$12)))*VLOOKUP(A261,Skovbrug!$A$13:$D$17,IF('Skovbrug-alder'!C261&lt;=År2,3,4),FALSE)
-IF(C261&gt;2020,SUM(INDEX($C$1:$D$311,MATCH(1,(2020=$C$1:$C$311)*(B261=$B$1:$B$311)*(A261=$A$1:$A$311),0),2):D260),0)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(IF(B262="Vestdanmark",Skovbrug!$C$22-(Skovbrug!$C$22)*(1-Skovbrug!$C$9)^(C262-Skovbrug!$B$12),Skovbrug!$F$22-(Skovbrug!$F$22)*(1-Skovbrug!$C$9)^(C262-Skovbrug!$B$12)))*VLOOKUP(A262,Skovbrug!$A$13:$D$17,IF('Skovbrug-alder'!C262&lt;=År2,3,4),FALSE)
-IF(C262&gt;2020,SUM(INDEX($C$1:$D$311,MATCH(1,(2020=$C$1:$C$311)*(B262=$B$1:$B$311)*(A262=$A$1:$A$311),0),2):D261),0)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(IF(B263="Vestdanmark",Skovbrug!$C$22-(Skovbrug!$C$22)*(1-Skovbrug!$C$9)^(C263-Skovbrug!$B$12),Skovbrug!$F$22-(Skovbrug!$F$22)*(1-Skovbrug!$C$9)^(C263-Skovbrug!$B$12)))*VLOOKUP(A263,Skovbrug!$A$13:$D$17,IF('Skovbrug-alder'!C263&lt;=År2,3,4),FALSE)
-IF(C263&gt;2020,SUM(INDEX($C$1:$D$311,MATCH(1,(2020=$C$1:$C$311)*(B263=$B$1:$B$311)*(A263=$A$1:$A$311),0),2):D262),0)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(IF(B264="Vestdanmark",Skovbrug!$C$22-(Skovbrug!$C$22)*(1-Skovbrug!$C$9)^(C264-Skovbrug!$B$12),Skovbrug!$F$22-(Skovbrug!$F$22)*(1-Skovbrug!$C$9)^(C264-Skovbrug!$B$12)))*VLOOKUP(A264,Skovbrug!$A$13:$D$17,IF('Skovbrug-alder'!C264&lt;=År2,3,4),FALSE)
-IF(C264&gt;2020,SUM(INDEX($C$1:$D$311,MATCH(1,(2020=$C$1:$C$311)*(B264=$B$1:$B$311)*(A264=$A$1:$A$311),0),2):D263),0)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(IF(B265="Vestdanmark",Skovbrug!$C$22-(Skovbrug!$C$22)*(1-Skovbrug!$C$9)^(C265-Skovbrug!$B$12),Skovbrug!$F$22-(Skovbrug!$F$22)*(1-Skovbrug!$C$9)^(C265-Skovbrug!$B$12)))*VLOOKUP(A265,Skovbrug!$A$13:$D$17,IF('Skovbrug-alder'!C265&lt;=År2,3,4),FALSE)
-IF(C265&gt;2020,SUM(INDEX($C$1:$D$311,MATCH(1,(2020=$C$1:$C$311)*(B265=$B$1:$B$311)*(A265=$A$1:$A$311),0),2):D264),0)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(IF(B266="Vestdanmark",Skovbrug!$C$22-(Skovbrug!$C$22)*(1-Skovbrug!$C$9)^(C266-Skovbrug!$B$12),Skovbrug!$F$22-(Skovbrug!$F$22)*(1-Skovbrug!$C$9)^(C266-Skovbrug!$B$12)))*VLOOKUP(A266,Skovbrug!$A$13:$D$17,IF('Skovbrug-alder'!C266&lt;=År2,3,4),FALSE)
-IF(C266&gt;2020,SUM(INDEX($C$1:$D$311,MATCH(1,(2020=$C$1:$C$311)*(B266=$B$1:$B$311)*(A266=$A$1:$A$311),0),2):D265),0)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(IF(B267="Vestdanmark",Skovbrug!$C$22-(Skovbrug!$C$22)*(1-Skovbrug!$C$9)^(C267-Skovbrug!$B$12),Skovbrug!$F$22-(Skovbrug!$F$22)*(1-Skovbrug!$C$9)^(C267-Skovbrug!$B$12)))*VLOOKUP(A267,Skovbrug!$A$13:$D$17,IF('Skovbrug-alder'!C267&lt;=År2,3,4),FALSE)
-IF(C267&gt;2020,SUM(INDEX($C$1:$D$311,MATCH(1,(2020=$C$1:$C$311)*(B267=$B$1:$B$311)*(A267=$A$1:$A$311),0),2):D266),0)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(IF(B268="Vestdanmark",Skovbrug!$C$22-(Skovbrug!$C$22)*(1-Skovbrug!$C$9)^(C268-Skovbrug!$B$12),Skovbrug!$F$22-(Skovbrug!$F$22)*(1-Skovbrug!$C$9)^(C268-Skovbrug!$B$12)))*VLOOKUP(A268,Skovbrug!$A$13:$D$17,IF('Skovbrug-alder'!C268&lt;=År2,3,4),FALSE)
-IF(C268&gt;2020,SUM(INDEX($C$1:$D$311,MATCH(1,(2020=$C$1:$C$311)*(B268=$B$1:$B$311)*(A268=$A$1:$A$311),0),2):D267),0)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(IF(B269="Vestdanmark",Skovbrug!$C$22-(Skovbrug!$C$22)*(1-Skovbrug!$C$9)^(C269-Skovbrug!$B$12),Skovbrug!$F$22-(Skovbrug!$F$22)*(1-Skovbrug!$C$9)^(C269-Skovbrug!$B$12)))*VLOOKUP(A269,Skovbrug!$A$13:$D$17,IF('Skovbrug-alder'!C269&lt;=År2,3,4),FALSE)
-IF(C269&gt;2020,SUM(INDEX($C$1:$D$311,MATCH(1,(2020=$C$1:$C$311)*(B269=$B$1:$B$311)*(A269=$A$1:$A$311),0),2):D268),0)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(IF(B270="Vestdanmark",Skovbrug!$C$22-(Skovbrug!$C$22)*(1-Skovbrug!$C$9)^(C270-Skovbrug!$B$12),Skovbrug!$F$22-(Skovbrug!$F$22)*(1-Skovbrug!$C$9)^(C270-Skovbrug!$B$12)))*VLOOKUP(A270,Skovbrug!$A$13:$D$17,IF('Skovbrug-alder'!C270&lt;=År2,3,4),FALSE)
-IF(C270&gt;2020,SUM(INDEX($C$1:$D$311,MATCH(1,(2020=$C$1:$C$311)*(B270=$B$1:$B$311)*(A270=$A$1:$A$311),0),2):D269),0)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(IF(B271="Vestdanmark",Skovbrug!$C$22-(Skovbrug!$C$22)*(1-Skovbrug!$C$9)^(C271-Skovbrug!$B$12),Skovbrug!$F$22-(Skovbrug!$F$22)*(1-Skovbrug!$C$9)^(C271-Skovbrug!$B$12)))*VLOOKUP(A271,Skovbrug!$A$13:$D$17,IF('Skovbrug-alder'!C271&lt;=År2,3,4),FALSE)
-IF(C271&gt;2020,SUM(INDEX($C$1:$D$311,MATCH(1,(2020=$C$1:$C$311)*(B271=$B$1:$B$311)*(A271=$A$1:$A$311),0),2):D270),0)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(IF(B272="Vestdanmark",Skovbrug!$C$22-(Skovbrug!$C$22)*(1-Skovbrug!$C$9)^(C272-Skovbrug!$B$12),Skovbrug!$F$22-(Skovbrug!$F$22)*(1-Skovbrug!$C$9)^(C272-Skovbrug!$B$12)))*VLOOKUP(A272,Skovbrug!$A$13:$D$17,IF('Skovbrug-alder'!C272&lt;=År2,3,4),FALSE)
-IF(C272&gt;2020,SUM(INDEX($C$1:$D$311,MATCH(1,(2020=$C$1:$C$311)*(B272=$B$1:$B$311)*(A272=$A$1:$A$311),0),2):D271),0)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(IF(B273="Vestdanmark",Skovbrug!$C$22-(Skovbrug!$C$22)*(1-Skovbrug!$C$9)^(C273-Skovbrug!$B$12),Skovbrug!$F$22-(Skovbrug!$F$22)*(1-Skovbrug!$C$9)^(C273-Skovbrug!$B$12)))*VLOOKUP(A273,Skovbrug!$A$13:$D$17,IF('Skovbrug-alder'!C273&lt;=År2,3,4),FALSE)
-IF(C273&gt;2020,SUM(INDEX($C$1:$D$311,MATCH(1,(2020=$C$1:$C$311)*(B273=$B$1:$B$311)*(A273=$A$1:$A$311),0),2):D272),0)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(IF(B274="Vestdanmark",Skovbrug!$C$22-(Skovbrug!$C$22)*(1-Skovbrug!$C$9)^(C274-Skovbrug!$B$12),Skovbrug!$F$22-(Skovbrug!$F$22)*(1-Skovbrug!$C$9)^(C274-Skovbrug!$B$12)))*VLOOKUP(A274,Skovbrug!$A$13:$D$17,IF('Skovbrug-alder'!C274&lt;=År2,3,4),FALSE)
-IF(C274&gt;2020,SUM(INDEX($C$1:$D$311,MATCH(1,(2020=$C$1:$C$311)*(B274=$B$1:$B$311)*(A274=$A$1:$A$311),0),2):D273),0)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(IF(B275="Vestdanmark",Skovbrug!$C$22-(Skovbrug!$C$22)*(1-Skovbrug!$C$9)^(C275-Skovbrug!$B$12),Skovbrug!$F$22-(Skovbrug!$F$22)*(1-Skovbrug!$C$9)^(C275-Skovbrug!$B$12)))*VLOOKUP(A275,Skovbrug!$A$13:$D$17,IF('Skovbrug-alder'!C275&lt;=År2,3,4),FALSE)
-IF(C275&gt;2020,SUM(INDEX($C$1:$D$311,MATCH(1,(2020=$C$1:$C$311)*(B275=$B$1:$B$311)*(A275=$A$1:$A$311),0),2):D274),0)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(IF(B276="Vestdanmark",Skovbrug!$C$22-(Skovbrug!$C$22)*(1-Skovbrug!$C$9)^(C276-Skovbrug!$B$12),Skovbrug!$F$22-(Skovbrug!$F$22)*(1-Skovbrug!$C$9)^(C276-Skovbrug!$B$12)))*VLOOKUP(A276,Skovbrug!$A$13:$D$17,IF('Skovbrug-alder'!C276&lt;=År2,3,4),FALSE)
-IF(C276&gt;2020,SUM(INDEX($C$1:$D$311,MATCH(1,(2020=$C$1:$C$311)*(B276=$B$1:$B$311)*(A276=$A$1:$A$311),0),2):D275),0)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(IF(B277="Vestdanmark",Skovbrug!$C$22-(Skovbrug!$C$22)*(1-Skovbrug!$C$9)^(C277-Skovbrug!$B$12),Skovbrug!$F$22-(Skovbrug!$F$22)*(1-Skovbrug!$C$9)^(C277-Skovbrug!$B$12)))*VLOOKUP(A277,Skovbrug!$A$13:$D$17,IF('Skovbrug-alder'!C277&lt;=År2,3,4),FALSE)
-IF(C277&gt;2020,SUM(INDEX($C$1:$D$311,MATCH(1,(2020=$C$1:$C$311)*(B277=$B$1:$B$311)*(A277=$A$1:$A$311),0),2):D276),0)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(IF(B278="Vestdanmark",Skovbrug!$C$22-(Skovbrug!$C$22)*(1-Skovbrug!$C$9)^(C278-Skovbrug!$B$12),Skovbrug!$F$22-(Skovbrug!$F$22)*(1-Skovbrug!$C$9)^(C278-Skovbrug!$B$12)))*VLOOKUP(A278,Skovbrug!$A$13:$D$17,IF('Skovbrug-alder'!C278&lt;=År2,3,4),FALSE)
-IF(C278&gt;2020,SUM(INDEX($C$1:$D$311,MATCH(1,(2020=$C$1:$C$311)*(B278=$B$1:$B$311)*(A278=$A$1:$A$311),0),2):D277),0)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(IF(B279="Vestdanmark",Skovbrug!$C$22-(Skovbrug!$C$22)*(1-Skovbrug!$C$9)^(C279-Skovbrug!$B$12),Skovbrug!$F$22-(Skovbrug!$F$22)*(1-Skovbrug!$C$9)^(C279-Skovbrug!$B$12)))*VLOOKUP(A279,Skovbrug!$A$13:$D$17,IF('Skovbrug-alder'!C279&lt;=År2,3,4),FALSE)
-IF(C279&gt;2020,SUM(INDEX($C$1:$D$311,MATCH(1,(2020=$C$1:$C$311)*(B279=$B$1:$B$311)*(A279=$A$1:$A$311),0),2):D278),0)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(IF(B280="Vestdanmark",Skovbrug!$C$22-(Skovbrug!$C$22)*(1-Skovbrug!$C$9)^(C280-Skovbrug!$B$12),Skovbrug!$F$22-(Skovbrug!$F$22)*(1-Skovbrug!$C$9)^(C280-Skovbrug!$B$12)))*VLOOKUP(A280,Skovbrug!$A$13:$D$17,IF('Skovbrug-alder'!C280&lt;=År2,3,4),FALSE)
-IF(C280&gt;2020,SUM(INDEX($C$1:$D$311,MATCH(1,(2020=$C$1:$C$311)*(B280=$B$1:$B$311)*(A280=$A$1:$A$311),0),2):D279),0)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(IF(B281="Vestdanmark",Skovbrug!$C$22-(Skovbrug!$C$22)*(1-Skovbrug!$C$9)^(C281-Skovbrug!$B$12),Skovbrug!$F$22-(Skovbrug!$F$22)*(1-Skovbrug!$C$9)^(C281-Skovbrug!$B$12)))*VLOOKUP(A281,Skovbrug!$A$13:$D$17,IF('Skovbrug-alder'!C281&lt;=År2,3,4),FALSE)
-IF(C281&gt;2020,SUM(INDEX($C$1:$D$311,MATCH(1,(2020=$C$1:$C$311)*(B281=$B$1:$B$311)*(A281=$A$1:$A$311),0),2):D280),0)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(IF(B282="Vestdanmark",Skovbrug!$C$22-(Skovbrug!$C$22)*(1-Skovbrug!$C$9)^(C282-Skovbrug!$B$12),Skovbrug!$F$22-(Skovbrug!$F$22)*(1-Skovbrug!$C$9)^(C282-Skovbrug!$B$12)))*VLOOKUP(A282,Skovbrug!$A$13:$D$17,IF('Skovbrug-alder'!C282&lt;=År2,3,4),FALSE)
-IF(C282&gt;2020,SUM(INDEX($C$1:$D$311,MATCH(1,(2020=$C$1:$C$311)*(B282=$B$1:$B$311)*(A282=$A$1:$A$311),0),2):D281),0)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(IF(B283="Vestdanmark",Skovbrug!$C$22-(Skovbrug!$C$22)*(1-Skovbrug!$C$9)^(C283-Skovbrug!$B$12),Skovbrug!$F$22-(Skovbrug!$F$22)*(1-Skovbrug!$C$9)^(C283-Skovbrug!$B$12)))*VLOOKUP(A283,Skovbrug!$A$13:$D$17,IF('Skovbrug-alder'!C283&lt;=År2,3,4),FALSE)
-IF(C283&gt;2020,SUM(INDEX($C$1:$D$311,MATCH(1,(2020=$C$1:$C$311)*(B283=$B$1:$B$311)*(A283=$A$1:$A$311),0),2):D282),0)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(IF(B284="Vestdanmark",Skovbrug!$C$22-(Skovbrug!$C$22)*(1-Skovbrug!$C$9)^(C284-Skovbrug!$B$12),Skovbrug!$F$22-(Skovbrug!$F$22)*(1-Skovbrug!$C$9)^(C284-Skovbrug!$B$12)))*VLOOKUP(A284,Skovbrug!$A$13:$D$17,IF('Skovbrug-alder'!C284&lt;=År2,3,4),FALSE)
-IF(C284&gt;2020,SUM(INDEX($C$1:$D$311,MATCH(1,(2020=$C$1:$C$311)*(B284=$B$1:$B$311)*(A284=$A$1:$A$311),0),2):D283),0)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(IF(B285="Vestdanmark",Skovbrug!$C$22-(Skovbrug!$C$22)*(1-Skovbrug!$C$9)^(C285-Skovbrug!$B$12),Skovbrug!$F$22-(Skovbrug!$F$22)*(1-Skovbrug!$C$9)^(C285-Skovbrug!$B$12)))*VLOOKUP(A285,Skovbrug!$A$13:$D$17,IF('Skovbrug-alder'!C285&lt;=År2,3,4),FALSE)
-IF(C285&gt;2020,SUM(INDEX($C$1:$D$311,MATCH(1,(2020=$C$1:$C$311)*(B285=$B$1:$B$311)*(A285=$A$1:$A$311),0),2):D284),0)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(IF(B286="Vestdanmark",Skovbrug!$C$22-(Skovbrug!$C$22)*(1-Skovbrug!$C$9)^(C286-Skovbrug!$B$12),Skovbrug!$F$22-(Skovbrug!$F$22)*(1-Skovbrug!$C$9)^(C286-Skovbrug!$B$12)))*VLOOKUP(A286,Skovbrug!$A$13:$D$17,IF('Skovbrug-alder'!C286&lt;=År2,3,4),FALSE)
-IF(C286&gt;2020,SUM(INDEX($C$1:$D$311,MATCH(1,(2020=$C$1:$C$311)*(B286=$B$1:$B$311)*(A286=$A$1:$A$311),0),2):D285),0)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(IF(B287="Vestdanmark",Skovbrug!$C$22-(Skovbrug!$C$22)*(1-Skovbrug!$C$9)^(C287-Skovbrug!$B$12),Skovbrug!$F$22-(Skovbrug!$F$22)*(1-Skovbrug!$C$9)^(C287-Skovbrug!$B$12)))*VLOOKUP(A287,Skovbrug!$A$13:$D$17,IF('Skovbrug-alder'!C287&lt;=År2,3,4),FALSE)
-IF(C287&gt;2020,SUM(INDEX($C$1:$D$311,MATCH(1,(2020=$C$1:$C$311)*(B287=$B$1:$B$311)*(A287=$A$1:$A$311),0),2):D286),0)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(IF(B288="Vestdanmark",Skovbrug!$C$22-(Skovbrug!$C$22)*(1-Skovbrug!$C$9)^(C288-Skovbrug!$B$12),Skovbrug!$F$22-(Skovbrug!$F$22)*(1-Skovbrug!$C$9)^(C288-Skovbrug!$B$12)))*VLOOKUP(A288,Skovbrug!$A$13:$D$17,IF('Skovbrug-alder'!C288&lt;=År2,3,4),FALSE)
-IF(C288&gt;2020,SUM(INDEX($C$1:$D$311,MATCH(1,(2020=$C$1:$C$311)*(B288=$B$1:$B$311)*(A288=$A$1:$A$311),0),2):D287),0)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(IF(B289="Vestdanmark",Skovbrug!$C$22-(Skovbrug!$C$22)*(1-Skovbrug!$C$9)^(C289-Skovbrug!$B$12),Skovbrug!$F$22-(Skovbrug!$F$22)*(1-Skovbrug!$C$9)^(C289-Skovbrug!$B$12)))*VLOOKUP(A289,Skovbrug!$A$13:$D$17,IF('Skovbrug-alder'!C289&lt;=År2,3,4),FALSE)
-IF(C289&gt;2020,SUM(INDEX($C$1:$D$311,MATCH(1,(2020=$C$1:$C$311)*(B289=$B$1:$B$311)*(A289=$A$1:$A$311),0),2):D288),0)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(IF(B290="Vestdanmark",Skovbrug!$C$22-(Skovbrug!$C$22)*(1-Skovbrug!$C$9)^(C290-Skovbrug!$B$12),Skovbrug!$F$22-(Skovbrug!$F$22)*(1-Skovbrug!$C$9)^(C290-Skovbrug!$B$12)))*VLOOKUP(A290,Skovbrug!$A$13:$D$17,IF('Skovbrug-alder'!C290&lt;=År2,3,4),FALSE)
-IF(C290&gt;2020,SUM(INDEX($C$1:$D$311,MATCH(1,(2020=$C$1:$C$311)*(B290=$B$1:$B$311)*(A290=$A$1:$A$311),0),2):D289),0)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(IF(B291="Vestdanmark",Skovbrug!$C$22-(Skovbrug!$C$22)*(1-Skovbrug!$C$9)^(C291-Skovbrug!$B$12),Skovbrug!$F$22-(Skovbrug!$F$22)*(1-Skovbrug!$C$9)^(C291-Skovbrug!$B$12)))*VLOOKUP(A291,Skovbrug!$A$13:$D$17,IF('Skovbrug-alder'!C291&lt;=År2,3,4),FALSE)
-IF(C291&gt;2020,SUM(INDEX($C$1:$D$311,MATCH(1,(2020=$C$1:$C$311)*(B291=$B$1:$B$311)*(A291=$A$1:$A$311),0),2):D290),0)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(IF(B292="Vestdanmark",Skovbrug!$C$22-(Skovbrug!$C$22)*(1-Skovbrug!$C$9)^(C292-Skovbrug!$B$12),Skovbrug!$F$22-(Skovbrug!$F$22)*(1-Skovbrug!$C$9)^(C292-Skovbrug!$B$12)))*VLOOKUP(A292,Skovbrug!$A$13:$D$17,IF('Skovbrug-alder'!C292&lt;=År2,3,4),FALSE)
-IF(C292&gt;2020,SUM(INDEX($C$1:$D$311,MATCH(1,(2020=$C$1:$C$311)*(B292=$B$1:$B$311)*(A292=$A$1:$A$311),0),2):D291),0)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(IF(B293="Vestdanmark",Skovbrug!$C$22-(Skovbrug!$C$22)*(1-Skovbrug!$C$9)^(C293-Skovbrug!$B$12),Skovbrug!$F$22-(Skovbrug!$F$22)*(1-Skovbrug!$C$9)^(C293-Skovbrug!$B$12)))*VLOOKUP(A293,Skovbrug!$A$13:$D$17,IF('Skovbrug-alder'!C293&lt;=År2,3,4),FALSE)
-IF(C293&gt;2020,SUM(INDEX($C$1:$D$311,MATCH(1,(2020=$C$1:$C$311)*(B293=$B$1:$B$311)*(A293=$A$1:$A$311),0),2):D292),0)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(IF(B294="Vestdanmark",Skovbrug!$C$22-(Skovbrug!$C$22)*(1-Skovbrug!$C$9)^(C294-Skovbrug!$B$12),Skovbrug!$F$22-(Skovbrug!$F$22)*(1-Skovbrug!$C$9)^(C294-Skovbrug!$B$12)))*VLOOKUP(A294,Skovbrug!$A$13:$D$17,IF('Skovbrug-alder'!C294&lt;=År2,3,4),FALSE)
-IF(C294&gt;2020,SUM(INDEX($C$1:$D$311,MATCH(1,(2020=$C$1:$C$311)*(B294=$B$1:$B$311)*(A294=$A$1:$A$311),0),2):D293),0)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(IF(B295="Vestdanmark",Skovbrug!$C$22-(Skovbrug!$C$22)*(1-Skovbrug!$C$9)^(C295-Skovbrug!$B$12),Skovbrug!$F$22-(Skovbrug!$F$22)*(1-Skovbrug!$C$9)^(C295-Skovbrug!$B$12)))*VLOOKUP(A295,Skovbrug!$A$13:$D$17,IF('Skovbrug-alder'!C295&lt;=År2,3,4),FALSE)
-IF(C295&gt;2020,SUM(INDEX($C$1:$D$311,MATCH(1,(2020=$C$1:$C$311)*(B295=$B$1:$B$311)*(A295=$A$1:$A$311),0),2):D294),0)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(IF(B296="Vestdanmark",Skovbrug!$C$22-(Skovbrug!$C$22)*(1-Skovbrug!$C$9)^(C296-Skovbrug!$B$12),Skovbrug!$F$22-(Skovbrug!$F$22)*(1-Skovbrug!$C$9)^(C296-Skovbrug!$B$12)))*VLOOKUP(A296,Skovbrug!$A$13:$D$17,IF('Skovbrug-alder'!C296&lt;=År2,3,4),FALSE)
-IF(C296&gt;2020,SUM(INDEX($C$1:$D$311,MATCH(1,(2020=$C$1:$C$311)*(B296=$B$1:$B$311)*(A296=$A$1:$A$311),0),2):D295),0)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(IF(B297="Vestdanmark",Skovbrug!$C$22-(Skovbrug!$C$22)*(1-Skovbrug!$C$9)^(C297-Skovbrug!$B$12),Skovbrug!$F$22-(Skovbrug!$F$22)*(1-Skovbrug!$C$9)^(C297-Skovbrug!$B$12)))*VLOOKUP(A297,Skovbrug!$A$13:$D$17,IF('Skovbrug-alder'!C297&lt;=År2,3,4),FALSE)
-IF(C297&gt;2020,SUM(INDEX($C$1:$D$311,MATCH(1,(2020=$C$1:$C$311)*(B297=$B$1:$B$311)*(A297=$A$1:$A$311),0),2):D296),0)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(IF(B298="Vestdanmark",Skovbrug!$C$22-(Skovbrug!$C$22)*(1-Skovbrug!$C$9)^(C298-Skovbrug!$B$12),Skovbrug!$F$22-(Skovbrug!$F$22)*(1-Skovbrug!$C$9)^(C298-Skovbrug!$B$12)))*VLOOKUP(A298,Skovbrug!$A$13:$D$17,IF('Skovbrug-alder'!C298&lt;=År2,3,4),FALSE)
-IF(C298&gt;2020,SUM(INDEX($C$1:$D$311,MATCH(1,(2020=$C$1:$C$311)*(B298=$B$1:$B$311)*(A298=$A$1:$A$311),0),2):D297),0)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(IF(B299="Vestdanmark",Skovbrug!$C$22-(Skovbrug!$C$22)*(1-Skovbrug!$C$9)^(C299-Skovbrug!$B$12),Skovbrug!$F$22-(Skovbrug!$F$22)*(1-Skovbrug!$C$9)^(C299-Skovbrug!$B$12)))*VLOOKUP(A299,Skovbrug!$A$13:$D$17,IF('Skovbrug-alder'!C299&lt;=År2,3,4),FALSE)
-IF(C299&gt;2020,SUM(INDEX($C$1:$D$311,MATCH(1,(2020=$C$1:$C$311)*(B299=$B$1:$B$311)*(A299=$A$1:$A$311),0),2):D298),0)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(IF(B300="Vestdanmark",Skovbrug!$C$22-(Skovbrug!$C$22)*(1-Skovbrug!$C$9)^(C300-Skovbrug!$B$12),Skovbrug!$F$22-(Skovbrug!$F$22)*(1-Skovbrug!$C$9)^(C300-Skovbrug!$B$12)))*VLOOKUP(A300,Skovbrug!$A$13:$D$17,IF('Skovbrug-alder'!C300&lt;=År2,3,4),FALSE)
-IF(C300&gt;2020,SUM(INDEX($C$1:$D$311,MATCH(1,(2020=$C$1:$C$311)*(B300=$B$1:$B$311)*(A300=$A$1:$A$311),0),2):D299),0)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(IF(B301="Vestdanmark",Skovbrug!$C$22-(Skovbrug!$C$22)*(1-Skovbrug!$C$9)^(C301-Skovbrug!$B$12),Skovbrug!$F$22-(Skovbrug!$F$22)*(1-Skovbrug!$C$9)^(C301-Skovbrug!$B$12)))*VLOOKUP(A301,Skovbrug!$A$13:$D$17,IF('Skovbrug-alder'!C301&lt;=År2,3,4),FALSE)
-IF(C301&gt;2020,SUM(INDEX($C$1:$D$311,MATCH(1,(2020=$C$1:$C$311)*(B301=$B$1:$B$311)*(A301=$A$1:$A$311),0),2):D300),0)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(IF(B302="Vestdanmark",Skovbrug!$C$22-(Skovbrug!$C$22)*(1-Skovbrug!$C$9)^(C302-Skovbrug!$B$12),Skovbrug!$F$22-(Skovbrug!$F$22)*(1-Skovbrug!$C$9)^(C302-Skovbrug!$B$12)))*VLOOKUP(A302,Skovbrug!$A$13:$D$17,IF('Skovbrug-alder'!C302&lt;=År2,3,4),FALSE)
-IF(C302&gt;2020,SUM(INDEX($C$1:$D$311,MATCH(1,(2020=$C$1:$C$311)*(B302=$B$1:$B$311)*(A302=$A$1:$A$311),0),2):D301),0)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(IF(B303="Vestdanmark",Skovbrug!$C$22-(Skovbrug!$C$22)*(1-Skovbrug!$C$9)^(C303-Skovbrug!$B$12),Skovbrug!$F$22-(Skovbrug!$F$22)*(1-Skovbrug!$C$9)^(C303-Skovbrug!$B$12)))*VLOOKUP(A303,Skovbrug!$A$13:$D$17,IF('Skovbrug-alder'!C303&lt;=År2,3,4),FALSE)
-IF(C303&gt;2020,SUM(INDEX($C$1:$D$311,MATCH(1,(2020=$C$1:$C$311)*(B303=$B$1:$B$311)*(A303=$A$1:$A$311),0),2):D302),0)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(IF(B304="Vestdanmark",Skovbrug!$C$22-(Skovbrug!$C$22)*(1-Skovbrug!$C$9)^(C304-Skovbrug!$B$12),Skovbrug!$F$22-(Skovbrug!$F$22)*(1-Skovbrug!$C$9)^(C304-Skovbrug!$B$12)))*VLOOKUP(A304,Skovbrug!$A$13:$D$17,IF('Skovbrug-alder'!C304&lt;=År2,3,4),FALSE)
-IF(C304&gt;2020,SUM(INDEX($C$1:$D$311,MATCH(1,(2020=$C$1:$C$311)*(B304=$B$1:$B$311)*(A304=$A$1:$A$311),0),2):D303),0)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(IF(B305="Vestdanmark",Skovbrug!$C$22-(Skovbrug!$C$22)*(1-Skovbrug!$C$9)^(C305-Skovbrug!$B$12),Skovbrug!$F$22-(Skovbrug!$F$22)*(1-Skovbrug!$C$9)^(C305-Skovbrug!$B$12)))*VLOOKUP(A305,Skovbrug!$A$13:$D$17,IF('Skovbrug-alder'!C305&lt;=År2,3,4),FALSE)
-IF(C305&gt;2020,SUM(INDEX($C$1:$D$311,MATCH(1,(2020=$C$1:$C$311)*(B305=$B$1:$B$311)*(A305=$A$1:$A$311),0),2):D304),0)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(IF(B306="Vestdanmark",Skovbrug!$C$22-(Skovbrug!$C$22)*(1-Skovbrug!$C$9)^(C306-Skovbrug!$B$12),Skovbrug!$F$22-(Skovbrug!$F$22)*(1-Skovbrug!$C$9)^(C306-Skovbrug!$B$12)))*VLOOKUP(A306,Skovbrug!$A$13:$D$17,IF('Skovbrug-alder'!C306&lt;=År2,3,4),FALSE)
-IF(C306&gt;2020,SUM(INDEX($C$1:$D$311,MATCH(1,(2020=$C$1:$C$311)*(B306=$B$1:$B$311)*(A306=$A$1:$A$311),0),2):D305),0)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(IF(B307="Vestdanmark",Skovbrug!$C$22-(Skovbrug!$C$22)*(1-Skovbrug!$C$9)^(C307-Skovbrug!$B$12),Skovbrug!$F$22-(Skovbrug!$F$22)*(1-Skovbrug!$C$9)^(C307-Skovbrug!$B$12)))*VLOOKUP(A307,Skovbrug!$A$13:$D$17,IF('Skovbrug-alder'!C307&lt;=År2,3,4),FALSE)
-IF(C307&gt;2020,SUM(INDEX($C$1:$D$311,MATCH(1,(2020=$C$1:$C$311)*(B307=$B$1:$B$311)*(A307=$A$1:$A$311),0),2):D306),0)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(IF(B308="Vestdanmark",Skovbrug!$C$22-(Skovbrug!$C$22)*(1-Skovbrug!$C$9)^(C308-Skovbrug!$B$12),Skovbrug!$F$22-(Skovbrug!$F$22)*(1-Skovbrug!$C$9)^(C308-Skovbrug!$B$12)))*VLOOKUP(A308,Skovbrug!$A$13:$D$17,IF('Skovbrug-alder'!C308&lt;=År2,3,4),FALSE)
-IF(C308&gt;2020,SUM(INDEX($C$1:$D$311,MATCH(1,(2020=$C$1:$C$311)*(B308=$B$1:$B$311)*(A308=$A$1:$A$311),0),2):D307),0)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(IF(B309="Vestdanmark",Skovbrug!$C$22-(Skovbrug!$C$22)*(1-Skovbrug!$C$9)^(C309-Skovbrug!$B$12),Skovbrug!$F$22-(Skovbrug!$F$22)*(1-Skovbrug!$C$9)^(C309-Skovbrug!$B$12)))*VLOOKUP(A309,Skovbrug!$A$13:$D$17,IF('Skovbrug-alder'!C309&lt;=År2,3,4),FALSE)
-IF(C309&gt;2020,SUM(INDEX($C$1:$D$311,MATCH(1,(2020=$C$1:$C$311)*(B309=$B$1:$B$311)*(A309=$A$1:$A$311),0),2):D308),0)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(IF(B310="Vestdanmark",Skovbrug!$C$22-(Skovbrug!$C$22)*(1-Skovbrug!$C$9)^(C310-Skovbrug!$B$12),Skovbrug!$F$22-(Skovbrug!$F$22)*(1-Skovbrug!$C$9)^(C310-Skovbrug!$B$12)))*VLOOKUP(A310,Skovbrug!$A$13:$D$17,IF('Skovbrug-alder'!C310&lt;=År2,3,4),FALSE)
-IF(C310&gt;2020,SUM(INDEX($C$1:$D$311,MATCH(1,(2020=$C$1:$C$311)*(B310=$B$1:$B$311)*(A310=$A$1:$A$311),0),2):D309),0)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(IF(B311="Vestdanmark",Skovbrug!$C$22-(Skovbrug!$C$22)*(1-Skovbrug!$C$9)^(C311-Skovbrug!$B$12),Skovbrug!$F$22-(Skovbrug!$F$22)*(1-Skovbrug!$C$9)^(C311-Skovbrug!$B$12)))*VLOOKUP(A311,Skovbrug!$A$13:$D$17,IF('Skovbrug-alder'!C311&lt;=År2,3,4),FALSE)
-IF(C311&gt;2020,SUM(INDEX($C$1:$D$311,MATCH(1,(2020=$C$1:$C$311)*(B311=$B$1:$B$311)*(A311=$A$1:$A$311),0),2):D310),0)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35" sqref="E35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30" t="s">
        <v>321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322</v>
      </c>
      <c r="G3" s="12" t="s">
        <v>318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6" sqref="D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305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818750.9421422208</v>
      </c>
      <c r="J5" s="10">
        <f>SUMIFS('Resultat-Produktion &amp; forbrug'!$N$3:$N$1000,'Resultat-Produktion &amp; forbrug'!$A$3:$A$1000,Adfærd!$G5,'Resultat-Produktion &amp; forbrug'!$D$3:$D$1000,Adfærd!J$4)</f>
        <v>606927.20989221707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144478.95980254692</v>
      </c>
      <c r="J6" s="10">
        <f>SUMIFS('Resultat-Produktion &amp; forbrug'!$N$3:$N$1000,'Resultat-Produktion &amp; forbrug'!$A$3:$A$1000,Adfærd!$G6,'Resultat-Produktion &amp; forbrug'!$D$3:$D$1000,Adfærd!J$4)</f>
        <v>92858.458097270282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27304.146222176485</v>
      </c>
      <c r="J7" s="10">
        <f>SUMIFS('Resultat-Produktion &amp; forbrug'!$N$3:$N$1000,'Resultat-Produktion &amp; forbrug'!$A$3:$A$1000,Adfærd!$G7,'Resultat-Produktion &amp; forbrug'!$D$3:$D$1000,Adfærd!J$4)</f>
        <v>43215.162026117658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317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0" sqref="D20:E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328</v>
      </c>
      <c r="G2" s="437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</v>
      </c>
      <c r="D3" s="178">
        <v>0.75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0.78405847482778246</v>
      </c>
      <c r="AC3" s="230">
        <f>SUM(E12:E14)/SUM(E12:E15)</f>
        <v>0.73583164787308653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0.5</v>
      </c>
      <c r="D4" s="178">
        <v>0.75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0.75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0.35655040345794903</v>
      </c>
      <c r="AC5" s="344">
        <f t="shared" si="0"/>
        <v>0.33880131343435571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0.5</v>
      </c>
      <c r="D6" s="178">
        <v>0.75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0.28728510514070194</v>
      </c>
      <c r="AC6" s="344">
        <f t="shared" si="0"/>
        <v>0.27968914864972699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0.75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0.5</v>
      </c>
      <c r="D8" s="178">
        <v>0.75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329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7335131.5309176641</v>
      </c>
      <c r="E12" s="130">
        <f>SUMIFS('Resultater - Danmark'!J$3:J$504,'Resultater - Danmark'!$F$3:$F$504,$A12)*D3</f>
        <v>8674831.8348388337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7335131.5309176641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2891610.6116129439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0.35655040345794903</v>
      </c>
      <c r="L12" s="131">
        <f t="shared" ref="L12:L28" si="3">E12/E$29</f>
        <v>0.33880131343435571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5910171.5007008472</v>
      </c>
      <c r="E13" s="133">
        <f>SUMIFS('Resultater - Danmark'!J$3:J$504,'Resultater - Danmark'!$F$3:$F$504,$A13)*D4</f>
        <v>7161295.5273732152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5910171.5007008472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2387098.5091244057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0.28728510514070194</v>
      </c>
      <c r="L13" s="134">
        <f t="shared" si="3"/>
        <v>0.27968914864972699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7003.9725898882316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2334.657529962743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2.1978199265363608E-4</v>
      </c>
      <c r="L14" s="134">
        <f t="shared" si="3"/>
        <v>2.7354479693570278E-4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3649201.4329455192</v>
      </c>
      <c r="E15" s="133">
        <f>SUMIFS('Resultater - Danmark'!J$3:J$504,'Resultater - Danmark'!$F$3:$F$504,$A15)*D6</f>
        <v>5687787.2939310586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3649201.4329455192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1895929.0979770198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0.17738253741351423</v>
      </c>
      <c r="L15" s="134">
        <f t="shared" si="3"/>
        <v>0.22214030685643649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1291258.5000624952</v>
      </c>
      <c r="E16" s="133">
        <f>SUMIFS('Resultater - Danmark'!J$3:J$504,'Resultater - Danmark'!$F$3:$F$504,$A16)*D7</f>
        <v>1690122.2373101315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1291258.500062495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563374.07910337695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6.2766255414126212E-2</v>
      </c>
      <c r="L16" s="134">
        <f t="shared" si="3"/>
        <v>6.6008845447079814E-2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539468.95987451775</v>
      </c>
      <c r="E17" s="133">
        <f>SUMIFS('Resultater - Danmark'!J$3:J$504,'Resultater - Danmark'!$F$3:$F$504,$A17)*D8</f>
        <v>1090698.2586134989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539468.95987451775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363566.08620449947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2.6222825655620612E-2</v>
      </c>
      <c r="L17" s="134">
        <f t="shared" si="3"/>
        <v>4.2597944215443495E-2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300000</v>
      </c>
      <c r="E18" s="247">
        <v>300000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63994.971742743859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69776.815109599498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1.4582577093065813E-2</v>
      </c>
      <c r="L18" s="134">
        <f t="shared" si="3"/>
        <v>1.1716699062927143E-2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600000</v>
      </c>
      <c r="E19" s="247">
        <v>600000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72059.380599112366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16085.236323817982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2.9165154186131626E-2</v>
      </c>
      <c r="L19" s="134">
        <f t="shared" si="3"/>
        <v>2.3433398125854286E-2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800000</v>
      </c>
      <c r="E20" s="247">
        <v>250000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299059.69913152838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314009.35822033603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3.8886872248175504E-2</v>
      </c>
      <c r="L20" s="134">
        <f t="shared" si="3"/>
        <v>9.7639158857726199E-3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-98243.127760041156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-109313.8791522173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316503.84739456698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230753.74833062105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-38032.406092505902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25629.499689820223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476956.37947110087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-164626.65326344594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/>
      <c r="E25" s="247"/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0</v>
      </c>
      <c r="L25" s="134">
        <f t="shared" si="3"/>
        <v>0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6.9384873980613349E-3</v>
      </c>
      <c r="L26" s="134">
        <f t="shared" si="3"/>
        <v>5.5748835254678204E-3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144478.95980254689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92858.458097270253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27304.146222176481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43215.162026117658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20572495.388531394</v>
      </c>
      <c r="E29" s="142">
        <f>SUM(E12:E28)</f>
        <v>25604481.124656625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0.99999999999999978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0.12590020656800432</v>
      </c>
      <c r="E30" s="146">
        <f>SUMPRODUCT(E12:E28,$H$12:$H$28)/E29</f>
        <v>9.9605805360799479E-2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587087613.22792959</v>
      </c>
      <c r="E32" s="123">
        <f>SUMPRODUCT(E12:E28,$I$12:$I$28)</f>
        <v>593497354.10590827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21.076445314882676</v>
      </c>
      <c r="E33" s="123">
        <f>E32*[1]Energiindhold!$C$10</f>
        <v>21.306555012402111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6406804.0997494543</v>
      </c>
      <c r="E39" s="130">
        <f>SUMIFS('Resultater - Vestdanmark'!J$3:J$504,'Resultater - Vestdanmark'!$F$3:$F$504,$A39)*D3</f>
        <v>7576953.1779792681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928327.43116820953</v>
      </c>
      <c r="M39" s="130">
        <f>SUMIFS('Resultater - Østdanmark'!J$3:J$504,'Resultater - Østdanmark'!$F$3:$F$504,$A39)*D3</f>
        <v>1097878.6568595667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5517986.1023177085</v>
      </c>
      <c r="E40" s="133">
        <f>SUMIFS('Resultater - Vestdanmark'!J$3:J$504,'Resultater - Vestdanmark'!$F$3:$F$504,$A40)*D4</f>
        <v>6686088.4138386576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392185.39838313882</v>
      </c>
      <c r="M40" s="133">
        <f>SUMIFS('Resultater - Østdanmark'!J$3:J$504,'Resultater - Østdanmark'!$F$3:$F$504,$A40)*D4</f>
        <v>475207.11353455763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6461.6487918618159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542.32379802641481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1977823.4396235351</v>
      </c>
      <c r="E42" s="133">
        <f>SUMIFS('Resultater - Vestdanmark'!J$3:J$504,'Resultater - Vestdanmark'!$F$3:$F$504,$A42)*D6</f>
        <v>3064487.162285368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1671377.9933219841</v>
      </c>
      <c r="M42" s="133">
        <f>SUMIFS('Resultater - Østdanmark'!J$3:J$504,'Resultater - Østdanmark'!$F$3:$F$504,$A42)*D6</f>
        <v>2623300.1316456911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1138187.530199375</v>
      </c>
      <c r="E43" s="133">
        <f>SUMIFS('Resultater - Vestdanmark'!J$3:J$504,'Resultater - Vestdanmark'!$F$3:$F$504,$A43)*D7</f>
        <v>1489555.1093907373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153070.96986312003</v>
      </c>
      <c r="M43" s="133">
        <f>SUMIFS('Resultater - Østdanmark'!J$3:J$504,'Resultater - Østdanmark'!$F$3:$F$504,$A43)*D7</f>
        <v>200567.127919394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480579.40695576021</v>
      </c>
      <c r="E44" s="133">
        <f>SUMIFS('Resultater - Vestdanmark'!J$3:J$504,'Resultater - Vestdanmark'!$F$3:$F$504,$A44)*D8</f>
        <v>971882.6717253268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58889.552918757603</v>
      </c>
      <c r="M44" s="133">
        <f>SUMIFS('Resultater - Østdanmark'!J$3:J$504,'Resultater - Østdanmark'!$F$3:$F$504,$A44)*D8</f>
        <v>118815.58688817199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160784.27543959947</v>
      </c>
      <c r="E45" s="133">
        <f ca="1">SUMIFS('Resultater - Vestdanmark'!J$3:J$504,'Resultater - Vestdanmark'!$F$3:$F$504,$A45)/SUMIFS('Resultater - Danmark'!J$3:J$504,'Resultater - Danmark'!$F$3:$F$504,$A45)*E18</f>
        <v>160218.91589496989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139215.72456040053</v>
      </c>
      <c r="M45" s="133">
        <f ca="1">SUMIFS('Resultater - Østdanmark'!J$3:J$504,'Resultater - Østdanmark'!$F$3:$F$504,$A45)/SUMIFS('Resultater - Danmark'!J$3:J$504,'Resultater - Danmark'!$F$3:$F$504,$A45)*E18</f>
        <v>139781.08410503011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423836.45238569059</v>
      </c>
      <c r="E46" s="133">
        <f>SUMIFS('Resultater - Vestdanmark'!J$3:J$504,'Resultater - Vestdanmark'!$F$3:$F$504,$A46)/SUMIFS('Resultater - Danmark'!J$3:J$504,'Resultater - Danmark'!$F$3:$F$504,$A46)*E19</f>
        <v>412791.92061072221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176163.54761430927</v>
      </c>
      <c r="M46" s="133">
        <f>SUMIFS('Resultater - Østdanmark'!J$3:J$504,'Resultater - Østdanmark'!$F$3:$F$504,$A46)/SUMIFS('Resultater - Danmark'!J$3:J$504,'Resultater - Danmark'!$F$3:$F$504,$A46)*E19</f>
        <v>187208.07938927782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576627.94121745997</v>
      </c>
      <c r="E47" s="133">
        <f>SUMIFS('Resultater - Vestdanmark'!J$3:J$504,'Resultater - Vestdanmark'!$F$3:$F$504,$A47)/SUMIFS('Resultater - Danmark'!J$3:J$504,'Resultater - Danmark'!$F$3:$F$504,$A47)*E20</f>
        <v>174056.00966953213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223372.05878254003</v>
      </c>
      <c r="M47" s="133">
        <f>SUMIFS('Resultater - Østdanmark'!J$3:J$504,'Resultater - Østdanmark'!$F$3:$F$504,$A47)/SUMIFS('Resultater - Danmark'!J$3:J$504,'Resultater - Danmark'!$F$3:$F$504,$A47)*E20</f>
        <v>75943.990330467859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0</v>
      </c>
      <c r="E52" s="133">
        <f>SUMIFS('Resultater - Vestdanmark'!J$3:J$504,'Resultater - Vestdanmark'!$F$3:$F$504,$A52)/SUMIFS('Resultater - Danmark'!J$3:J$504,'Resultater - Danmark'!$F$3:$F$504,$A52)*E25</f>
        <v>0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0</v>
      </c>
      <c r="M52" s="133">
        <f>SUMIFS('Resultater - Østdanmark'!J$3:J$504,'Resultater - Østdanmark'!$F$3:$F$504,$A52)/SUMIFS('Resultater - Danmark'!J$3:J$504,'Resultater - Danmark'!$F$3:$F$504,$A52)*E25</f>
        <v>0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16800994.210956354</v>
      </c>
      <c r="E56" s="142">
        <f ca="1">SUM(E39:E55)</f>
        <v>20656688.630186442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3771501.1775750364</v>
      </c>
      <c r="M56" s="142">
        <f ca="1">SUM(M39:M55)</f>
        <v>4947792.4944701828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0.12121816632364488</v>
      </c>
      <c r="E57" s="146">
        <f ca="1">SUMPRODUCT(E39:E55,$F$39:$F$55)/E56</f>
        <v>9.8207898070019603E-2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0.14675740038479818</v>
      </c>
      <c r="M57" s="146">
        <f ca="1">SUMPRODUCT(M39:M55,$N$39:$N$55)/M56</f>
        <v>0.10544197081676401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457820219.41578251</v>
      </c>
      <c r="E59" s="123">
        <f ca="1">SUMPRODUCT(E39:E55,$I$12:$I$28)</f>
        <v>466482738.63204801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129267393.81214699</v>
      </c>
      <c r="M59" s="123">
        <f ca="1">SUMPRODUCT(M39:M55,$I$12:$I$28)</f>
        <v>127014615.47386032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16.435745877026594</v>
      </c>
      <c r="E60" s="123">
        <f ca="1">E59*[1]Energiindhold!$C$10</f>
        <v>16.746730316890524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4.6406994378560773</v>
      </c>
      <c r="M60" s="123">
        <f ca="1">M59*[1]Energiindhold!$C$10</f>
        <v>4.559824695511586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C3" sqref="C3:C4"/>
    </sheetView>
  </sheetViews>
  <sheetFormatPr defaultColWidth="9.140625" defaultRowHeight="15" x14ac:dyDescent="0.25"/>
  <cols>
    <col min="1" max="1" width="25" style="1" customWidth="1"/>
    <col min="2" max="3" width="11.5703125" style="1" bestFit="1" customWidth="1"/>
    <col min="4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312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6">
        <v>500000</v>
      </c>
      <c r="D4" s="416">
        <v>1000000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B185" sqref="B185:B20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hidden="1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575167.43014575983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472234.94620505511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171147.38165312857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140518.69130979691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91647.583160816706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75246.248718922972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126256.2651539473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149733.03172355407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42085.421717982426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44919.909517066219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30718.547372930658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25221.128328627925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18892.022925517973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46071.702068785875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78559.45387356721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64500.382896300216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2848.0486738842505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2338.3593051509692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39235.776034734517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32214.106039316102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56668.45145378921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46527.014085311035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10643.311931460419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8738.5751938754584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4092.8205610553005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3360.3656886258095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154313.21296593559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40312.739310187637</v>
      </c>
    </row>
    <row r="17" spans="1:9" hidden="1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hidden="1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hidden="1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89766.01510945386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100171.0491950117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26710.863032569199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29806.995126320551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14303.380030878912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15961.325485832145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19704.73502402646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31761.552183784199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6568.2450080088183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9528.46565513526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4794.2241564689475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5349.9363121331962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2948.4660057166784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9772.7852873182146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12260.724014949797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13681.899402245501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444.49314563511427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496.01561018353891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6123.5026181377571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6833.2952204609919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8844.2091864295289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9869.3666241568881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1661.0949257192565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1853.6371623372183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638.76390259244579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712.80484304183835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24083.565029365669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8551.187126403438</v>
      </c>
    </row>
    <row r="59" spans="1:9" hidden="1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hidden="1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hidden="1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187200.97725424002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170316.93079494475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55703.705426871427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50679.672090203072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29828.73548028665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27138.41963333889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41092.897446052695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54002.929276445902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13697.632482017563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16200.878782933769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9998.0315063841063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9096.2881985699169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6148.8272259613505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16616.285931214126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25568.913966432789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23262.800303699772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926.96051110484541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843.35600986246845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12770.152188849457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11618.385536712913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18444.002451504257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16780.499413998074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3464.1015648020552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3151.6670218968543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1332.0990873242467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1211.9542931642154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50224.652434064403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14539.250189812359</v>
      </c>
    </row>
    <row r="101" spans="1:9" hidden="1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hidden="1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hidden="1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29216.337490546135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36127.83380498828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8693.6418874308019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10750.23347367944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4655.3517801603448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5756.6344676779472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6413.3423759735424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11455.166816215797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2137.7807919911802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3436.550044864739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1560.3864200715082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1929.5156784845281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959.6435554968582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3524.6667126817838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3990.524145050204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4934.5333977544969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144.67013757127646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178.89369906173573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1993.0295323637881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2464.5060229391024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2878.5437352058666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3559.4998756965615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540.64012861072547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668.53542888721154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207.89985755927555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257.08121370150025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7838.5295706343286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3084.0833735965612</v>
      </c>
    </row>
    <row r="143" spans="1:9" hidden="1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hidden="1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8569063.6543603484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6756087.5466497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1241632.602763724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978937.59498189052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562012.89563964971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763622.5533502996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81434.047236275888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110646.70501810954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979947.23772680899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768026.38024560735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69648.779590242077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54586.714486081699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203647.16227319094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206698.41975439253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14474.020409757928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14690.885513918291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11315.267374341487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6602.0450915613073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1134.4707134716939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6647.4648207866212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11315.267374341487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1130.7293738847127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101852.98130598714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61702.075574020404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10194.66148433148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60328.186721078651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99355.87380236364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9873.4238477045237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11315.267374341487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6600.3664259988182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1134.4707134716939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6647.4648207866212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11315.267374341487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1132.4080394471998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101859.81908316878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61889.948479050814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10187.823707149828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60529.495597882167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98979.566150862811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9860.5497173715066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1415.0620694361962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888.49064287537931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142.36792289194113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902.41081297325024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1415.0620694361962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141.89841165687196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12737.513167595978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8287.515680003773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1279.3567633572588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8179.079522715766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12425.118481567768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1239.0437481879721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1415.0620694361962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888.27998240920442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142.36792289194113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902.41081297325024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1415.0620694361962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142.1090721230467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12738.371259499972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8313.2857655647495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1278.4986714532636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8201.9487090238072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12378.094820549499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1237.4281373372141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5">
      <filters>
        <filter val="Areal-basisskov"/>
        <filter val="Areal-skovtype1-10"/>
        <filter val="Areal-skovtype1-20"/>
        <filter val="Areal-skovtype1-30"/>
        <filter val="Areal-skovtype1-40"/>
        <filter val="Areal-skovtype2-10"/>
        <filter val="Areal-skovtype2-20"/>
        <filter val="Areal-skovtype2-30"/>
        <filter val="Areal-skovtype2-40"/>
        <filter val="Areal-skovtype3-10"/>
        <filter val="Areal-skovtype3-20"/>
        <filter val="Areal-skovtype3-30"/>
        <filter val="Areal-skovtype3-40"/>
        <filter val="Areal-skovtype4-10"/>
        <filter val="Areal-skovtype4-20"/>
        <filter val="Areal-skovtype4-30"/>
        <filter val="Areal-skovtype4-40"/>
        <filter val="Areal-skovtype5-10"/>
        <filter val="Areal-skovtype5-20"/>
        <filter val="Areal-skovtype5-30"/>
        <filter val="Areal-skovtype5-40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313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6406804.0997494543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5517986.1023177085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1977823.4396235351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160784.27543959947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423836.45238569059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1138187.530199375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480579.40695576021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576627.94121745997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7576953.1779792681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6686088.4138386576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6461.6487918618159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3064487.162285368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160218.91589496989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412791.92061072221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1489555.1093907373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971882.6717253268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174056.00966953213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928327.43116820953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392185.39838313882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1671377.9933219841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139215.72456040053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176163.54761430927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153070.96986312003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58889.552918757603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223372.05878254003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1097878.6568595667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475207.11353455763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542.32379802641481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2623300.1316456911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139781.08410503011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187208.07938927782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200567.127919394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118815.58688817199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75943.990330467859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5024222.9237584407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594794.43348335079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55111.238296058225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1558650.6941574311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4906538.3992409762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224187.19428812375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83111.484468738956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120246.40306115421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10194486.876003446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1173309.8106791691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694117.89226639119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328819.25491631991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36992.166178085987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2068314.9750861605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4168434.2736686366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493481.5870918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45724.00111692449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5234226.1839023503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4070795.253083135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186000.82014059028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68954.894249757344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166274.21308452127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8458034.0365568101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973456.97089571541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909295.30878800887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443317.28375843994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34101.329519879997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615661.50663535297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72885.308357843693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6753.2568750969058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190994.95568667154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601240.60358794441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27471.596682363863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10184.369309084559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14734.832191867023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1249218.6841023962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143775.80309521878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85056.271152794114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40293.068393760004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4532.970194298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253448.52986846305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509603.65797187964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60329.611891042863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5589.8969964537146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639899.9324082589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497666.99331928522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22739.161062984149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8429.9437241249998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20327.523873776598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1034020.1623202205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119008.04970833447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111164.09306538459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54196.874560919998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4168.9903508399993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102016.78344392357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143145.78898679407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125748.23741197774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2245425.4149825461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34297.95054478239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619954.02327913279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197042.91568760504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46113.66948140203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37172.011339871715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650272.33920049365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29697.021197961469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179118.88010894318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110715.94609210105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118307.16865247197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91869.864613650177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2583381.268758419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37265.218904879293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785631.25546720112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203293.41212823492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42668.832575510962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33133.916706684649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659877.42984650948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32511.596204720234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191018.35234338022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6406804.0997494552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5517986.1023177085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430885.27928976336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12109903.871574569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834325.2553194433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2525651.0593264229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2228696.1379462192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2153.8829306206053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187967.66856597396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13973217.723939186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955150.82029111753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928327.43116820953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392185.39838313882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57948.295733895437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2718441.3099898444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430788.56398807897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365959.55228652223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158402.37117818589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180.77459934213829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25309.661380304478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3346934.4005636992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472604.98553143517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1966958.8877732051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2651872.9008556642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241028.49151254582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324199.45764508267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447330.59058373148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369709.90203897492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144105.21712938134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133340.10179847176</v>
      </c>
      <c r="G397" s="168">
        <v>1</v>
      </c>
    </row>
    <row r="398" spans="1:7" x14ac:dyDescent="0.25">
      <c r="A398" t="s">
        <v>314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314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360392.46326091245</v>
      </c>
      <c r="G399" s="168">
        <v>1</v>
      </c>
    </row>
    <row r="400" spans="1:7" x14ac:dyDescent="0.25">
      <c r="A400" s="168" t="s">
        <v>314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696224.03867812862</v>
      </c>
      <c r="G400" s="168">
        <v>1</v>
      </c>
    </row>
    <row r="401" spans="1:7" x14ac:dyDescent="0.25">
      <c r="A401" s="168" t="s">
        <v>314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314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139607.53673908752</v>
      </c>
      <c r="G402" s="168">
        <v>1</v>
      </c>
    </row>
    <row r="403" spans="1:7" x14ac:dyDescent="0.25">
      <c r="A403" s="168" t="s">
        <v>314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303775.96132187144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310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311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310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201819.779426111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311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50454.944856527749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310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389885.46165975207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311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97471.365414938016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310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311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310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78180.220573889019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311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19545.055143472255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310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170114.53834024802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311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42528.634585062005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1531814.8379617231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1633831.6214056467</v>
      </c>
      <c r="F14">
        <f>E14-D14</f>
        <v>102016.78344392357</v>
      </c>
      <c r="G14">
        <f t="shared" si="3"/>
        <v>102016.78344392357</v>
      </c>
      <c r="H14">
        <f t="shared" si="1"/>
        <v>197042.91568760504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143145.78898679407</v>
      </c>
      <c r="F15">
        <f t="shared" si="2"/>
        <v>143145.78898679407</v>
      </c>
      <c r="G15">
        <f t="shared" si="3"/>
        <v>143145.78898679407</v>
      </c>
      <c r="H15">
        <f t="shared" si="1"/>
        <v>46113.66948140203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125748.23741197774</v>
      </c>
      <c r="F16">
        <f t="shared" si="2"/>
        <v>125748.23741197774</v>
      </c>
      <c r="G16">
        <f t="shared" si="3"/>
        <v>125748.23741197774</v>
      </c>
      <c r="H16">
        <f t="shared" si="1"/>
        <v>37172.011339871715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2245425.4149825461</v>
      </c>
      <c r="F17">
        <f t="shared" ca="1" si="2"/>
        <v>2245425.4149825461</v>
      </c>
      <c r="G17">
        <f t="shared" ca="1" si="3"/>
        <v>2245425.4149825461</v>
      </c>
      <c r="H17">
        <f t="shared" ca="1" si="1"/>
        <v>650272.33920049365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160784.27543959947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34297.95054478239</v>
      </c>
      <c r="G19">
        <f t="shared" ca="1" si="3"/>
        <v>34297.95054478239</v>
      </c>
      <c r="H19">
        <f t="shared" ca="1" si="1"/>
        <v>29697.021197961469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435864.90387947124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632907.81956707628</v>
      </c>
      <c r="F20">
        <f t="shared" si="2"/>
        <v>197042.91568760504</v>
      </c>
      <c r="G20">
        <f t="shared" si="3"/>
        <v>197042.91568760504</v>
      </c>
      <c r="H20">
        <f t="shared" si="1"/>
        <v>102016.78344392357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46113.66948140203</v>
      </c>
      <c r="F21">
        <f t="shared" si="2"/>
        <v>46113.66948140203</v>
      </c>
      <c r="G21">
        <f t="shared" si="3"/>
        <v>46113.66948140203</v>
      </c>
      <c r="H21">
        <f t="shared" si="1"/>
        <v>143145.78898679407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37172.011339871715</v>
      </c>
      <c r="F22">
        <f t="shared" si="2"/>
        <v>37172.011339871715</v>
      </c>
      <c r="G22">
        <f t="shared" si="3"/>
        <v>37172.011339871715</v>
      </c>
      <c r="H22">
        <f t="shared" si="1"/>
        <v>125748.23741197774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650272.33920049365</v>
      </c>
      <c r="F23">
        <f t="shared" ca="1" si="2"/>
        <v>650272.33920049365</v>
      </c>
      <c r="G23">
        <f t="shared" ca="1" si="3"/>
        <v>650272.33920049365</v>
      </c>
      <c r="H23">
        <f t="shared" ca="1" si="1"/>
        <v>2245425.4149825461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139215.72456040053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29697.021197961469</v>
      </c>
      <c r="G25">
        <f t="shared" ca="1" si="3"/>
        <v>29697.021197961469</v>
      </c>
      <c r="H25">
        <f t="shared" ca="1" si="1"/>
        <v>34297.95054478239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1363761.6354394606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1474477.5815315617</v>
      </c>
      <c r="F26">
        <f t="shared" si="2"/>
        <v>110715.94609210105</v>
      </c>
      <c r="G26">
        <f t="shared" si="3"/>
        <v>110715.94609210105</v>
      </c>
      <c r="H26">
        <f t="shared" si="1"/>
        <v>203293.41212823492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118307.16865247197</v>
      </c>
      <c r="F27">
        <f t="shared" si="2"/>
        <v>118307.16865247197</v>
      </c>
      <c r="G27">
        <f t="shared" si="3"/>
        <v>118307.16865247197</v>
      </c>
      <c r="H27">
        <f t="shared" si="1"/>
        <v>42668.832575510962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91869.864613650177</v>
      </c>
      <c r="F28">
        <f t="shared" si="2"/>
        <v>91869.864613650177</v>
      </c>
      <c r="G28">
        <f t="shared" si="3"/>
        <v>91869.864613650177</v>
      </c>
      <c r="H28">
        <f t="shared" si="1"/>
        <v>33133.916706684649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2583381.268758419</v>
      </c>
      <c r="F29">
        <f t="shared" ca="1" si="2"/>
        <v>2583381.268758419</v>
      </c>
      <c r="G29">
        <f t="shared" ca="1" si="3"/>
        <v>2583381.268758419</v>
      </c>
      <c r="H29">
        <f t="shared" ca="1" si="1"/>
        <v>659877.42984650948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160218.91589496989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37265.218904879293</v>
      </c>
      <c r="G31">
        <f t="shared" ca="1" si="3"/>
        <v>37265.218904879293</v>
      </c>
      <c r="H31">
        <f t="shared" ca="1" si="1"/>
        <v>32511.596204720234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440049.56354338216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643342.97567161708</v>
      </c>
      <c r="F32">
        <f t="shared" si="2"/>
        <v>203293.41212823492</v>
      </c>
      <c r="G32">
        <f t="shared" si="3"/>
        <v>203293.41212823492</v>
      </c>
      <c r="H32">
        <f t="shared" si="1"/>
        <v>110715.94609210105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42668.832575510962</v>
      </c>
      <c r="F33">
        <f t="shared" si="2"/>
        <v>42668.832575510962</v>
      </c>
      <c r="G33">
        <f t="shared" si="3"/>
        <v>42668.832575510962</v>
      </c>
      <c r="H33">
        <f t="shared" si="1"/>
        <v>118307.16865247197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33133.916706684649</v>
      </c>
      <c r="F34">
        <f t="shared" si="2"/>
        <v>33133.916706684649</v>
      </c>
      <c r="G34">
        <f t="shared" si="3"/>
        <v>33133.916706684649</v>
      </c>
      <c r="H34">
        <f t="shared" si="1"/>
        <v>91869.864613650177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659877.42984650948</v>
      </c>
      <c r="F35">
        <f t="shared" ca="1" si="2"/>
        <v>659877.42984650948</v>
      </c>
      <c r="G35">
        <f t="shared" ca="1" si="3"/>
        <v>659877.42984650948</v>
      </c>
      <c r="H35">
        <f t="shared" ca="1" si="1"/>
        <v>2583381.268758419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139781.08410503011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32511.596204720234</v>
      </c>
      <c r="G37">
        <f t="shared" ca="1" si="3"/>
        <v>32511.596204720234</v>
      </c>
      <c r="H37">
        <f t="shared" ca="1" si="1"/>
        <v>37265.218904879293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B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1674738.7828463221</v>
      </c>
      <c r="O3" s="168">
        <f>SUMIF($F$3:$F$494,"Roer",J3:J494)</f>
        <v>4196120.6064453982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-28288.168435853717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-16505.112728903267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-6239.5889240943161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-36561.056514326418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-158413.74324078081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2158.7564707240908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1127.7086041095997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-16395.575921328335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-11512.377007639943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-1273162.2663248393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-771275.9446752551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23299.614499671847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137878.38823542156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5824.9036249179617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34469.59705885539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-163114.58374930368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-965250.98753725842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-146803.12537437331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-868725.88878353254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240140.90653720076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83125.698416723346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-49677.93690118182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-1513048.0210474234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10969.308602913314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5484.6543014566578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-123417.79809630655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-69113.966933931661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-28288.168435853717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-16500.916064997044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-4821.5005322546995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-28251.725488343141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-155584.92639719544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1585.0913411215417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864.59527697538658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-15004.406522675397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-2930.9384550398113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-967668.28129010345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-587954.51055098278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5912.8632571887301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35130.430284704271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20695.021400160545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122956.5059964649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-81502.589657198623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-484235.96478305734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-40751.294828599326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-242117.98239152879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61834.544540215538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81781.171811252803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-445408.04767888266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-426162.020927326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5091.7140223508886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2777.2985576459396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-128187.14632582958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-35091.956347116247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11878166.179326531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9365075.7933567949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12813608.199498909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10102604.237305691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1642612.1175491749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1295080.9702181253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134261.82930835488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105855.75152298188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-7330576884.395647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-5779630213.5324192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-562987.48209147481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-443874.95181488525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959944.99703278264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756847.27077756601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265627.11977714807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360914.95589696837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287918.78835292615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391203.26601999567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8805.732167139271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11964.593221542735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-480785171.83285117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-653256185.71458077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-32456.244723189771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-44099.202455979801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69255.12962888676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94098.870915810883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340754.640530882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267063.92246781953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9888149.016131619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7749763.4605363281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193780.03343490194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151873.66412514038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3701433.7484811647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2900971.2504107677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42166.762374026206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33047.887300467497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-2565501868.3687859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-2010693063.483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-10730.422253108558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-8409.8888636894008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2774934.1679585488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2174834.0751292626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21240.856157365648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21559.109161894849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1147823.1885037974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1165021.0912485484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9476.689670209289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9618.6794722300092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438433.05658152164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445002.12500834232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8762.8610695796779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8894.1555354432221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-533148270.83121389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-541136462.91699958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-2688.1425420061205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-2728.4191407579815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482240.59370899387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489466.03305648518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4031923.6853217762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3310366.972897436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1399944.3823990007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1235346.1951110007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-92026788.823321581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-75557591.392808825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1307754.9462835013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1073717.9373162333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151324.67981594361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52542.198702292866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421604.04316457192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470473.36675421143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146387.24784738687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175568.89863850284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-9622916.8197334539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-10738336.473705254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204100.48294597998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227758.35033980708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15823.488195782777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5494.1524538987169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867617.64374705998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926052.40631046018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-8417084.3435964845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-8983981.9034132436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95689.38631342692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102134.14525690999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1763.1465872357217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77182.864377267353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111968.15458117382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-748779.93091300514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-1086245.0846854195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14934.181678974144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21664.818690859702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156.84870507258819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103466.42435870889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110248.27052273168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-88529053.891212761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-94331809.985839054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19170.286780120692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20426.829051381999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9204.3252652053725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13330.018163203013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-7875503.6958714705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-11405573.389196906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2991.8944685737497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4332.9637381719403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1304644.337367801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1071164.0057878112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-4607782.1059395988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-3783169.2492941888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69844.588139167725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57345.137422429303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57344.797466919234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116060.55694849975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129513.46615434444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-409906.16537809494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-457419.55468738818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10900.600461026179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12164.120059303184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5101.3666648317167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6264835.8769388646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7429753.034122753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-19569721.098861832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-23208619.917150881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287068.15894028079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340447.15085636667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907355.81398761575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762644.18247591052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1229286.4111003103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-2382302.464404799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-3839971.6590195098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44802.545036922449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72216.06230286567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110456.14706693172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660628.89318107639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542402.14845581609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208635.55547464429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184105.27079568926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389136.83767460287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319496.55695751338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7143.0305312809624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2255.8658242906481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58769.240844258755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65581.35067693048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18560.122536154773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22260.000923478787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60732.3388278282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67771.996930381618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635.44069292724862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200.68078055394841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1535047.3553211915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3743497.7024249295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-2550423.0949449264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-6219679.7792860931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42954.686116156408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104752.96949426668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2878.2746613644977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136557.10288088521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452622.90402046865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-226884.45913989836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-752015.82785913651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6703.9105499203652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22220.326862420203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256.04998288092258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24179.933241277289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19852.670500731729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-398726.81434379506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-327370.30272113567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5598.3932365787068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4596.4997152924752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661.35760361269433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2151.0356796720084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2400.3683423611997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-35470.553021682121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-39582.045692646403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873.73767276083868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975.01509112264625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58.834066587279573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1169066.9662307997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959849.68371418584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-5574749.8449351965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-4577087.5664194962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89210.162974096893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73245.031455172386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41049.984951674072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103999.65670689021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116054.55266726065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-495927.16828643158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-553411.49666708452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13922.97341214229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15536.824854127477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3651.7876786489242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3496681.291912477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2870912.0427143229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-12569512.619770754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-10320061.263408035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178620.18778506361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146654.15729197333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203527.0798073209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452951.60550149484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505454.51418697624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-1628224.1491853329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-1816956.2406182024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27877.139134085079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31108.457607388285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26364.40380625469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403249.36590759351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331083.4943632611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229114.19222771737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202176.13583292533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-16038327.053142924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-13168093.525811519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208378.5936264043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171086.97188662522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8718.6520374985466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4953.6765281455491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34614.179674726976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38626.407675713795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19666.738465789622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23587.215847174622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-1376700.3279720955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-1536277.5780113442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32521.514612213396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36291.175854738685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748.39296391244761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425.21443030613523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809727.6122793206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664818.02582001011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143099.1736111085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126274.31622753413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-8500267.7180683818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-6979052.1127966549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128846.73888460379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105788.20986168839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48590.403999036738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8587.1428271035584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72032.993947854004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80382.543121873954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12730.03631141595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15267.712780238218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-756179.88543972454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-843830.84636541374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20109.028612047987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22439.92330399451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4322.5798702033262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763.90825496603338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532165.59657302091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436928.75969377294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-1170764.312460646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-961243.27132630046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20921.498315062545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17177.368038449156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19535.148339621988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47341.205382998807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52828.659126610713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-104150.65184259738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-116223.05007854359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3265.204939345022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3643.6841293680022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1737.8377626981642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99824.891733056109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81960.138746970959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-491138.46732663608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-403243.88263509714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8045.2343239950869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6605.4519068231548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15650.691218651247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8880.3762067730258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9909.725866679215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-43691.450937323287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-48755.851264061734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1255.614605479002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1401.1564650836995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1392.2782534973567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2127979.2068002517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555912.67508748756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-7715660.648296779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-2015636.9655093818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303332.61355572392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79242.524599945551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250110.33315783931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332112.36175495258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117920.87047310342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-1204178.2514682834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-427559.35632017191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47340.928127193903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16809.020369685419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39034.560666252379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619954.02327913279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785631.25546720112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671616.85855239397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851100.52675613458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-533589.52607487072</v>
      </c>
      <c r="J425" s="339">
        <f t="shared" ca="1" si="0"/>
        <v>-1922229.6171750224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2658525.3493744554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2148705.6119789877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103496.67012656716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83649.334385477763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13599.462454630924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10991.522538251776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1377844.7855616636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1113618.4290546447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1171311.0719145273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938105.61241848918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22440.48097110464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17972.630541222905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104462.02669037213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83663.86681777997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103072.72804534501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82551.174478848116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90242.917760262135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71951.681016377275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43768.546417760859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34897.148369774557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5777.3018663376906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4606.3069694439264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59381.887537546878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47345.83872390465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4521264755.0993986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3751146247.1868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113031618.87748498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93778656.179669991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59703841.487396404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49534334.543334864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237366399.64271846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797118577.52719498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1299863617.0910773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1078454546.066205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226063237.75496995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187557312.35933998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113031618.87748498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93778656.179669991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169547428.31622744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234446640.449175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1695474283.1622746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1406679842.6950498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113031618.87748498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93778656.179669991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214760075.86722144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281335968.53900999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904252951.01987982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1219122530.3357098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101728456.98973647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93778656.179669991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1537230016.7337956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92606447.359524071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27953395.152926859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76881649.196993455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90923438.135751218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-81543.240149162026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-96436.429610058098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77803604.042679682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94273846.635125071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-162374.21652406431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-196747.20952118258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84647.599173389783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68291251.8119625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89373306.563444242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15258427.739217991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15204775.118432643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43483500.832509927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42350387.09505704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7603945.2699398976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15377568.280370886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27491745.81076714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42596371.555766612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15445153.978132175</v>
      </c>
      <c r="J474" s="283">
        <f ca="1">SUMIFS('Forbrug af biomasse'!$E$1:$E$425,'Forbrug af biomasse'!$A$1:$A$425,"Biogas",'Forbrug af biomasse'!$B$1:$B$425,$A$1,'Forbrug af biomasse'!$D$1:$D$425,J$2)*'[1]Processer - data'!J474</f>
        <v>18989693.857730396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33956061.72867211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13385950.61443004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44143888.818541668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17829569.103569753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15077.180514344236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6032393.910056687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2631547.3599236356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84769327.10102199</v>
      </c>
      <c r="J479" s="283">
        <f ca="1">J474*'[1]Processer - data'!J$479*Biogasanlæg!AC$3</f>
        <v>97812524.067574307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133492040.85111094</v>
      </c>
      <c r="J480" s="283">
        <f ca="1">-SUMIFS('Resultater - Vestdanmark'!J$3:J$504,'Resultater - Vestdanmark'!$F$3:$F$504,"Gødning",'Resultater - Vestdanmark'!$A$3:$A$504,"&lt;&gt;Gødning")-SUM(J475:J479)</f>
        <v>152824131.24657881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1.0544257170178031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1.1443385774619967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5.010102614537792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4.1407509028365181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2.3137675683803898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1.6904055088911629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32.54422796360155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37.44241441572251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0.61229457653261987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0.66526690564108792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1.6785639368840255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3.2427330825472511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1.8085935376285627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3.4939307157023198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16.426989240332023</v>
      </c>
      <c r="J489" s="283">
        <f ca="1">SUM(J455:J473)*'[1]Processer - data'!$H$489</f>
        <v>16.736205024245713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328819.25491631991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443317.28375843994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676980.81894536456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912712.05479678826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961158.81391152041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1295843.5623004357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223665.29529186574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184854.95101948746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143145.78898679407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118307.16865247197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-235216.14768828885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-454402.2225772586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50454.944856527749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97471.365414938016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201819.779426111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389885.46165975207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551863.24646888149</v>
      </c>
      <c r="O3" s="168">
        <f>SUMIF($F$3:$F$494,"Roer",J3:J494)</f>
        <v>1513378.8566017656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-3537.6551735904904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-2221.2266071884483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-783.02357590567624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-4963.2594713528761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-19810.868972106746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270.90842550356831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141.51932675559539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-2057.5269690246432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-1444.7205931927601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-159218.91459494972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-103593.94600004716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2923.9342021886409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18693.058139726356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730.98355054716023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4673.264534931589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-20469.708213716141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-130865.27236345226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-18422.737392344527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-117778.74512710702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30031.231187509602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10395.426180291786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-6212.559240783884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-189216.80430501772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1376.5694105742418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688.28470528712114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-15488.046852349651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-8673.3062373158045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-3537.6551735904904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-2220.6999560230111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-605.06367229074976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-3835.2459551363136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-19457.103454747699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198.91757376344631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108.50049478006164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-1882.9452056303687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-367.8117160831797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-121014.52696524974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-78976.214772865118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742.02185237022502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4760.2905736284138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2597.0764832957861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16661.01700769944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-10227.989371626109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-65615.589672190457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-5113.9946858130561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-32807.794836095243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7732.8471448104774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10227.313965717083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-55701.426692472742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-53294.574921810337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638.9735237003573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348.53101292746766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-16086.565785383784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-4403.7883711118502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1721112.0122549904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1356972.4653017686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1856654.8623364191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1463838.2091460889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238009.7570877547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187653.49642646953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19454.151737001583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15338.193014135233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-1062179442.686283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-837451744.3791579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-81575.262001576659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-64316.199990310204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139093.26074026001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109664.98611922351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38488.603352328711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52295.535911753999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41718.601820084958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56684.224670324838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1275.9251875042266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1733.6350413401426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-69664384.38921693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-94654936.741842166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-4702.816227894933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-6389.8472147958264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10034.868490222761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13634.654931390796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24218.798664856207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18981.303846128274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702790.40020317526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550806.76424120076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13772.723997881005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10794.270294339311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263075.73856105719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206183.65911840653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2996.9608827464303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2348.84586628643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-182340504.96725374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-142908018.52456188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-762.65413651315066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-597.72452362259457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197225.69828341823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154574.17839699474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1509.6728189613259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1532.2923361281937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81580.396563102418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82802.72047154278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673.54633461351455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683.63811919565569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31161.195365740183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31628.085399569125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622.81167364769328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632.14329780284788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-37892985.432746254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-38460738.275438085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-191.05706940880464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-193.91968878372143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34274.772689413665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34788.313636499202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1312278.8505522225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1193921.6848725628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455642.90109448991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445541.72475231858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-29952156.360678405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-27250708.927191161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425637.80757073936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387248.64623587689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21396.6894131101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7429.251514573024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137220.37229184803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169681.59703188846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47644.971565314016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63320.929972374972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-3131991.3789865458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-3872903.7838947438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66429.021990809051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82143.65223185267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2237.3763669546925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776.85063525217356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282385.37559630291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333991.38472395914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-2739526.4964035125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-3240175.7565867538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31144.229822249225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36835.846837071214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382.74773429900767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25120.872430214455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40382.594698442328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-243707.01028699451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-391766.70511458023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4860.6601456689532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7813.6644805908636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34.049061450067782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33656.479335810072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39762.298855216388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-28797518.53198766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-34021845.444160916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6235.8814936893823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7367.1693674142434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2994.0648380237967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4807.6234070397995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-2561813.9318340463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-4113550.4037030926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973.23005970874738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1562.7328961181729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424625.39101452497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386327.54163979215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-1499704.725957616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-1364443.2297854875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22732.467922007716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20682.179242112888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1340.5397530221821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37774.478426089823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46710.511852811236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-133413.03891611393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-164973.59051042711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3547.8418144173902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4387.1289301451579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119.25379652607738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2039029.5712731346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2679625.3506972454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-6369399.1041381676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-8370454.0378491152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93432.689466747688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122786.15612357073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48642.686785784244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248219.43798272961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443356.1943880897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-775373.09325520135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-1384929.6680804898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14581.980437006865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26045.548268636212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5921.4738942694576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215016.30294772371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195623.53426818387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67905.06177468496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66399.670157994566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126653.20127714684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115230.08497750483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318.60180314413896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100.61876623973367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19127.750880725253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23652.663688789507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6040.8028942913388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8028.3237554666148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19766.684592387082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24442.7452982586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28.342669077389004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8.950998915777463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499615.15549453121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1350135.2329780553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-830091.67550478235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-2243198.6007139073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13980.553830309573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37780.355730329458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7165.1494001899173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44445.533196883436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163243.62362371027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-73844.571595483227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-271223.1035408632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2181.9361469269274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8014.014851888066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637.40837727701057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7869.8947392801374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7160.0925237323572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-129774.47155467836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-118069.84138074558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1822.1210555602383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1657.7801583716669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172.18734458142512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700.10219674867813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865.72027786945762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-11544.676978187861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-14275.71718512651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284.37727456720484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351.65033662429295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15.317706549757988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380498.73320990009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346180.75910822675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-1814425.7901656937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-1650778.9450079598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29035.423103719138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26416.657754098691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4314.976078167404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33848.991353181285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41856.40087399468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-161410.47925231227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-199594.18153278055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4531.5400219677267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5603.5334629906301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383.85827654911179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1138072.3606459235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1035427.241517677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-4091026.2346292464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-3722048.0485919635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58135.895668198558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52892.498022461237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4184.6544384322451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147423.1306478332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182297.9476732637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-529941.606462667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-655306.03522179706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9073.2322719153817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11219.620792643293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542.06997667784174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131246.43611326127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119409.04638669113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74570.287606471655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72917.134176032909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-5220028.7090501636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-4749223.4358343054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67821.427850741471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61704.471862779472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1466.9126404410149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833.45575491937132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11265.951307988036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13931.055411780635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6400.9755546595616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8506.9989872038404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-448077.60884043324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-554076.06751400256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10584.847121213988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13088.827364832012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125.91706769103511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71.54230035001541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263543.78287730424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239774.21960138358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46574.794990538547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45542.275409590766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-2766600.3677256387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-2517074.9120997111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41936.024487873256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38153.727001200496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15022.860631400603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2654.9161829579666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23444.733054807581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28990.882915440019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4143.2722248808568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5506.4751177050648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-246115.48936010155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-304337.23937205598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6544.9286772981377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8093.2148184364687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1336.4267347818227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236.18011592903531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173205.07824010277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157583.35109484271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-381051.17212822608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-346683.37240865396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6809.3649343289699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6195.2141131323224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1589.0258486662947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15408.243665405675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19053.259723285526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-33898.136063892482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-41917.171391228163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1062.7332556467181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1314.1363270280683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141.35900468771257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32490.221642054799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29559.860808883303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-159851.8904789096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-145434.51517970586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2618.4996728857946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2382.3317277227206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1645.1250419401372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2890.315092897245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3574.0558978013446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-14220.350257054446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-17584.355017182614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408.66757900529751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505.34309375936505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146.34956297953011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692597.95706574817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200496.26011751246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-2511232.6217032201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-726962.50949061802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98726.316398555326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28579.722205576069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26956.73384565597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108093.3227790474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42529.509721896582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-391926.47853171645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-154204.16867982806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15408.153426364126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6062.3653163343179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4207.1203111717405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179118.88010894318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191018.35234338022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194045.45345135513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206936.54837199528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-141130.7736409237</v>
      </c>
      <c r="J425" s="339">
        <f t="shared" ca="1" si="0"/>
        <v>-313282.44329208438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188952.05676907348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152717.12375065815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7355.9233481699339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5945.2936129493919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966.56832794952936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781.21158074155005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97928.953809553946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79149.327154368118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169719.59522405529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135928.79691373621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3251.5609545325924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2604.1823164721445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15136.246306624302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12122.652941360602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14934.940940925055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11961.427031437503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6413.9260224304726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5113.8944826069655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3110.8060975888479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2480.2802656728277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410.61600953971424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327.38870674712348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4220.508857547441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3365.0586060590404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554029690.41420007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458588938.59240001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13850742.260355001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11464723.464809999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7316028.2813549805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6055721.7461581901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29086558.746745504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97450149.450885013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159283535.99408251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131844319.84531499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27701484.520710003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22929446.929619998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13850742.260354999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11464723.464809999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20776113.390532501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28661808.662025001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207761133.905325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171970851.97215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13850742.260355001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11464723.464809999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26316410.294674501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34394170.394429997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110805938.08284001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149041405.04253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12465668.0343195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11464723.464809999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188370094.74082801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35873552.640475929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12196604.847073138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11139929.174018513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13174543.882314801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-11815.380254839427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-13973.360442601963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5529814.1172022568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6700420.3008372625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-11540.586658580471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-13983.613100153683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7104.4417541460334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9184258.1917872019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12034027.67516364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13211572.260782011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13265224.881567359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18073499.167490058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19206612.90494296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931777.20660570008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1879954.0863319121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23232154.107175577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36463871.829875104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3467141.0325447312</v>
      </c>
      <c r="J474" s="283">
        <f ca="1">SUMIFS('Forbrug af biomasse'!$E$1:$E$425,'Forbrug af biomasse'!$A$1:$A$425,"Biogas",'Forbrug af biomasse'!$B$1:$B$425,$A$1,'Forbrug af biomasse'!$D$1:$D$425,J$2)*'[1]Processer - data'!J474</f>
        <v>4548505.6401664391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4920135.3851915104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1939585.6271185677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3137483.1870651105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1267218.9694254871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1265.422195394968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811276.1402745361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354335.25932426268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19029089.169928912</v>
      </c>
      <c r="J479" s="283">
        <f ca="1">J474*'[1]Processer - data'!J$479*Biogasanlæg!AC$3</f>
        <v>23428540.803945895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68926170.238092631</v>
      </c>
      <c r="J480" s="283">
        <f ca="1">-SUMIFS('Resultater - Østdanmark'!J$3:J$504,'Resultater - Østdanmark'!$F$3:$F$504,"Gødning",'Resultater - Østdanmark'!$A$3:$A$504,"&lt;&gt;Gødning")-SUM(J475:J479)</f>
        <v>75616797.685029626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2.0365974170454666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2.1012013377792655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1.6139784318490709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1.4934091401428835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0.68396500865363941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0.60966406740299739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9.4247669524706943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9.5639789955469166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0.53015777123313301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0.58040418492576751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0.65023606311597393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1.4148669174527482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0.70060646237143664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1.5244692842976793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4.6398609586438866</v>
      </c>
      <c r="J489" s="283">
        <f ca="1">SUM(J455:J473)*'[1]Processer - data'!$H$489</f>
        <v>4.5588210401614013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40293.068393760004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54196.87456091999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82956.317281270603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111581.8005666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117779.10583751521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158420.78251756265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72052.608564690672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66670.050899235881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46113.66948140203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42668.832575510962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-91117.185645044447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-198264.44408940806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19545.055143472255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42528.634585062005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78180.220573889019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170114.53834024802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5944363.3032441027</v>
      </c>
      <c r="O3" s="98">
        <f ca="1">SUMIF($F$3:$F$509,$L$3,J$3:J$509)</f>
        <v>-97929.093596754014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1178328.2558921522</v>
      </c>
      <c r="O4" s="98">
        <f t="shared" si="0"/>
        <v>974245.78274399124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3488675.2326403745</v>
      </c>
      <c r="O5" s="98">
        <f t="shared" si="0"/>
        <v>2853662.6002192418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29371.292802092572</v>
      </c>
      <c r="O7" s="98">
        <f>SUMIFS(J$3:J$509,$F$3:$F$509,$L$3,$C$3:$C$509,$L7)+SUMIFS(J$3:J$509,$F$3:$F$509,$L$3,$C$3:$C$509,"",$A$3:$A$509,"Grøntsager I drivhus")</f>
        <v>33689.695053086354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1178977.2284111006</v>
      </c>
      <c r="O8" s="98">
        <f>SUMIFS(J$3:J$509,$F$3:$F$509,$L$3,$C$3:$C$509,$L8)</f>
        <v>0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29371.292802092572</v>
      </c>
      <c r="O9" s="98">
        <f>SUMIFS(J$3:J$509,$F$3:$F$509,$L$3,$C$3:$C$509,$L9)</f>
        <v>0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-31825.823609444207</v>
      </c>
      <c r="J17" s="277">
        <f ca="1">'Resultater - Vestdanmark'!J17+'Resultater - Østdanmark'!J17</f>
        <v>-18726.339336091714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-7022.612499999992</v>
      </c>
      <c r="J21" s="277">
        <f ca="1">'Resultater - Vestdanmark'!J21+'Resultater - Østdanmark'!J21</f>
        <v>-41524.315985679292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-178224.61221288756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2429.664896227659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1269.227930865195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-18453.102890352977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-12957.097600832703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-1432381.180919789</v>
      </c>
      <c r="J33" s="277">
        <f ca="1">'Resultater - Vestdanmark'!J33+'Resultater - Østdanmark'!J33</f>
        <v>-874869.89067530225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26223.548701860487</v>
      </c>
      <c r="J35" s="277">
        <f ca="1">'Resultater - Vestdanmark'!J35+'Resultater - Østdanmark'!J35</f>
        <v>156571.44637514791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6555.8871754651218</v>
      </c>
      <c r="J36" s="277">
        <f ca="1">'Resultater - Vestdanmark'!J36+'Resultater - Østdanmark'!J36</f>
        <v>39142.861593786976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-183584.29196301982</v>
      </c>
      <c r="J37" s="277">
        <f ca="1">'Resultater - Vestdanmark'!J37+'Resultater - Østdanmark'!J37</f>
        <v>-1096116.2599007108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-165225.86276671785</v>
      </c>
      <c r="J38" s="277">
        <f ca="1">'Resultater - Vestdanmark'!J38+'Resultater - Østdanmark'!J38</f>
        <v>-986504.63391063956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270172.13772471034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93521.124597015136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-55890.496141965705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-1702264.8253524411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12345.878013487556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6172.9390067437789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-138905.84494865619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-77787.273171247463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-31825.823609444207</v>
      </c>
      <c r="J49" s="277">
        <f ca="1">'Resultater - Vestdanmark'!J49+'Resultater - Østdanmark'!J49</f>
        <v>-18721.616021020054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-5426.5642045454497</v>
      </c>
      <c r="J53" s="277">
        <f ca="1">'Resultater - Vestdanmark'!J53+'Resultater - Østdanmark'!J53</f>
        <v>-32086.971443479455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-175042.02985194314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1784.0089148849881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973.09577175544825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-16887.351728305766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-3298.7501711229911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-1088682.8082553532</v>
      </c>
      <c r="J65" s="277">
        <f ca="1">'Resultater - Vestdanmark'!J65+'Resultater - Østdanmark'!J65</f>
        <v>-666930.72532384796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6654.8851095589553</v>
      </c>
      <c r="J67" s="277">
        <f ca="1">'Resultater - Vestdanmark'!J67+'Resultater - Østdanmark'!J67</f>
        <v>39890.720858332686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23292.097883456332</v>
      </c>
      <c r="J68" s="277">
        <f ca="1">'Resultater - Vestdanmark'!J68+'Resultater - Østdanmark'!J68</f>
        <v>139617.52300416434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-91730.579028824737</v>
      </c>
      <c r="J69" s="277">
        <f ca="1">'Resultater - Vestdanmark'!J69+'Resultater - Østdanmark'!J69</f>
        <v>-549851.55445524782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-45865.289514412383</v>
      </c>
      <c r="J70" s="277">
        <f ca="1">'Resultater - Vestdanmark'!J70+'Resultater - Østdanmark'!J70</f>
        <v>-274925.77722762403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69567.391685026014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92008.485776969887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-501109.47437135538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-479456.59584913636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5730.6875460512456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3125.8295705734072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-144273.71211121336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-39495.744718228096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13599278.191581521</v>
      </c>
      <c r="J95" s="277">
        <f>'Resultater - Vestdanmark'!J95+'Resultater - Østdanmark'!J95</f>
        <v>10722048.258658564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14670263.061835328</v>
      </c>
      <c r="J96" s="277">
        <f>'Resultater - Vestdanmark'!J96+'Resultater - Østdanmark'!J96</f>
        <v>11566442.446451779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1880621.8746369297</v>
      </c>
      <c r="J97" s="277">
        <f>'Resultater - Vestdanmark'!J97+'Resultater - Østdanmark'!J97</f>
        <v>1482734.4666445949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153715.98104535646</v>
      </c>
      <c r="J98" s="277">
        <f>'Resultater - Vestdanmark'!J98+'Resultater - Østdanmark'!J98</f>
        <v>121193.94453711712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-8392756327.0819302</v>
      </c>
      <c r="J99" s="277">
        <f>'Resultater - Vestdanmark'!J99+'Resultater - Østdanmark'!J99</f>
        <v>-6617081957.9115772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-644562.74409305141</v>
      </c>
      <c r="J100" s="277">
        <f>'Resultater - Vestdanmark'!J100+'Resultater - Østdanmark'!J100</f>
        <v>-508191.15180519543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1099038.2577730427</v>
      </c>
      <c r="J101" s="277">
        <f>'Resultater - Vestdanmark'!J101+'Resultater - Østdanmark'!J101</f>
        <v>866512.25689678953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304115.72312947677</v>
      </c>
      <c r="J102" s="277">
        <f>'Resultater - Vestdanmark'!J102+'Resultater - Østdanmark'!J102</f>
        <v>413210.49180872238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329637.39017301111</v>
      </c>
      <c r="J104" s="277">
        <f>'Resultater - Vestdanmark'!J104+'Resultater - Østdanmark'!J104</f>
        <v>447887.4906903205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10081.657354643497</v>
      </c>
      <c r="J105" s="277">
        <f>'Resultater - Vestdanmark'!J105+'Resultater - Østdanmark'!J105</f>
        <v>13698.228262882878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-550449556.22206807</v>
      </c>
      <c r="J106" s="277">
        <f>'Resultater - Vestdanmark'!J106+'Resultater - Østdanmark'!J106</f>
        <v>-747911122.45642292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-37159.060951084706</v>
      </c>
      <c r="J107" s="277">
        <f>'Resultater - Vestdanmark'!J107+'Resultater - Østdanmark'!J107</f>
        <v>-50489.049670775625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79289.998119109514</v>
      </c>
      <c r="J108" s="277">
        <f>'Resultater - Vestdanmark'!J108+'Resultater - Østdanmark'!J108</f>
        <v>107733.52584720167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364973.43919573817</v>
      </c>
      <c r="J109" s="277">
        <f>'Resultater - Vestdanmark'!J109+'Resultater - Østdanmark'!J109</f>
        <v>286045.22631394782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10590939.416334795</v>
      </c>
      <c r="J110" s="277">
        <f>'Resultater - Vestdanmark'!J110+'Resultater - Østdanmark'!J110</f>
        <v>8300570.224777529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207552.75743278294</v>
      </c>
      <c r="J111" s="277">
        <f>'Resultater - Vestdanmark'!J111+'Resultater - Østdanmark'!J111</f>
        <v>162667.93441947969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3964509.4870422217</v>
      </c>
      <c r="J112" s="277">
        <f>'Resultater - Vestdanmark'!J112+'Resultater - Østdanmark'!J112</f>
        <v>3107154.9095291742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45163.723256772639</v>
      </c>
      <c r="J113" s="277">
        <f>'Resultater - Vestdanmark'!J113+'Resultater - Østdanmark'!J113</f>
        <v>35396.733166753926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-2747842373.3360395</v>
      </c>
      <c r="J114" s="277">
        <f>'Resultater - Vestdanmark'!J114+'Resultater - Østdanmark'!J114</f>
        <v>-2153601082.0075617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-11493.076389621709</v>
      </c>
      <c r="J115" s="277">
        <f>'Resultater - Vestdanmark'!J115+'Resultater - Østdanmark'!J115</f>
        <v>-9007.6133873119961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2972159.8662419668</v>
      </c>
      <c r="J116" s="277">
        <f>'Resultater - Vestdanmark'!J116+'Resultater - Østdanmark'!J116</f>
        <v>2329408.2535262574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22750.528976326976</v>
      </c>
      <c r="J117" s="277">
        <f>'Resultater - Vestdanmark'!J117+'Resultater - Østdanmark'!J117</f>
        <v>23091.401498023042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1229403.5850668999</v>
      </c>
      <c r="J118" s="277">
        <f>'Resultater - Vestdanmark'!J118+'Resultater - Østdanmark'!J118</f>
        <v>1247823.8117200912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10150.236004822804</v>
      </c>
      <c r="J119" s="277">
        <f>'Resultater - Vestdanmark'!J119+'Resultater - Østdanmark'!J119</f>
        <v>10302.317591425664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469594.2519472618</v>
      </c>
      <c r="J120" s="277">
        <f>'Resultater - Vestdanmark'!J120+'Resultater - Østdanmark'!J120</f>
        <v>476630.21040791145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9385.672743227371</v>
      </c>
      <c r="J121" s="277">
        <f>'Resultater - Vestdanmark'!J121+'Resultater - Østdanmark'!J121</f>
        <v>9526.29883324607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-571041256.26396012</v>
      </c>
      <c r="J122" s="277">
        <f>'Resultater - Vestdanmark'!J122+'Resultater - Østdanmark'!J122</f>
        <v>-579597201.19243765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-2879.1996114149251</v>
      </c>
      <c r="J123" s="277">
        <f>'Resultater - Vestdanmark'!J123+'Resultater - Østdanmark'!J123</f>
        <v>-2922.338829541703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516515.36639840755</v>
      </c>
      <c r="J124" s="277">
        <f>'Resultater - Vestdanmark'!J124+'Resultater - Østdanmark'!J124</f>
        <v>524254.3466929844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5344202.5358739989</v>
      </c>
      <c r="J141" s="277">
        <f>'Resultater - Vestdanmark'!J141+'Resultater - Østdanmark'!J141</f>
        <v>4504288.6577699985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1855587.2834934907</v>
      </c>
      <c r="J142" s="277">
        <f>'Resultater - Vestdanmark'!J142+'Resultater - Østdanmark'!J142</f>
        <v>1680887.9198633193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-121978945.18399999</v>
      </c>
      <c r="J143" s="277">
        <f>'Resultater - Vestdanmark'!J143+'Resultater - Østdanmark'!J143</f>
        <v>-102808300.31999999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1733392.7538542408</v>
      </c>
      <c r="J144" s="277">
        <f>'Resultater - Vestdanmark'!J144+'Resultater - Østdanmark'!J144</f>
        <v>1460966.5835521102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172721.36922905373</v>
      </c>
      <c r="J145" s="277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59971.450216865887</v>
      </c>
      <c r="J146" s="277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558824.41545641993</v>
      </c>
      <c r="J153" s="277">
        <f>'Resultater - Vestdanmark'!J153+'Resultater - Østdanmark'!J153</f>
        <v>640154.96378609992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194032.21941270088</v>
      </c>
      <c r="J154" s="277">
        <f>'Resultater - Vestdanmark'!J154+'Resultater - Østdanmark'!J154</f>
        <v>238889.8286108778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-12754908.198720001</v>
      </c>
      <c r="J155" s="277">
        <f>'Resultater - Vestdanmark'!J155+'Resultater - Østdanmark'!J155</f>
        <v>-14611240.257599998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270529.50493678905</v>
      </c>
      <c r="J156" s="277">
        <f>'Resultater - Vestdanmark'!J156+'Resultater - Østdanmark'!J156</f>
        <v>309902.00257165974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18060.864562737468</v>
      </c>
      <c r="J157" s="277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6271.0030891508904</v>
      </c>
      <c r="J158" s="277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1150003.0193433629</v>
      </c>
      <c r="J165" s="277">
        <f>'Resultater - Vestdanmark'!J165+'Resultater - Østdanmark'!J165</f>
        <v>1260043.7910344193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-11156610.839999996</v>
      </c>
      <c r="J166" s="277">
        <f>'Resultater - Vestdanmark'!J166+'Resultater - Østdanmark'!J166</f>
        <v>-12224157.659999996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126833.61613567614</v>
      </c>
      <c r="J167" s="277">
        <f>'Resultater - Vestdanmark'!J167+'Resultater - Østdanmark'!J167</f>
        <v>138969.99209398121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2145.8943215347294</v>
      </c>
      <c r="J168" s="277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102303.73680748181</v>
      </c>
      <c r="J174" s="277">
        <f>'Resultater - Vestdanmark'!J174+'Resultater - Østdanmark'!J174</f>
        <v>152350.74927961614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-992486.94119999965</v>
      </c>
      <c r="J175" s="277">
        <f>'Resultater - Vestdanmark'!J175+'Resultater - Østdanmark'!J175</f>
        <v>-1478011.7897999997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19794.841824643096</v>
      </c>
      <c r="J176" s="277">
        <f>'Resultater - Vestdanmark'!J176+'Resultater - Østdanmark'!J176</f>
        <v>29478.483171450564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190.89776652265596</v>
      </c>
      <c r="J177" s="277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137122.90369451896</v>
      </c>
      <c r="J183" s="277">
        <f>'Resultater - Vestdanmark'!J183+'Resultater - Østdanmark'!J183</f>
        <v>150010.56937794806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-117326572.42320043</v>
      </c>
      <c r="J184" s="277">
        <f>'Resultater - Vestdanmark'!J184+'Resultater - Østdanmark'!J184</f>
        <v>-128353655.42999998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25406.168273810075</v>
      </c>
      <c r="J185" s="277">
        <f>'Resultater - Vestdanmark'!J185+'Resultater - Østdanmark'!J185</f>
        <v>27793.998418796244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12198.390103229169</v>
      </c>
      <c r="J186" s="277">
        <f>'Resultater - Vestdanmark'!J186+'Resultater - Østdanmark'!J186</f>
        <v>18137.641570242813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-10437317.627705516</v>
      </c>
      <c r="J187" s="277">
        <f>'Resultater - Vestdanmark'!J187+'Resultater - Østdanmark'!J187</f>
        <v>-15519123.7929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3965.1245282824971</v>
      </c>
      <c r="J188" s="277">
        <f>'Resultater - Vestdanmark'!J188+'Resultater - Østdanmark'!J188</f>
        <v>5895.6966342901133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1729269.728382326</v>
      </c>
      <c r="J189" s="277">
        <f>'Resultater - Vestdanmark'!J189+'Resultater - Østdanmark'!J189</f>
        <v>1457491.5474276035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-6107486.831897215</v>
      </c>
      <c r="J190" s="277">
        <f>'Resultater - Vestdanmark'!J190+'Resultater - Østdanmark'!J190</f>
        <v>-5147612.4790796768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92577.056061175448</v>
      </c>
      <c r="J191" s="277">
        <f>'Resultater - Vestdanmark'!J191+'Resultater - Østdanmark'!J191</f>
        <v>78027.316664542188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58685.337219941415</v>
      </c>
      <c r="J192" s="277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153835.03537458958</v>
      </c>
      <c r="J198" s="277">
        <f>'Resultater - Vestdanmark'!J198+'Resultater - Østdanmark'!J198</f>
        <v>176223.97800715567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-543319.2042942089</v>
      </c>
      <c r="J199" s="277">
        <f>'Resultater - Vestdanmark'!J199+'Resultater - Østdanmark'!J199</f>
        <v>-622393.14519781526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14448.442275443569</v>
      </c>
      <c r="J200" s="277">
        <f>'Resultater - Vestdanmark'!J200+'Resultater - Østdanmark'!J200</f>
        <v>16551.248989448344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5220.6204613577938</v>
      </c>
      <c r="J201" s="277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8303865.4482119996</v>
      </c>
      <c r="J207" s="277">
        <f>'Resultater - Vestdanmark'!J207+'Resultater - Østdanmark'!J207</f>
        <v>10109378.384819999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-25939120.203000002</v>
      </c>
      <c r="J208" s="277">
        <f>'Resultater - Vestdanmark'!J208+'Resultater - Østdanmark'!J208</f>
        <v>-31579073.954999998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380500.84840702848</v>
      </c>
      <c r="J209" s="277">
        <f>'Resultater - Vestdanmark'!J209+'Resultater - Østdanmark'!J209</f>
        <v>463233.30697993742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955998.50077339995</v>
      </c>
      <c r="J210" s="277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1010863.6204586402</v>
      </c>
      <c r="J216" s="277">
        <f>'Resultater - Vestdanmark'!J216+'Resultater - Østdanmark'!J216</f>
        <v>1672642.6054884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-3157675.5576600004</v>
      </c>
      <c r="J217" s="277">
        <f>'Resultater - Vestdanmark'!J217+'Resultater - Østdanmark'!J217</f>
        <v>-5224901.3270999994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59384.525473929316</v>
      </c>
      <c r="J218" s="277">
        <f>'Resultater - Vestdanmark'!J218+'Resultater - Østdanmark'!J218</f>
        <v>98261.610571501878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116377.62096120117</v>
      </c>
      <c r="J219" s="277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875645.19612880005</v>
      </c>
      <c r="J225" s="277">
        <f>'Resultater - Vestdanmark'!J225+'Resultater - Østdanmark'!J225</f>
        <v>738025.68272399995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276540.61724932923</v>
      </c>
      <c r="J226" s="277">
        <f>'Resultater - Vestdanmark'!J226+'Resultater - Østdanmark'!J226</f>
        <v>250504.94095368381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515790.03895174968</v>
      </c>
      <c r="J228" s="277">
        <f>'Resultater - Vestdanmark'!J228+'Resultater - Østdanmark'!J228</f>
        <v>434726.64193501824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7461.6323344251014</v>
      </c>
      <c r="J229" s="277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2356.4845905303819</v>
      </c>
      <c r="J230" s="277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77896.991724984007</v>
      </c>
      <c r="J237" s="277">
        <f>'Resultater - Vestdanmark'!J237+'Resultater - Østdanmark'!J237</f>
        <v>89234.014365719981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24600.925430446114</v>
      </c>
      <c r="J238" s="277">
        <f>'Resultater - Vestdanmark'!J238+'Resultater - Østdanmark'!J238</f>
        <v>30288.324678945402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80499.023420215279</v>
      </c>
      <c r="J240" s="277">
        <f>'Resultater - Vestdanmark'!J240+'Resultater - Østdanmark'!J240</f>
        <v>92214.742228640214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663.78336200463764</v>
      </c>
      <c r="J241" s="277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209.63177946972587</v>
      </c>
      <c r="J242" s="277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2034662.5108157226</v>
      </c>
      <c r="J249" s="277">
        <f>'Resultater - Vestdanmark'!J249+'Resultater - Østdanmark'!J249</f>
        <v>5093632.9354029847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-3380514.7704497087</v>
      </c>
      <c r="J250" s="277">
        <f>'Resultater - Vestdanmark'!J250+'Resultater - Østdanmark'!J250</f>
        <v>-8462878.3800000008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56935.239946465983</v>
      </c>
      <c r="J251" s="277">
        <f>'Resultater - Vestdanmark'!J251+'Resultater - Østdanmark'!J251</f>
        <v>142533.32522459613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10043.424061554415</v>
      </c>
      <c r="J252" s="277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181002.63607776864</v>
      </c>
      <c r="J258" s="277">
        <f>'Resultater - Vestdanmark'!J258+'Resultater - Østdanmark'!J258</f>
        <v>615866.52764417895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-300729.03073538159</v>
      </c>
      <c r="J259" s="277">
        <f>'Resultater - Vestdanmark'!J259+'Resultater - Østdanmark'!J259</f>
        <v>-1023238.9313999997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8885.8466968472931</v>
      </c>
      <c r="J260" s="277">
        <f>'Resultater - Vestdanmark'!J260+'Resultater - Østdanmark'!J260</f>
        <v>30234.34171430827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893.45836015793316</v>
      </c>
      <c r="J261" s="277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32049.827980557428</v>
      </c>
      <c r="J267" s="277">
        <f>'Resultater - Vestdanmark'!J267+'Resultater - Østdanmark'!J267</f>
        <v>27012.763024464086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-528501.28589847346</v>
      </c>
      <c r="J268" s="277">
        <f>'Resultater - Vestdanmark'!J268+'Resultater - Østdanmark'!J268</f>
        <v>-445440.14410188125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7420.5142921389452</v>
      </c>
      <c r="J269" s="277">
        <f>'Resultater - Vestdanmark'!J269+'Resultater - Østdanmark'!J269</f>
        <v>6254.2798736641416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833.54494819411946</v>
      </c>
      <c r="J270" s="277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2851.1378764206866</v>
      </c>
      <c r="J276" s="277">
        <f>'Resultater - Vestdanmark'!J276+'Resultater - Østdanmark'!J276</f>
        <v>3266.0886202306574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-47015.229999869982</v>
      </c>
      <c r="J277" s="277">
        <f>'Resultater - Vestdanmark'!J277+'Resultater - Østdanmark'!J277</f>
        <v>-53857.762877772911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1158.1149473280434</v>
      </c>
      <c r="J278" s="277">
        <f>'Resultater - Vestdanmark'!J278+'Resultater - Østdanmark'!J278</f>
        <v>1326.6654277469393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74.151773137037566</v>
      </c>
      <c r="J279" s="277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1549565.6994406998</v>
      </c>
      <c r="J285" s="277">
        <f>'Resultater - Vestdanmark'!J285+'Resultater - Østdanmark'!J285</f>
        <v>1306030.4428224126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-7389175.63510089</v>
      </c>
      <c r="J286" s="277">
        <f>'Resultater - Vestdanmark'!J286+'Resultater - Østdanmark'!J286</f>
        <v>-6227866.5114274565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118245.58607781603</v>
      </c>
      <c r="J287" s="277">
        <f>'Resultater - Vestdanmark'!J287+'Resultater - Østdanmark'!J287</f>
        <v>99661.689209271077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45364.961029841477</v>
      </c>
      <c r="J288" s="277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137848.64806007149</v>
      </c>
      <c r="J294" s="277">
        <f>'Resultater - Vestdanmark'!J294+'Resultater - Østdanmark'!J294</f>
        <v>157910.95354125532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-657337.64753874391</v>
      </c>
      <c r="J295" s="277">
        <f>'Resultater - Vestdanmark'!J295+'Resultater - Østdanmark'!J295</f>
        <v>-753005.67819986504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18454.513434110017</v>
      </c>
      <c r="J296" s="277">
        <f>'Resultater - Vestdanmark'!J296+'Resultater - Østdanmark'!J296</f>
        <v>21140.358317118109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4035.6459551980361</v>
      </c>
      <c r="J297" s="277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4634753.6525584003</v>
      </c>
      <c r="J303" s="277">
        <f>'Resultater - Vestdanmark'!J303+'Resultater - Østdanmark'!J303</f>
        <v>3906339.2842319999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-16660538.854400001</v>
      </c>
      <c r="J304" s="277">
        <f>'Resultater - Vestdanmark'!J304+'Resultater - Østdanmark'!J304</f>
        <v>-14042109.311999999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236756.08345326217</v>
      </c>
      <c r="J305" s="277">
        <f>'Resultater - Vestdanmark'!J305+'Resultater - Østdanmark'!J305</f>
        <v>199546.65531443455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207711.73424575315</v>
      </c>
      <c r="J306" s="277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600374.73614932806</v>
      </c>
      <c r="J312" s="277">
        <f>'Resultater - Vestdanmark'!J312+'Resultater - Østdanmark'!J312</f>
        <v>687752.46186023997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-2158165.7556480002</v>
      </c>
      <c r="J313" s="277">
        <f>'Resultater - Vestdanmark'!J313+'Resultater - Østdanmark'!J313</f>
        <v>-2472262.2758399993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36950.371406000457</v>
      </c>
      <c r="J314" s="277">
        <f>'Resultater - Vestdanmark'!J314+'Resultater - Østdanmark'!J314</f>
        <v>42328.078400031576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26906.473782932531</v>
      </c>
      <c r="J315" s="277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534495.80202085478</v>
      </c>
      <c r="J321" s="277">
        <f>'Resultater - Vestdanmark'!J321+'Resultater - Østdanmark'!J321</f>
        <v>450492.5407499522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303684.47983418906</v>
      </c>
      <c r="J322" s="277">
        <f>'Resultater - Vestdanmark'!J322+'Resultater - Østdanmark'!J322</f>
        <v>275093.27000895824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-21258355.762193087</v>
      </c>
      <c r="J323" s="277">
        <f>'Resultater - Vestdanmark'!J323+'Resultater - Østdanmark'!J323</f>
        <v>-17917316.961645827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276200.02147714578</v>
      </c>
      <c r="J324" s="277">
        <f>'Resultater - Vestdanmark'!J324+'Resultater - Østdanmark'!J324</f>
        <v>232791.44374940469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10185.564677939561</v>
      </c>
      <c r="J325" s="277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5787.1322830649206</v>
      </c>
      <c r="J326" s="277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45880.130982715011</v>
      </c>
      <c r="J333" s="277">
        <f>'Resultater - Vestdanmark'!J333+'Resultater - Østdanmark'!J333</f>
        <v>52557.463087494427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26067.714020449184</v>
      </c>
      <c r="J334" s="277">
        <f>'Resultater - Vestdanmark'!J334+'Resultater - Østdanmark'!J334</f>
        <v>32094.214834378465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-1824777.9368125286</v>
      </c>
      <c r="J335" s="277">
        <f>'Resultater - Vestdanmark'!J335+'Resultater - Østdanmark'!J335</f>
        <v>-2090353.6455253467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43106.361733427388</v>
      </c>
      <c r="J336" s="277">
        <f>'Resultater - Vestdanmark'!J336+'Resultater - Østdanmark'!J336</f>
        <v>49380.003219570695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874.31003160348268</v>
      </c>
      <c r="J337" s="277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496.75673065615064</v>
      </c>
      <c r="J338" s="277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1073271.3951566247</v>
      </c>
      <c r="J345" s="277">
        <f>'Resultater - Vestdanmark'!J345+'Resultater - Østdanmark'!J345</f>
        <v>904592.24542139366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189673.96860164707</v>
      </c>
      <c r="J346" s="277">
        <f>'Resultater - Vestdanmark'!J346+'Resultater - Østdanmark'!J346</f>
        <v>171816.59163712489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-11266868.08579402</v>
      </c>
      <c r="J347" s="277">
        <f>'Resultater - Vestdanmark'!J347+'Resultater - Østdanmark'!J347</f>
        <v>-9496127.0248963665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170782.76337247706</v>
      </c>
      <c r="J348" s="277">
        <f>'Resultater - Vestdanmark'!J348+'Resultater - Østdanmark'!J348</f>
        <v>143941.93686288889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63613.264630437341</v>
      </c>
      <c r="J349" s="277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11242.059010061525</v>
      </c>
      <c r="J350" s="277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95477.727002661588</v>
      </c>
      <c r="J357" s="277">
        <f>'Resultater - Vestdanmark'!J357+'Resultater - Østdanmark'!J357</f>
        <v>109373.42603731397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16873.308536296805</v>
      </c>
      <c r="J358" s="277">
        <f>'Resultater - Vestdanmark'!J358+'Resultater - Østdanmark'!J358</f>
        <v>20774.187897943284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-1002295.3747998261</v>
      </c>
      <c r="J359" s="277">
        <f>'Resultater - Vestdanmark'!J359+'Resultater - Østdanmark'!J359</f>
        <v>-1148168.0857374696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26653.957289346123</v>
      </c>
      <c r="J360" s="277">
        <f>'Resultater - Vestdanmark'!J360+'Resultater - Østdanmark'!J360</f>
        <v>30533.138122430981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5659.0066049851484</v>
      </c>
      <c r="J361" s="277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1000.0883708950687</v>
      </c>
      <c r="J362" s="277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705370.67481312365</v>
      </c>
      <c r="J369" s="277">
        <f>'Resultater - Vestdanmark'!J369+'Resultater - Østdanmark'!J369</f>
        <v>594512.11078861565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-1551815.4845888722</v>
      </c>
      <c r="J370" s="277">
        <f>'Resultater - Vestdanmark'!J370+'Resultater - Østdanmark'!J370</f>
        <v>-1307926.6437349543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27730.863249391514</v>
      </c>
      <c r="J371" s="277">
        <f>'Resultater - Vestdanmark'!J371+'Resultater - Østdanmark'!J371</f>
        <v>23372.582151581479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21124.174188288282</v>
      </c>
      <c r="J372" s="277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62749.44904840448</v>
      </c>
      <c r="J378" s="277">
        <f>'Resultater - Vestdanmark'!J378+'Resultater - Østdanmark'!J378</f>
        <v>71881.918849896232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-138048.78790648986</v>
      </c>
      <c r="J379" s="277">
        <f>'Resultater - Vestdanmark'!J379+'Resultater - Østdanmark'!J379</f>
        <v>-158140.22146977176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4327.9381949917406</v>
      </c>
      <c r="J380" s="277">
        <f>'Resultater - Vestdanmark'!J380+'Resultater - Østdanmark'!J380</f>
        <v>4957.8204563960708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1879.1967673858767</v>
      </c>
      <c r="J381" s="277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132315.1133751109</v>
      </c>
      <c r="J387" s="277">
        <f>'Resultater - Vestdanmark'!J387+'Resultater - Østdanmark'!J387</f>
        <v>111519.99955585426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-650990.35780554567</v>
      </c>
      <c r="J388" s="277">
        <f>'Resultater - Vestdanmark'!J388+'Resultater - Østdanmark'!J388</f>
        <v>-548678.39781480306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10663.733996880881</v>
      </c>
      <c r="J389" s="277">
        <f>'Resultater - Vestdanmark'!J389+'Resultater - Østdanmark'!J389</f>
        <v>8987.7836345458745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17295.816260591386</v>
      </c>
      <c r="J390" s="277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11770.69129967027</v>
      </c>
      <c r="J396" s="277">
        <f>'Resultater - Vestdanmark'!J396+'Resultater - Østdanmark'!J396</f>
        <v>13483.78176448056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-57911.801194377731</v>
      </c>
      <c r="J397" s="277">
        <f>'Resultater - Vestdanmark'!J397+'Resultater - Østdanmark'!J397</f>
        <v>-66340.206281244347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1664.2821844842995</v>
      </c>
      <c r="J398" s="277">
        <f>'Resultater - Vestdanmark'!J398+'Resultater - Østdanmark'!J398</f>
        <v>1906.4995588430645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1538.6278164768869</v>
      </c>
      <c r="J399" s="277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2820577.1638659998</v>
      </c>
      <c r="J405" s="277">
        <f>'Resultater - Vestdanmark'!J405+'Resultater - Østdanmark'!J405</f>
        <v>756408.93520499999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-10226893.27</v>
      </c>
      <c r="J406" s="277">
        <f>'Resultater - Vestdanmark'!J406+'Resultater - Østdanmark'!J406</f>
        <v>-2742599.4749999996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402058.92995427921</v>
      </c>
      <c r="J407" s="277">
        <f>'Resultater - Vestdanmark'!J407+'Resultater - Østdanmark'!J407</f>
        <v>107822.24680552162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277067.06700349529</v>
      </c>
      <c r="J408" s="277">
        <f>'Resultater - Vestdanmark'!J408+'Resultater - Østdanmark'!J408</f>
        <v>0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440205.684534</v>
      </c>
      <c r="J414" s="277">
        <f>'Resultater - Vestdanmark'!J414+'Resultater - Østdanmark'!J414</f>
        <v>160450.38019500001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-1596104.7299999997</v>
      </c>
      <c r="J415" s="277">
        <f>'Resultater - Vestdanmark'!J415+'Resultater - Østdanmark'!J415</f>
        <v>-581763.52499999991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62749.081553558033</v>
      </c>
      <c r="J416" s="277">
        <f>'Resultater - Vestdanmark'!J416+'Resultater - Østdanmark'!J416</f>
        <v>22871.385686019737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43241.680977424119</v>
      </c>
      <c r="J417" s="277">
        <f>'Resultater - Vestdanmark'!J417+'Resultater - Østdanmark'!J417</f>
        <v>0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799072.903388076</v>
      </c>
      <c r="J423" s="277">
        <f ca="1">'Resultater - Vestdanmark'!J423+'Resultater - Østdanmark'!J423</f>
        <v>976649.60781058134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865662.31200374907</v>
      </c>
      <c r="J424" s="277">
        <f ca="1">'Resultater - Vestdanmark'!J424+'Resultater - Østdanmark'!J424</f>
        <v>1058037.0751281299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-674720.29971579439</v>
      </c>
      <c r="J425" s="277">
        <f ca="1">'Resultater - Vestdanmark'!J425+'Resultater - Østdanmark'!J425</f>
        <v>-2235512.0604671068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2847477.4061435289</v>
      </c>
      <c r="J426" s="277">
        <f>'Resultater - Vestdanmark'!J426+'Resultater - Østdanmark'!J426</f>
        <v>2301422.7357296459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110852.59347473709</v>
      </c>
      <c r="J427" s="277">
        <f>'Resultater - Vestdanmark'!J427+'Resultater - Østdanmark'!J427</f>
        <v>89594.627998427153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14566.030782580454</v>
      </c>
      <c r="J428" s="277">
        <f>'Resultater - Vestdanmark'!J428+'Resultater - Østdanmark'!J428</f>
        <v>11772.734118993327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1475773.7393712176</v>
      </c>
      <c r="J429" s="277">
        <f>'Resultater - Vestdanmark'!J429+'Resultater - Østdanmark'!J429</f>
        <v>1192767.7562090128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1341030.6671385826</v>
      </c>
      <c r="J430" s="277">
        <f>'Resultater - Vestdanmark'!J430+'Resultater - Østdanmark'!J430</f>
        <v>1074034.4093322253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25692.041925637233</v>
      </c>
      <c r="J431" s="277">
        <f>'Resultater - Vestdanmark'!J431+'Resultater - Østdanmark'!J431</f>
        <v>20576.812857695048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119598.27299699644</v>
      </c>
      <c r="J432" s="277">
        <f>'Resultater - Vestdanmark'!J432+'Resultater - Østdanmark'!J432</f>
        <v>95786.519759140574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118007.66898627006</v>
      </c>
      <c r="J433" s="277">
        <f>'Resultater - Vestdanmark'!J433+'Resultater - Østdanmark'!J433</f>
        <v>94512.601510285618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96656.843782692609</v>
      </c>
      <c r="J434" s="277">
        <f>'Resultater - Vestdanmark'!J434+'Resultater - Østdanmark'!J434</f>
        <v>77065.575498984239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46879.35251534971</v>
      </c>
      <c r="J435" s="277">
        <f>'Resultater - Vestdanmark'!J435+'Resultater - Østdanmark'!J435</f>
        <v>37377.428635447388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6187.9178758774051</v>
      </c>
      <c r="J436" s="277">
        <f>'Resultater - Vestdanmark'!J436+'Resultater - Østdanmark'!J436</f>
        <v>4933.6956761910496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63602.396395094322</v>
      </c>
      <c r="J437" s="277">
        <f>'Resultater - Vestdanmark'!J437+'Resultater - Østdanmark'!J437</f>
        <v>50710.897329963693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5075294445.5135984</v>
      </c>
      <c r="J440" s="274">
        <f>'Resultater - Vestdanmark'!J440+'Resultater - Østdanmark'!J440</f>
        <v>4209735185.7792001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126882361.13783997</v>
      </c>
      <c r="J441" s="277">
        <f>'Resultater - Vestdanmark'!J441+'Resultater - Østdanmark'!J441</f>
        <v>105243379.64447999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67019869.768751383</v>
      </c>
      <c r="J443" s="277">
        <f>'Resultater - Vestdanmark'!J443+'Resultater - Østdanmark'!J443</f>
        <v>55590056.289493054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266452958.38946396</v>
      </c>
      <c r="J444" s="277">
        <f>'Resultater - Vestdanmark'!J444+'Resultater - Østdanmark'!J444</f>
        <v>894568726.97808003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1459147153.0851598</v>
      </c>
      <c r="J445" s="277">
        <f>'Resultater - Vestdanmark'!J445+'Resultater - Østdanmark'!J445</f>
        <v>1210298865.91152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253764722.27567995</v>
      </c>
      <c r="J446" s="277">
        <f>'Resultater - Vestdanmark'!J446+'Resultater - Østdanmark'!J446</f>
        <v>210486759.28895998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126882361.13783997</v>
      </c>
      <c r="J447" s="277">
        <f>'Resultater - Vestdanmark'!J447+'Resultater - Østdanmark'!J447</f>
        <v>105243379.64447999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190323541.70675993</v>
      </c>
      <c r="J448" s="277">
        <f>'Resultater - Vestdanmark'!J448+'Resultater - Østdanmark'!J448</f>
        <v>263108449.1112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1903235417.0675995</v>
      </c>
      <c r="J449" s="277">
        <f>'Resultater - Vestdanmark'!J449+'Resultater - Østdanmark'!J449</f>
        <v>1578650694.6671999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126882361.13783997</v>
      </c>
      <c r="J450" s="277">
        <f>'Resultater - Vestdanmark'!J450+'Resultater - Østdanmark'!J450</f>
        <v>105243379.64447999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315730138.93343997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1368163935.3782399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114194125.02405597</v>
      </c>
      <c r="J453" s="277">
        <f>'Resultater - Vestdanmark'!J453+'Resultater - Østdanmark'!J453</f>
        <v>105243379.64447999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1725600111.4746237</v>
      </c>
      <c r="J454" s="277">
        <f>'Resultater - Vestdanmark'!J454+'Resultater - Østdanmark'!J454</f>
        <v>0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128480000</v>
      </c>
      <c r="J455" s="277">
        <f>'Resultater - Vestdanmark'!J455+'Resultater - Østdanmark'!J455</f>
        <v>40150000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88021578.371011972</v>
      </c>
      <c r="J458" s="277">
        <f>'Resultater - Vestdanmark'!J458+'Resultater - Østdanmark'!J458</f>
        <v>104097982.01806602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-93358.620404001456</v>
      </c>
      <c r="J459" s="283">
        <f>'Resultater - Vestdanmark'!J459+'Resultater - Østdanmark'!J459</f>
        <v>-110409.79005266006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83333418.159881935</v>
      </c>
      <c r="J460" s="277">
        <f>'Resultater - Vestdanmark'!J460+'Resultater - Østdanmark'!J460</f>
        <v>100974266.93596233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-173914.80318264477</v>
      </c>
      <c r="J461" s="283">
        <f>'Resultater - Vestdanmark'!J461+'Resultater - Østdanmark'!J461</f>
        <v>-210730.82262133627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91752.040927535811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77475510.003749698</v>
      </c>
      <c r="J463" s="277">
        <f>'Resultater - Vestdanmark'!J463+'Resultater - Østdanmark'!J463</f>
        <v>101407334.23860788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28470000</v>
      </c>
      <c r="J466" s="277">
        <f ca="1">'Resultater - Vestdanmark'!J466+'Resultater - Østdanmark'!J466</f>
        <v>28470000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61556999.999999985</v>
      </c>
      <c r="J467" s="277">
        <f>'Resultater - Vestdanmark'!J467+'Resultater - Østdanmark'!J467</f>
        <v>61557000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0</v>
      </c>
      <c r="J470" s="277">
        <f>'Resultater - Vestdanmark'!J470+'Resultater - Østdanmark'!J470</f>
        <v>0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8535722.4765455984</v>
      </c>
      <c r="J471" s="277">
        <f>'Resultater - Vestdanmark'!J471+'Resultater - Østdanmark'!J471</f>
        <v>17257522.366702799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50723899.917942718</v>
      </c>
      <c r="J473" s="277">
        <f>'Resultater - Vestdanmark'!J473+'Resultater - Østdanmark'!J473</f>
        <v>79060243.385641724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18912295.010676906</v>
      </c>
      <c r="J474" s="283">
        <f ca="1">'Resultater - Vestdanmark'!J474+'Resultater - Østdanmark'!J474</f>
        <v>23538199.497896835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38876197.113863617</v>
      </c>
      <c r="J475" s="283">
        <f>'Resultater - Vestdanmark'!J475+'Resultater - Østdanmark'!J475</f>
        <v>15325536.241548607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47281372.005606778</v>
      </c>
      <c r="J476" s="283">
        <f>'Resultater - Vestdanmark'!J476+'Resultater - Østdanmark'!J476</f>
        <v>19096788.072995242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16342.602709739203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6843670.0503312228</v>
      </c>
      <c r="J478" s="283">
        <f>'Resultater - Vestdanmark'!J478+'Resultater - Østdanmark'!J478</f>
        <v>2985882.6192478985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103798416.2709509</v>
      </c>
      <c r="J479" s="283">
        <f ca="1">'Resultater - Vestdanmark'!J479+'Resultater - Østdanmark'!J479</f>
        <v>121241064.87152021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202418211.08920357</v>
      </c>
      <c r="J480" s="283">
        <f ca="1">'Resultater - Vestdanmark'!J480+'Resultater - Østdanmark'!J480</f>
        <v>228440928.93160844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3.0910231340632697</v>
      </c>
      <c r="J481" s="287">
        <f>'Resultater - Vestdanmark'!J481+'Resultater - Østdanmark'!J481</f>
        <v>3.2455399152412623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6.6240810463868627</v>
      </c>
      <c r="J482" s="287">
        <f>'Resultater - Vestdanmark'!J482+'Resultater - Østdanmark'!J482</f>
        <v>5.6341600429794019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2.9977325770340291</v>
      </c>
      <c r="J483" s="287">
        <f>'Resultater - Vestdanmark'!J483+'Resultater - Østdanmark'!J483</f>
        <v>2.3000695762941605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41.968994916072248</v>
      </c>
      <c r="J484" s="287">
        <f ca="1">'Resultater - Vestdanmark'!J484+'Resultater - Østdanmark'!J484</f>
        <v>47.006393411269428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17.545322997702911</v>
      </c>
      <c r="J485" s="287">
        <f>'Resultater - Vestdanmark'!J485+'Resultater - Østdanmark'!J485</f>
        <v>17.545322997702911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1.1424523477657529</v>
      </c>
      <c r="J486" s="287">
        <f ca="1">'Resultater - Vestdanmark'!J486+'Resultater - Østdanmark'!J486</f>
        <v>1.2456710905668555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2.3287999999999993</v>
      </c>
      <c r="J487" s="287">
        <f>'Resultater - Vestdanmark'!J487+'Resultater - Østdanmark'!J487</f>
        <v>4.6575999999999995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2.5091999999999994</v>
      </c>
      <c r="J488" s="287">
        <f>'Resultater - Vestdanmark'!J488+'Resultater - Østdanmark'!J488</f>
        <v>5.0183999999999989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21.06685019897591</v>
      </c>
      <c r="J489" s="290">
        <f ca="1">'Resultater - Vestdanmark'!J489+'Resultater - Østdanmark'!J489</f>
        <v>21.295026064407114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369112.32331007993</v>
      </c>
      <c r="J490" s="293">
        <f>'Resultater - Vestdanmark'!J490+'Resultater - Østdanmark'!J490</f>
        <v>497514.15831935994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759937.13622663519</v>
      </c>
      <c r="J491" s="293">
        <f>'Resultater - Vestdanmark'!J491+'Resultater - Østdanmark'!J491</f>
        <v>1024293.8553633883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1078937.9197490355</v>
      </c>
      <c r="J492" s="293">
        <f>'Resultater - Vestdanmark'!J492+'Resultater - Østdanmark'!J492</f>
        <v>1454264.3448179984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295717.9038565564</v>
      </c>
      <c r="J493" s="293">
        <f>'Resultater - Vestdanmark'!J493+'Resultater - Østdanmark'!J493</f>
        <v>251525.00191872334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189259.4584681961</v>
      </c>
      <c r="J494" s="293">
        <f>'Resultater - Vestdanmark'!J494+'Resultater - Østdanmark'!J494</f>
        <v>160976.00122798292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-326333.33333333331</v>
      </c>
      <c r="J495" s="293">
        <f>'Resultater - Vestdanmark'!J495+'Resultater - Østdanmark'!J495</f>
        <v>-652666.66666666663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70000</v>
      </c>
      <c r="J496" s="293">
        <f>'Resultater - Vestdanmark'!J496+'Resultater - Østdanmark'!J496</f>
        <v>140000.00000000003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280000</v>
      </c>
      <c r="J497" s="296">
        <f>'Resultater - Vestdanmark'!J497+'Resultater - Østdanmark'!J497</f>
        <v>560000.00000000012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315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310</v>
      </c>
      <c r="B35" s="189" t="s">
        <v>316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311</v>
      </c>
      <c r="B36" s="189" t="s">
        <v>316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727176.60524954333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55111.238296058225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628625.65421615192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160784.27543959947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34297.95054478239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1.1600721323705458</v>
      </c>
      <c r="S53" s="187">
        <f ca="1">IFERROR(VLOOKUP(A53,[1]Biogasudbytte!$A$2:$B$18,2,FALSE)*[1]Energiindhold!$C$10,0)*J53*IFERROR(VLOOKUP(A53,Biogasanlæg!$F$3:$G$8,2,FALSE),1)</f>
        <v>0.54777755583792598</v>
      </c>
      <c r="T53" s="188">
        <f t="shared" ca="1" si="11"/>
        <v>0.61229457653261987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45019.597123087857</v>
      </c>
      <c r="X53" s="188">
        <f t="shared" ca="1" si="12"/>
        <v>9603.4261525390684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457820219.41578245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457820219.41578245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457820219.41578245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15445153.978132175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12109903.871574569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3335250.1065576058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961158.81391152041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480579.40695576021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480579.40695576021</v>
      </c>
      <c r="O56" s="190">
        <f t="shared" si="1"/>
        <v>480579.40695576021</v>
      </c>
      <c r="P56" s="200">
        <f t="shared" si="10"/>
        <v>480579.40695576021</v>
      </c>
      <c r="Q56" s="187">
        <f>IFERROR(VLOOKUP(A56,[1]Energiindhold!$A$2:$C$11,3,FALSE),IFERROR(VLOOKUP(A56,[1]Biogasudbytte!$A$2:$B$18,2,FALSE)*[1]Energiindhold!$C$10,0))*O56</f>
        <v>0.2729816351908424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0.5459632703816848</v>
      </c>
      <c r="S56" s="187">
        <f>IFERROR(VLOOKUP(A56,[1]Biogasudbytte!$A$2:$B$18,2,FALSE)*[1]Energiindhold!$C$10,0)*J56*IFERROR(VLOOKUP(A56,Biogasanlæg!$F$3:$G$8,2,FALSE),1)</f>
        <v>0.2729816351908424</v>
      </c>
      <c r="T56" s="188">
        <f t="shared" si="11"/>
        <v>0.2729816351908424</v>
      </c>
      <c r="U56" s="186">
        <f>O56*IFERROR(VLOOKUP(A56,[1]Tørstofindhold!A$2:B$24,2,FALSE),0)</f>
        <v>20551.203432269995</v>
      </c>
      <c r="V56" s="187">
        <f>IF(D56=År1,P56,SUM(O56,P56))*IFERROR(VLOOKUP(A56,[1]Tørstofindhold!A$2:B$24,2,FALSE),0)</f>
        <v>41102.406864539989</v>
      </c>
      <c r="W56" s="187">
        <f>J56*IFERROR(VLOOKUP(A56,[1]Tørstofindhold!A$2:B$24,2,FALSE),0)</f>
        <v>20551.203432269995</v>
      </c>
      <c r="X56" s="188">
        <f t="shared" si="12"/>
        <v>20551.203432269995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2276375.06039875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1138187.530199375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430885.27928976336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707302.25090961158</v>
      </c>
      <c r="O57" s="190">
        <f t="shared" si="1"/>
        <v>707302.25090961158</v>
      </c>
      <c r="P57" s="200">
        <f t="shared" si="10"/>
        <v>1138187.530199375</v>
      </c>
      <c r="Q57" s="187">
        <f>IFERROR(VLOOKUP(A57,[1]Energiindhold!$A$2:$C$11,3,FALSE),IFERROR(VLOOKUP(A57,[1]Biogasudbytte!$A$2:$B$18,2,FALSE)*[1]Energiindhold!$C$10,0))*O57</f>
        <v>1.5235290484593034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3.9751849885087571</v>
      </c>
      <c r="S57" s="187">
        <f>IFERROR(VLOOKUP(A57,[1]Biogasudbytte!$A$2:$B$18,2,FALSE)*[1]Energiindhold!$C$10,0)*J57*IFERROR(VLOOKUP(A57,Biogasanlæg!$F$3:$G$8,2,FALSE),1)</f>
        <v>2.451655940049454</v>
      </c>
      <c r="T57" s="188">
        <f t="shared" si="11"/>
        <v>1.5235290484593031</v>
      </c>
      <c r="U57" s="186">
        <f>O57*IFERROR(VLOOKUP(A57,[1]Tørstofindhold!A$2:B$24,2,FALSE),0)</f>
        <v>212190.67527288347</v>
      </c>
      <c r="V57" s="187">
        <f>IF(D57=År1,P57,SUM(O57,P57))*IFERROR(VLOOKUP(A57,[1]Tørstofindhold!A$2:B$24,2,FALSE),0)</f>
        <v>553646.93433269591</v>
      </c>
      <c r="W57" s="187">
        <f>J57*IFERROR(VLOOKUP(A57,[1]Tørstofindhold!A$2:B$24,2,FALSE),0)</f>
        <v>341456.25905981247</v>
      </c>
      <c r="X57" s="188">
        <f t="shared" si="12"/>
        <v>212190.67527288344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676980.81894536456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694117.89226639119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-17137.073321026633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934673.59009641467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934673.59009641467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27051.16059114927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-230872.13378676635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10794528.482848618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10194486.876003446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1966958.8877732051</v>
      </c>
      <c r="N64" s="199">
        <f t="shared" si="9"/>
        <v>-1366917.2809280325</v>
      </c>
      <c r="O64" s="190">
        <f t="shared" si="1"/>
        <v>0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0</v>
      </c>
      <c r="W64" s="187">
        <f>J64*IFERROR(VLOOKUP(A64,[1]Tørstofindhold!A$2:B$24,2,FALSE),0)</f>
        <v>0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328819.25491631991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328819.25491631991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1059391.2530405498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789250.53945525922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2253360.2886747755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594794.43348335079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619528.66726912896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576627.94121745997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102016.78344392357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360392.46326091245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678644.72466138355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4.3789971772247176</v>
      </c>
      <c r="S67" s="187">
        <f>IFERROR(VLOOKUP(A67,[1]Biogasudbytte!$A$2:$B$18,2,FALSE)*[1]Energiindhold!$C$10,0)*J67*IFERROR(VLOOKUP(A67,Biogasanlæg!$F$3:$G$8,2,FALSE),1)</f>
        <v>3.3245714602069145</v>
      </c>
      <c r="T67" s="188">
        <f t="shared" si="11"/>
        <v>1.0544257170178031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576848.01596217602</v>
      </c>
      <c r="W67" s="187">
        <f>J67*IFERROR(VLOOKUP(A67,[1]Tørstofindhold!A$2:B$24,2,FALSE),0)</f>
        <v>490133.75003484095</v>
      </c>
      <c r="X67" s="188">
        <f t="shared" si="12"/>
        <v>86714.265927335073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0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526734.10986839118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9.4033734851313486</v>
      </c>
      <c r="S68" s="187">
        <f>IFERROR(VLOOKUP(A68,[1]Biogasudbytte!$A$2:$B$18,2,FALSE)*[1]Energiindhold!$C$10,0)*J68*IFERROR(VLOOKUP(A68,Biogasanlæg!$F$3:$G$8,2,FALSE),1)</f>
        <v>0</v>
      </c>
      <c r="T68" s="188">
        <f t="shared" si="11"/>
        <v>9.4033734851313486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0</v>
      </c>
      <c r="X68" s="188">
        <f t="shared" si="12"/>
        <v>158020.23296051734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2068314.9750861605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-2068314.9750861605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474738.77277608734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423836.45238569059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50902.320390396751</v>
      </c>
      <c r="O70" s="190">
        <f t="shared" si="20"/>
        <v>50902.320390396751</v>
      </c>
      <c r="P70" s="200">
        <f t="shared" si="10"/>
        <v>423836.45238569059</v>
      </c>
      <c r="Q70" s="187">
        <f>IFERROR(VLOOKUP(A70,[1]Energiindhold!$A$2:$C$11,3,FALSE),IFERROR(VLOOKUP(A70,[1]Biogasudbytte!$A$2:$B$18,2,FALSE)*[1]Energiindhold!$C$10,0))*O70</f>
        <v>0.22056637155323991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1.7816240514403465</v>
      </c>
      <c r="S70" s="187">
        <f>IFERROR(VLOOKUP(A70,[1]Biogasudbytte!$A$2:$B$18,2,FALSE)*[1]Energiindhold!$C$10,0)*J70*IFERROR(VLOOKUP(A70,Biogasanlæg!$F$3:$G$8,2,FALSE),1)</f>
        <v>1.5610576798871065</v>
      </c>
      <c r="T70" s="188">
        <f t="shared" si="11"/>
        <v>0.22056637155323999</v>
      </c>
      <c r="U70" s="186">
        <f>O70*IFERROR(VLOOKUP(A70,[1]Tørstofindhold!A$2:B$24,2,FALSE),0)</f>
        <v>21378.974563966636</v>
      </c>
      <c r="V70" s="187">
        <f>IF(D70=År1,P70,SUM(O70,P70))*IFERROR(VLOOKUP(A70,[1]Tørstofindhold!A$2:B$24,2,FALSE),0)</f>
        <v>199390.28456595668</v>
      </c>
      <c r="W70" s="187">
        <f>J70*IFERROR(VLOOKUP(A70,[1]Tørstofindhold!A$2:B$24,2,FALSE),0)</f>
        <v>178011.31000199003</v>
      </c>
      <c r="X70" s="188">
        <f t="shared" si="12"/>
        <v>21378.974563966651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600779.78805833985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600779.78805833985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1483151.0584480518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1359619.3753512606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4620675.8964980748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5024222.9237584407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-699480.07028344832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1</v>
      </c>
      <c r="Z73" s="103">
        <f t="shared" si="22"/>
        <v>0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834325.2553194433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-834325.2553194433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11035972.204635417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5517986.1023177085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5517986.1023177085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5517986.1023177085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2.7931493851322013</v>
      </c>
      <c r="S75" s="187">
        <f>IFERROR(VLOOKUP(A75,[1]Biogasudbytte!$A$2:$B$18,2,FALSE)*[1]Energiindhold!$C$10,0)*J75*IFERROR(VLOOKUP(A75,Biogasanlæg!$F$3:$G$8,2,FALSE),1)</f>
        <v>2.7931493851322013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419366.94377614581</v>
      </c>
      <c r="W75" s="187">
        <f>J75*IFERROR(VLOOKUP(A75,[1]Tørstofindhold!A$2:B$24,2,FALSE),0)</f>
        <v>419366.94377614581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1377844.7855616636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1173309.8106791691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204534.97488249443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4179524.3810275476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4906538.3992409762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-727014.01821342856</v>
      </c>
      <c r="O77" s="190">
        <f t="shared" si="20"/>
        <v>0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0</v>
      </c>
      <c r="W77" s="187">
        <f>J77*IFERROR(VLOOKUP(A77,[1]Tørstofindhold!A$2:B$24,2,FALSE),0)</f>
        <v>0</v>
      </c>
      <c r="X77" s="188">
        <f t="shared" si="12"/>
        <v>0</v>
      </c>
      <c r="Y77" s="168">
        <f t="shared" si="21"/>
        <v>1</v>
      </c>
      <c r="Z77" s="103">
        <f t="shared" si="22"/>
        <v>0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2658525.3493744554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2186118.4733559573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120246.40306115421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89348.743230521912</v>
      </c>
      <c r="O79" s="190">
        <f t="shared" si="20"/>
        <v>89348.743230521912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8.0190497049393419E-2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8.0190497049393419E-2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8.0190497049393419E-2</v>
      </c>
      <c r="U79" s="186">
        <f>O79*IFERROR(VLOOKUP(A79,[1]Tørstofindhold!A$2:B$24,2,FALSE),0)</f>
        <v>13402.311484578286</v>
      </c>
      <c r="V79" s="187">
        <f>IF(D79=År1,P79,SUM(O79,P79))*IFERROR(VLOOKUP(A79,[1]Tørstofindhold!A$2:B$24,2,FALSE),0)</f>
        <v>13402.311484578286</v>
      </c>
      <c r="W79" s="187">
        <f>J79*IFERROR(VLOOKUP(A79,[1]Tørstofindhold!A$2:B$24,2,FALSE),0)</f>
        <v>0</v>
      </c>
      <c r="X79" s="188">
        <f t="shared" si="12"/>
        <v>13402.311484578286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90242.917760262135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42220.315329140329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1317768.395568013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1317768.395568013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125748.23741197774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125748.23741197774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125748.23741197774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2.3137675683803898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2.3137675683803898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52185.518525970765</v>
      </c>
      <c r="W82" s="187">
        <f>J82*IFERROR(VLOOKUP(A82,[1]Tørstofindhold!A$2:B$24,2,FALSE),0)</f>
        <v>0</v>
      </c>
      <c r="X82" s="188">
        <f t="shared" ref="X82:X149" si="26">V82-W82</f>
        <v>52185.518525970765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201819.779426111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201819.779426111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201819.779426111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1.8085935376285627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1.8085935376285627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50454.944856527749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50454.944856527749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50454.944856527749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1.6785639368840255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1.6785639368840255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4139866.8050626861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4139866.8050626861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447330.59058373148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447330.59058373148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223665.29529186574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224187.19428812375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-521.89899625800899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143145.78898679407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143145.78898679407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143145.78898679407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5.010102614537792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5.010102614537792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1674738.7828463221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1558650.6941574311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116088.08868889092</v>
      </c>
      <c r="O89" s="190">
        <f t="shared" si="20"/>
        <v>116088.08868889092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0.31506771622519752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0.31506771622519752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0.31506771622519752</v>
      </c>
      <c r="U89" s="186">
        <f>O89*IFERROR(VLOOKUP(A89,[1]Tørstofindhold!A$2:B$24,2,FALSE),0)</f>
        <v>23217.617737778186</v>
      </c>
      <c r="V89" s="187">
        <f>IF(D89=År1,P89,SUM(O89,P89))*IFERROR(VLOOKUP(A89,[1]Tørstofindhold!A$2:B$24,2,FALSE),0)</f>
        <v>23217.617737778186</v>
      </c>
      <c r="W89" s="187">
        <f>J89*IFERROR(VLOOKUP(A89,[1]Tørstofindhold!A$2:B$24,2,FALSE),0)</f>
        <v>0</v>
      </c>
      <c r="X89" s="188">
        <f t="shared" si="26"/>
        <v>23217.617737778186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162454.61558289189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162454.61558289189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110239.32855670982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36992.166178085987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73247.162378623834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3955646.8792470703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1977823.4396235351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1977823.4396235351</v>
      </c>
      <c r="O92" s="190">
        <f t="shared" si="20"/>
        <v>1977823.4396235351</v>
      </c>
      <c r="P92" s="200">
        <f t="shared" si="24"/>
        <v>1977823.4396235351</v>
      </c>
      <c r="Q92" s="187">
        <f>IFERROR(VLOOKUP(A92,[1]Energiindhold!$A$2:$C$11,3,FALSE),IFERROR(VLOOKUP(A92,[1]Biogasudbytte!$A$2:$B$18,2,FALSE)*[1]Energiindhold!$C$10,0))*O92</f>
        <v>0.98695367460654038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1.9739073492130808</v>
      </c>
      <c r="S92" s="187">
        <f>IFERROR(VLOOKUP(A92,[1]Biogasudbytte!$A$2:$B$18,2,FALSE)*[1]Energiindhold!$C$10,0)*J92*IFERROR(VLOOKUP(A92,Biogasanlæg!$F$3:$G$8,2,FALSE),1)</f>
        <v>0.98695367460654038</v>
      </c>
      <c r="T92" s="188">
        <f t="shared" si="25"/>
        <v>0.98695367460654038</v>
      </c>
      <c r="U92" s="186">
        <f>O92*IFERROR(VLOOKUP(A92,[1]Tørstofindhold!A$2:B$24,2,FALSE),0)</f>
        <v>118669.4063774121</v>
      </c>
      <c r="V92" s="187">
        <f>IF(D92=År1,P92,SUM(O92,P92))*IFERROR(VLOOKUP(A92,[1]Tørstofindhold!A$2:B$24,2,FALSE),0)</f>
        <v>237338.8127548242</v>
      </c>
      <c r="W92" s="187">
        <f>J92*IFERROR(VLOOKUP(A92,[1]Tørstofindhold!A$2:B$24,2,FALSE),0)</f>
        <v>118669.4063774121</v>
      </c>
      <c r="X92" s="188">
        <f t="shared" si="26"/>
        <v>118669.4063774121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12813608.199498909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6406804.0997494543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6406804.0997494552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6406804.0997494543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2.7600512061720655</v>
      </c>
      <c r="S93" s="187">
        <f>IFERROR(VLOOKUP(A93,[1]Biogasudbytte!$A$2:$B$18,2,FALSE)*[1]Energiindhold!$C$10,0)*J93*IFERROR(VLOOKUP(A93,Biogasanlæg!$F$3:$G$8,2,FALSE),1)</f>
        <v>2.7600512061720655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320340.20498747274</v>
      </c>
      <c r="W93" s="187">
        <f>J93*IFERROR(VLOOKUP(A93,[1]Tørstofindhold!A$2:B$24,2,FALSE),0)</f>
        <v>320340.20498747274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1171311.0719145273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1073810.636675583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83111.484468738956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1488.5155312610441</v>
      </c>
      <c r="O95" s="190">
        <f t="shared" si="20"/>
        <v>1488.5155312610441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1.3359426893067871E-3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1.3359426893067871E-3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1.3359426893067871E-3</v>
      </c>
      <c r="U95" s="186">
        <f>O95*IFERROR(VLOOKUP(A95,[1]Tørstofindhold!A$2:B$24,2,FALSE),0)</f>
        <v>223.2773296891566</v>
      </c>
      <c r="V95" s="187">
        <f>IF(D95=År1,P95,SUM(O95,P95))*IFERROR(VLOOKUP(A95,[1]Tørstofindhold!A$2:B$24,2,FALSE),0)</f>
        <v>223.2773296891566</v>
      </c>
      <c r="W95" s="187">
        <f>J95*IFERROR(VLOOKUP(A95,[1]Tørstofindhold!A$2:B$24,2,FALSE),0)</f>
        <v>0</v>
      </c>
      <c r="X95" s="188">
        <f t="shared" si="26"/>
        <v>223.2773296891566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2245425.4149825461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2245425.4149825461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2245425.4149825461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32.54422796360155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32.54422796360155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1110549.9864934508</v>
      </c>
      <c r="W97" s="187">
        <f>J97*IFERROR(VLOOKUP(A97,[1]Tørstofindhold!A$2:B$24,2,FALSE),0)</f>
        <v>0</v>
      </c>
      <c r="X97" s="188">
        <f t="shared" ca="1" si="26"/>
        <v>1110549.9864934508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619954.02327913279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619954.02327913279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607983.4991327466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45724.00111692449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471992.91431863594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160218.91589496989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37265.218904879293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1.2111183323928199</v>
      </c>
      <c r="S101" s="187">
        <f ca="1">IFERROR(VLOOKUP(A101,[1]Biogasudbytte!$A$2:$B$18,2,FALSE)*[1]Energiindhold!$C$10,0)*J101*IFERROR(VLOOKUP(A101,Biogasanlæg!$F$3:$G$8,2,FALSE),1)</f>
        <v>0.54585142675173193</v>
      </c>
      <c r="T101" s="188">
        <f t="shared" ca="1" si="25"/>
        <v>0.66526690564108792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44861.296450591573</v>
      </c>
      <c r="X101" s="188">
        <f t="shared" ca="1" si="26"/>
        <v>10434.261293366202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466482738.63204789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466482738.63204789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466482738.63204789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18989693.857730396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13973217.723939186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5016476.1337912101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1295843.5623004357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971882.6717253268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323960.89057510893</v>
      </c>
      <c r="O104" s="190">
        <f t="shared" si="20"/>
        <v>323960.89057510893</v>
      </c>
      <c r="P104" s="200">
        <f t="shared" si="24"/>
        <v>971882.6717253268</v>
      </c>
      <c r="Q104" s="187">
        <f>IFERROR(VLOOKUP(A104,[1]Energiindhold!$A$2:$C$11,3,FALSE),IFERROR(VLOOKUP(A104,[1]Biogasudbytte!$A$2:$B$18,2,FALSE)*[1]Energiindhold!$C$10,0))*O104</f>
        <v>0.18401823375510495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0.73607293502041982</v>
      </c>
      <c r="S104" s="187">
        <f>IFERROR(VLOOKUP(A104,[1]Biogasudbytte!$A$2:$B$18,2,FALSE)*[1]Energiindhold!$C$10,0)*J104*IFERROR(VLOOKUP(A104,Biogasanlæg!$F$3:$G$8,2,FALSE),1)</f>
        <v>0.55205470126531486</v>
      </c>
      <c r="T104" s="188">
        <f t="shared" si="25"/>
        <v>0.18401823375510495</v>
      </c>
      <c r="U104" s="186">
        <f>O104*IFERROR(VLOOKUP(A104,[1]Tørstofindhold!A$2:B$24,2,FALSE),0)</f>
        <v>13853.665117451248</v>
      </c>
      <c r="V104" s="187">
        <f>IF(D104=År1,P104,SUM(O104,P104))*IFERROR(VLOOKUP(A104,[1]Tørstofindhold!A$2:B$24,2,FALSE),0)</f>
        <v>55414.660469804992</v>
      </c>
      <c r="W104" s="187">
        <f>J104*IFERROR(VLOOKUP(A104,[1]Tørstofindhold!A$2:B$24,2,FALSE),0)</f>
        <v>41560.995352353741</v>
      </c>
      <c r="X104" s="188">
        <f t="shared" si="26"/>
        <v>13853.665117451252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1986073.4791876497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1489555.1093907373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187967.66856597396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308550.70123093855</v>
      </c>
      <c r="O105" s="190">
        <f t="shared" si="20"/>
        <v>308550.70123093855</v>
      </c>
      <c r="P105" s="200">
        <f t="shared" si="24"/>
        <v>1489555.1093907373</v>
      </c>
      <c r="Q105" s="187">
        <f>IFERROR(VLOOKUP(A105,[1]Energiindhold!$A$2:$C$11,3,FALSE),IFERROR(VLOOKUP(A105,[1]Biogasudbytte!$A$2:$B$18,2,FALSE)*[1]Energiindhold!$C$10,0))*O105</f>
        <v>0.66461821045144165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3.8731199160790895</v>
      </c>
      <c r="S105" s="187">
        <f>IFERROR(VLOOKUP(A105,[1]Biogasudbytte!$A$2:$B$18,2,FALSE)*[1]Energiindhold!$C$10,0)*J105*IFERROR(VLOOKUP(A105,Biogasanlæg!$F$3:$G$8,2,FALSE),1)</f>
        <v>3.2085017056276479</v>
      </c>
      <c r="T105" s="188">
        <f t="shared" si="25"/>
        <v>0.66461821045144154</v>
      </c>
      <c r="U105" s="186">
        <f>O105*IFERROR(VLOOKUP(A105,[1]Tørstofindhold!A$2:B$24,2,FALSE),0)</f>
        <v>92565.210369281558</v>
      </c>
      <c r="V105" s="187">
        <f>IF(D105=År1,P105,SUM(O105,P105))*IFERROR(VLOOKUP(A105,[1]Tørstofindhold!A$2:B$24,2,FALSE),0)</f>
        <v>539431.74318650272</v>
      </c>
      <c r="W105" s="187">
        <f>J105*IFERROR(VLOOKUP(A105,[1]Tørstofindhold!A$2:B$24,2,FALSE),0)</f>
        <v>446866.53281722119</v>
      </c>
      <c r="X105" s="188">
        <f t="shared" si="26"/>
        <v>92565.210369281529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912712.05479678826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909295.30878800887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3416.7460087793879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6461.6487918618159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2153.8829306206053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6461.6487918618159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3.0388488103246934E-3</v>
      </c>
      <c r="S107" s="187">
        <f>IFERROR(VLOOKUP(A107,[1]Biogasudbytte!$A$2:$B$18,2,FALSE)*[1]Energiindhold!$C$10,0)*J107*IFERROR(VLOOKUP(A107,Biogasanlæg!$F$3:$G$8,2,FALSE),1)</f>
        <v>3.0388488103246934E-3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407.08387388729443</v>
      </c>
      <c r="W107" s="187">
        <f>J107*IFERROR(VLOOKUP(A107,[1]Tørstofindhold!A$2:B$24,2,FALSE),0)</f>
        <v>407.08387388729443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745200.56894188409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745200.56894188409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22253.038843092927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-245725.88150792854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9332872.9907836542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8458034.0365568101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2651872.9008556642</v>
      </c>
      <c r="N112" s="199">
        <f t="shared" si="23"/>
        <v>-1777033.9466288202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443317.28375843994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443317.28375843994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1161598.8495775687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880926.19089413038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1984585.7461565437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493481.5870918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510108.16462498211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174056.00966953213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110715.94609210105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696224.03867812862</v>
      </c>
      <c r="N115" s="199">
        <f t="shared" si="23"/>
        <v>0</v>
      </c>
      <c r="O115" s="190">
        <f t="shared" si="20"/>
        <v>0</v>
      </c>
      <c r="P115" s="200">
        <f t="shared" si="24"/>
        <v>284771.95576163317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2.1478654634520709</v>
      </c>
      <c r="S115" s="187">
        <f>IFERROR(VLOOKUP(A115,[1]Biogasudbytte!$A$2:$B$18,2,FALSE)*[1]Energiindhold!$C$10,0)*J115*IFERROR(VLOOKUP(A115,Biogasanlæg!$F$3:$G$8,2,FALSE),1)</f>
        <v>1.0035268859900743</v>
      </c>
      <c r="T115" s="188">
        <f t="shared" si="25"/>
        <v>1.1443385774619965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242056.16239738819</v>
      </c>
      <c r="W115" s="187">
        <f>J115*IFERROR(VLOOKUP(A115,[1]Tørstofindhold!A$2:B$24,2,FALSE),0)</f>
        <v>147947.60821910232</v>
      </c>
      <c r="X115" s="188">
        <f t="shared" si="26"/>
        <v>94108.554178285878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0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524881.97503939818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9.3703087657301456</v>
      </c>
      <c r="S116" s="187">
        <f>IFERROR(VLOOKUP(A116,[1]Biogasudbytte!$A$2:$B$18,2,FALSE)*[1]Energiindhold!$C$10,0)*J116*IFERROR(VLOOKUP(A116,Biogasanlæg!$F$3:$G$8,2,FALSE),1)</f>
        <v>0</v>
      </c>
      <c r="T116" s="188">
        <f t="shared" si="25"/>
        <v>9.3703087657301456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0</v>
      </c>
      <c r="X116" s="188">
        <f t="shared" si="26"/>
        <v>157464.59251181944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423858.34660336585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412791.92061072221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11066.425992643635</v>
      </c>
      <c r="O118" s="190">
        <f t="shared" si="20"/>
        <v>11066.425992643635</v>
      </c>
      <c r="P118" s="200">
        <f t="shared" si="24"/>
        <v>412791.92061072221</v>
      </c>
      <c r="Q118" s="187">
        <f>IFERROR(VLOOKUP(A118,[1]Energiindhold!$A$2:$C$11,3,FALSE),IFERROR(VLOOKUP(A118,[1]Biogasudbytte!$A$2:$B$18,2,FALSE)*[1]Energiindhold!$C$10,0))*O118</f>
        <v>4.7952262461503921E-2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1.5683311591740519</v>
      </c>
      <c r="S118" s="187">
        <f>IFERROR(VLOOKUP(A118,[1]Biogasudbytte!$A$2:$B$18,2,FALSE)*[1]Energiindhold!$C$10,0)*J118*IFERROR(VLOOKUP(A118,Biogasanlæg!$F$3:$G$8,2,FALSE),1)</f>
        <v>1.520378896712548</v>
      </c>
      <c r="T118" s="188">
        <f t="shared" si="25"/>
        <v>4.7952262461503858E-2</v>
      </c>
      <c r="U118" s="186">
        <f>O118*IFERROR(VLOOKUP(A118,[1]Tørstofindhold!A$2:B$24,2,FALSE),0)</f>
        <v>4647.898916910327</v>
      </c>
      <c r="V118" s="187">
        <f>IF(D118=År1,P118,SUM(O118,P118))*IFERROR(VLOOKUP(A118,[1]Tørstofindhold!A$2:B$24,2,FALSE),0)</f>
        <v>178020.50557341365</v>
      </c>
      <c r="W118" s="187">
        <f>J118*IFERROR(VLOOKUP(A118,[1]Tørstofindhold!A$2:B$24,2,FALSE),0)</f>
        <v>173372.60665650331</v>
      </c>
      <c r="X118" s="188">
        <f t="shared" si="26"/>
        <v>4647.8989169103443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489757.41882038367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489757.41882038367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1200677.4719421556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1072329.673247719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3780840.3396516475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4168434.2736686366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-695064.4847355294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1</v>
      </c>
      <c r="Z121" s="103">
        <f t="shared" si="22"/>
        <v>0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955150.82029111753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-955150.82029111753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8914784.5517848767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6686088.4138386576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2228696.1379462192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6686088.4138386576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3.3844310942009903</v>
      </c>
      <c r="S123" s="187">
        <f>IFERROR(VLOOKUP(A123,[1]Biogasudbytte!$A$2:$B$18,2,FALSE)*[1]Energiindhold!$C$10,0)*J123*IFERROR(VLOOKUP(A123,Biogasanlæg!$F$3:$G$8,2,FALSE),1)</f>
        <v>3.3844310942009903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508142.71945173794</v>
      </c>
      <c r="W123" s="187">
        <f>J123*IFERROR(VLOOKUP(A123,[1]Tørstofindhold!A$2:B$24,2,FALSE),0)</f>
        <v>508142.71945173794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1113618.4290546447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973456.97089571541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140161.45815892925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3376366.5569012994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4070795.253083135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-694428.69618183561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2148705.6119789877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1657881.0631255377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166274.21308452127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43320.933207154856</v>
      </c>
      <c r="O127" s="190">
        <f t="shared" si="20"/>
        <v>43320.933207154856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3.8880537553421489E-2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3.8880537553421489E-2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3.8880537553421489E-2</v>
      </c>
      <c r="U127" s="186">
        <f>O127*IFERROR(VLOOKUP(A127,[1]Tørstofindhold!A$2:B$24,2,FALSE),0)</f>
        <v>6498.1399810732282</v>
      </c>
      <c r="V127" s="187">
        <f>IF(D127=År1,P127,SUM(O127,P127))*IFERROR(VLOOKUP(A127,[1]Tørstofindhold!A$2:B$24,2,FALSE),0)</f>
        <v>6498.1399810732282</v>
      </c>
      <c r="W127" s="187">
        <f>J127*IFERROR(VLOOKUP(A127,[1]Tørstofindhold!A$2:B$24,2,FALSE),0)</f>
        <v>0</v>
      </c>
      <c r="X127" s="188">
        <f t="shared" si="26"/>
        <v>6498.1399810732282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71951.681016377275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34530.540412412527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1075904.2363814465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1075904.2363814465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91869.864613650177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91869.864613650177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91869.864613650177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1.6904055088911629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1.6904055088911629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38125.993814664827</v>
      </c>
      <c r="W130" s="187">
        <f>J130*IFERROR(VLOOKUP(A130,[1]Tørstofindhold!A$2:B$24,2,FALSE),0)</f>
        <v>0</v>
      </c>
      <c r="X130" s="188">
        <f t="shared" si="26"/>
        <v>38125.993814664827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389885.46165975207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389885.46165975207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389885.46165975207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3.4939307157023198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3.4939307157023198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97471.365414938016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97471.365414938016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97471.365414938016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3.2427330825472511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3.2427330825472511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3345973.3754191101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3345973.3754191101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369709.90203897492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369709.90203897492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184854.95101948746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186000.82014059028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-1145.8691211028199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118307.16865247197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118307.16865247197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118307.16865247197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4.1407509028365181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4.1407509028365181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4196120.6064453982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5234226.1839023503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-1038105.5774569521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1</v>
      </c>
      <c r="Z137" s="103">
        <f t="shared" si="44"/>
        <v>0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129897.01320275277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129897.01320275277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88270.173787223903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34101.329519879997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54168.844267343906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4085982.8830471574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3064487.162285368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1021495.7207617895</v>
      </c>
      <c r="O140" s="190">
        <f t="shared" si="39"/>
        <v>1021495.7207617895</v>
      </c>
      <c r="P140" s="200">
        <f t="shared" si="24"/>
        <v>3064487.162285368</v>
      </c>
      <c r="Q140" s="187">
        <f>IFERROR(VLOOKUP(A140,[1]Energiindhold!$A$2:$C$11,3,FALSE),IFERROR(VLOOKUP(A140,[1]Biogasudbytte!$A$2:$B$18,2,FALSE)*[1]Energiindhold!$C$10,0))*O140</f>
        <v>0.50973657961734065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2.0389463184693621</v>
      </c>
      <c r="S140" s="187">
        <f>IFERROR(VLOOKUP(A140,[1]Biogasudbytte!$A$2:$B$18,2,FALSE)*[1]Energiindhold!$C$10,0)*J140*IFERROR(VLOOKUP(A140,Biogasanlæg!$F$3:$G$8,2,FALSE),1)</f>
        <v>1.5292097388520216</v>
      </c>
      <c r="T140" s="188">
        <f t="shared" si="25"/>
        <v>0.50973657961734054</v>
      </c>
      <c r="U140" s="186">
        <f>O140*IFERROR(VLOOKUP(A140,[1]Tørstofindhold!A$2:B$24,2,FALSE),0)</f>
        <v>61289.743245707366</v>
      </c>
      <c r="V140" s="187">
        <f>IF(D140=År1,P140,SUM(O140,P140))*IFERROR(VLOOKUP(A140,[1]Tørstofindhold!A$2:B$24,2,FALSE),0)</f>
        <v>245158.97298282944</v>
      </c>
      <c r="W140" s="187">
        <f>J140*IFERROR(VLOOKUP(A140,[1]Tørstofindhold!A$2:B$24,2,FALSE),0)</f>
        <v>183869.22973712208</v>
      </c>
      <c r="X140" s="188">
        <f t="shared" si="26"/>
        <v>61289.743245707359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10102604.237305691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7576953.1779792681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2525651.0593264229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7576953.1779792681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3.2641514290734692</v>
      </c>
      <c r="S141" s="187">
        <f>IFERROR(VLOOKUP(A141,[1]Biogasudbytte!$A$2:$B$18,2,FALSE)*[1]Energiindhold!$C$10,0)*J141*IFERROR(VLOOKUP(A141,Biogasanlæg!$F$3:$G$8,2,FALSE),1)</f>
        <v>3.2641514290734692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378847.65889896342</v>
      </c>
      <c r="W141" s="187">
        <f>J141*IFERROR(VLOOKUP(A141,[1]Tørstofindhold!A$2:B$24,2,FALSE),0)</f>
        <v>378847.65889896342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938105.61241848918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862129.35725286382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68954.894249757344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15645.105750242656</v>
      </c>
      <c r="O143" s="190">
        <f t="shared" si="39"/>
        <v>15645.105750242656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1.4041482410842784E-2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1.4041482410842784E-2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1.4041482410842784E-2</v>
      </c>
      <c r="U143" s="186">
        <f>O143*IFERROR(VLOOKUP(A143,[1]Tørstofindhold!A$2:B$24,2,FALSE),0)</f>
        <v>2346.7658625363983</v>
      </c>
      <c r="V143" s="187">
        <f>IF(D143=År1,P143,SUM(O143,P143))*IFERROR(VLOOKUP(A143,[1]Tørstofindhold!A$2:B$24,2,FALSE),0)</f>
        <v>2346.7658625363983</v>
      </c>
      <c r="W143" s="187">
        <f>J143*IFERROR(VLOOKUP(A143,[1]Tørstofindhold!A$2:B$24,2,FALSE),0)</f>
        <v>0</v>
      </c>
      <c r="X143" s="188">
        <f t="shared" si="26"/>
        <v>2346.7658625363983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2583381.268758419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2583381.268758419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2583381.268758419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37.44241441572251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37.44241441572251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1277697.3191734347</v>
      </c>
      <c r="W145" s="187">
        <f>J145*IFERROR(VLOOKUP(A145,[1]Tørstofindhold!A$2:B$24,2,FALSE),0)</f>
        <v>0</v>
      </c>
      <c r="X145" s="188">
        <f t="shared" ca="1" si="26"/>
        <v>1277697.3191734347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785631.25546720112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785631.25546720112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310</v>
      </c>
      <c r="B179" s="189" t="s">
        <v>316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311</v>
      </c>
      <c r="B180" s="189" t="s">
        <v>316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234490.9983006705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6753.2568750969058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190125.28792606888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139215.72456040053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29697.021197961469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1.0044532153952073</v>
      </c>
      <c r="S197" s="187">
        <f ca="1">IFERROR(VLOOKUP(A197,[1]Biogasudbytte!$A$2:$B$18,2,FALSE)*[1]Energiindhold!$C$10,0)*J197*IFERROR(VLOOKUP(A197,Biogasanlæg!$F$3:$G$8,2,FALSE),1)</f>
        <v>0.47429544416207425</v>
      </c>
      <c r="T197" s="188">
        <f t="shared" ca="1" si="50"/>
        <v>0.53015777123313301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38980.402876912151</v>
      </c>
      <c r="X197" s="188">
        <f t="shared" ca="1" si="51"/>
        <v>8315.1659354292133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129267393.81214702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129267393.81214702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129267393.81214702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3467141.0325447312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2718441.3099898444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748699.72255488671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117779.10583751521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58889.552918757603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58889.552918757603</v>
      </c>
      <c r="O200" s="190">
        <f t="shared" si="59"/>
        <v>58889.552918757603</v>
      </c>
      <c r="P200" s="200">
        <f t="shared" si="49"/>
        <v>58889.552918757603</v>
      </c>
      <c r="Q200" s="187">
        <f>IFERROR(VLOOKUP(A200,[1]Energiindhold!$A$2:$C$11,3,FALSE),IFERROR(VLOOKUP(A200,[1]Biogasudbytte!$A$2:$B$18,2,FALSE)*[1]Energiindhold!$C$10,0))*O200</f>
        <v>3.3450801717144638E-2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6.6901603434289275E-2</v>
      </c>
      <c r="S200" s="187">
        <f>IFERROR(VLOOKUP(A200,[1]Biogasudbytte!$A$2:$B$18,2,FALSE)*[1]Energiindhold!$C$10,0)*J200*IFERROR(VLOOKUP(A200,Biogasanlæg!$F$3:$G$8,2,FALSE),1)</f>
        <v>3.3450801717144638E-2</v>
      </c>
      <c r="T200" s="188">
        <f t="shared" si="50"/>
        <v>3.3450801717144638E-2</v>
      </c>
      <c r="U200" s="186">
        <f>O200*IFERROR(VLOOKUP(A200,[1]Tørstofindhold!A$2:B$24,2,FALSE),0)</f>
        <v>2518.3167746100003</v>
      </c>
      <c r="V200" s="187">
        <f>IF(D200=År1,P200,SUM(O200,P200))*IFERROR(VLOOKUP(A200,[1]Tørstofindhold!A$2:B$24,2,FALSE),0)</f>
        <v>5036.6335492200005</v>
      </c>
      <c r="W200" s="187">
        <f>J200*IFERROR(VLOOKUP(A200,[1]Tørstofindhold!A$2:B$24,2,FALSE),0)</f>
        <v>2518.3167746100003</v>
      </c>
      <c r="X200" s="188">
        <f t="shared" si="51"/>
        <v>2518.3167746100003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306141.93972624006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153070.96986312003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57948.295733895437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95122.674129224586</v>
      </c>
      <c r="O201" s="190">
        <f t="shared" si="59"/>
        <v>95122.674129224586</v>
      </c>
      <c r="P201" s="200">
        <f t="shared" si="49"/>
        <v>153070.96986312003</v>
      </c>
      <c r="Q201" s="187">
        <f>IFERROR(VLOOKUP(A201,[1]Energiindhold!$A$2:$C$11,3,FALSE),IFERROR(VLOOKUP(A201,[1]Biogasudbytte!$A$2:$B$18,2,FALSE)*[1]Energiindhold!$C$10,0))*O201</f>
        <v>0.20489424007434975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0.53460910915951032</v>
      </c>
      <c r="S201" s="187">
        <f>IFERROR(VLOOKUP(A201,[1]Biogasudbytte!$A$2:$B$18,2,FALSE)*[1]Energiindhold!$C$10,0)*J201*IFERROR(VLOOKUP(A201,Biogasanlæg!$F$3:$G$8,2,FALSE),1)</f>
        <v>0.32971486908516057</v>
      </c>
      <c r="T201" s="188">
        <f t="shared" si="50"/>
        <v>0.20489424007434975</v>
      </c>
      <c r="U201" s="186">
        <f>O201*IFERROR(VLOOKUP(A201,[1]Tørstofindhold!A$2:B$24,2,FALSE),0)</f>
        <v>28536.802238767374</v>
      </c>
      <c r="V201" s="187">
        <f>IF(D201=År1,P201,SUM(O201,P201))*IFERROR(VLOOKUP(A201,[1]Tørstofindhold!A$2:B$24,2,FALSE),0)</f>
        <v>74458.093197703376</v>
      </c>
      <c r="W201" s="187">
        <f>J201*IFERROR(VLOOKUP(A201,[1]Tørstofindhold!A$2:B$24,2,FALSE),0)</f>
        <v>45921.290958936006</v>
      </c>
      <c r="X201" s="188">
        <f t="shared" si="51"/>
        <v>28536.80223876737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82956.317281270603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85056.271152794114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-2099.9538715235103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303347.80329829425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303347.80329829425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8757.5019871599998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-214566.44066614928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3173668.3039375409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1249218.6841023962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241028.49151254582</v>
      </c>
      <c r="N208" s="199">
        <f t="shared" si="48"/>
        <v>1683421.1283225988</v>
      </c>
      <c r="O208" s="190">
        <f t="shared" si="59"/>
        <v>316503.84739456628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0.58232751622507772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0.58232751622507772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0.58232751622507772</v>
      </c>
      <c r="U208" s="186">
        <f>O208*IFERROR(VLOOKUP(A208,[1]Tørstofindhold!A$2:B$24,2,FALSE),0)</f>
        <v>88621.077270478563</v>
      </c>
      <c r="V208" s="187">
        <f>IF(D208=År1,P208,SUM(O208,P208))*IFERROR(VLOOKUP(A208,[1]Tørstofindhold!A$2:B$24,2,FALSE),0)</f>
        <v>88621.077270478563</v>
      </c>
      <c r="W208" s="187">
        <f>J208*IFERROR(VLOOKUP(A208,[1]Tørstofindhold!A$2:B$24,2,FALSE),0)</f>
        <v>0</v>
      </c>
      <c r="X208" s="188">
        <f t="shared" si="51"/>
        <v>88621.077270478563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40293.068393760004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40293.068393760004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344573.5889961003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110671.14379605532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721034.83397446794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72885.308357843693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88127.0144073915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223372.05878254003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197042.91568760504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139607.53673908752</v>
      </c>
      <c r="N211" s="199">
        <f t="shared" si="48"/>
        <v>0</v>
      </c>
      <c r="O211" s="190">
        <f t="shared" si="59"/>
        <v>0</v>
      </c>
      <c r="P211" s="200">
        <f t="shared" si="49"/>
        <v>420414.97447014507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3.3244579568385526</v>
      </c>
      <c r="S211" s="187">
        <f>IFERROR(VLOOKUP(A211,[1]Biogasudbytte!$A$2:$B$18,2,FALSE)*[1]Energiindhold!$C$10,0)*J211*IFERROR(VLOOKUP(A211,Biogasanlæg!$F$3:$G$8,2,FALSE),1)</f>
        <v>1.287860539793086</v>
      </c>
      <c r="T211" s="188">
        <f t="shared" si="50"/>
        <v>2.0365974170454666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357352.7282996233</v>
      </c>
      <c r="W211" s="187">
        <f>J211*IFERROR(VLOOKUP(A211,[1]Tørstofindhold!A$2:B$24,2,FALSE),0)</f>
        <v>189866.24996515902</v>
      </c>
      <c r="X211" s="188">
        <f t="shared" si="51"/>
        <v>167486.47833446428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0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456074.89013160887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8.1419495125715642</v>
      </c>
      <c r="S212" s="187">
        <f>IFERROR(VLOOKUP(A212,[1]Biogasudbytte!$A$2:$B$18,2,FALSE)*[1]Energiindhold!$C$10,0)*J212*IFERROR(VLOOKUP(A212,Biogasanlæg!$F$3:$G$8,2,FALSE),1)</f>
        <v>0</v>
      </c>
      <c r="T212" s="188">
        <f t="shared" si="50"/>
        <v>8.1419495125715642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0</v>
      </c>
      <c r="X212" s="188">
        <f t="shared" si="51"/>
        <v>136822.46703948267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253448.52986846305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-253448.52986846305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197320.60782302488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176163.54761430927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21157.060208715615</v>
      </c>
      <c r="O214" s="190">
        <f t="shared" si="59"/>
        <v>21157.060208715615</v>
      </c>
      <c r="P214" s="200">
        <f t="shared" si="49"/>
        <v>176163.54761430927</v>
      </c>
      <c r="Q214" s="187">
        <f>IFERROR(VLOOKUP(A214,[1]Energiindhold!$A$2:$C$11,3,FALSE),IFERROR(VLOOKUP(A214,[1]Biogasudbytte!$A$2:$B$18,2,FALSE)*[1]Energiindhold!$C$10,0))*O214</f>
        <v>9.1676292302191903E-2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0.74051491241508505</v>
      </c>
      <c r="S214" s="187">
        <f>IFERROR(VLOOKUP(A214,[1]Biogasudbytte!$A$2:$B$18,2,FALSE)*[1]Energiindhold!$C$10,0)*J214*IFERROR(VLOOKUP(A214,Biogasanlæg!$F$3:$G$8,2,FALSE),1)</f>
        <v>0.64883862011289317</v>
      </c>
      <c r="T214" s="188">
        <f t="shared" si="50"/>
        <v>9.1676292302191875E-2</v>
      </c>
      <c r="U214" s="186">
        <f>O214*IFERROR(VLOOKUP(A214,[1]Tørstofindhold!A$2:B$24,2,FALSE),0)</f>
        <v>8885.9652876605578</v>
      </c>
      <c r="V214" s="187">
        <f>IF(D214=År1,P214,SUM(O214,P214))*IFERROR(VLOOKUP(A214,[1]Tørstofindhold!A$2:B$24,2,FALSE),0)</f>
        <v>82874.655285670451</v>
      </c>
      <c r="W214" s="187">
        <f>J214*IFERROR(VLOOKUP(A214,[1]Tørstofindhold!A$2:B$24,2,FALSE),0)</f>
        <v>73988.689998009882</v>
      </c>
      <c r="X214" s="188">
        <f t="shared" si="51"/>
        <v>8885.9652876605687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190343.70675886245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190343.70675886245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463859.66299016302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356899.24835094647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1473133.2886241353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615661.50663535297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601236.94252340635</v>
      </c>
      <c r="O217" s="190">
        <f t="shared" si="59"/>
        <v>0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0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0</v>
      </c>
      <c r="U217" s="186">
        <f>O217*IFERROR(VLOOKUP(A217,[1]Tørstofindhold!A$2:B$24,2,FALSE),0)</f>
        <v>0</v>
      </c>
      <c r="V217" s="187">
        <f>IF(D217=År1,P217,SUM(O217,P217))*IFERROR(VLOOKUP(A217,[1]Tørstofindhold!A$2:B$24,2,FALSE),0)</f>
        <v>0</v>
      </c>
      <c r="W217" s="187">
        <f>J217*IFERROR(VLOOKUP(A217,[1]Tørstofindhold!A$2:B$24,2,FALSE),0)</f>
        <v>0</v>
      </c>
      <c r="X217" s="188">
        <f t="shared" si="65"/>
        <v>0</v>
      </c>
      <c r="Y217" s="168">
        <f t="shared" si="60"/>
        <v>1</v>
      </c>
      <c r="Z217" s="103">
        <f t="shared" si="61"/>
        <v>0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430788.56398807897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-430788.56398807897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784370.79676627764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392185.39838313882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392185.39838313882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392185.39838313882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0.19852032680756107</v>
      </c>
      <c r="S219" s="187">
        <f>IFERROR(VLOOKUP(A219,[1]Biogasudbytte!$A$2:$B$18,2,FALSE)*[1]Energiindhold!$C$10,0)*J219*IFERROR(VLOOKUP(A219,Biogasanlæg!$F$3:$G$8,2,FALSE),1)</f>
        <v>0.19852032680756107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29806.09027711855</v>
      </c>
      <c r="W219" s="187">
        <f>J219*IFERROR(VLOOKUP(A219,[1]Tørstofindhold!A$2:B$24,2,FALSE),0)</f>
        <v>29806.09027711855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97928.953809553946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143775.80309521878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-45846.849285664837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1290222.2157088669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601240.60358794441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688981.61212092254</v>
      </c>
      <c r="O221" s="190">
        <f t="shared" si="59"/>
        <v>0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0</v>
      </c>
      <c r="W221" s="187">
        <f>J221*IFERROR(VLOOKUP(A221,[1]Tørstofindhold!A$2:B$24,2,FALSE),0)</f>
        <v>0</v>
      </c>
      <c r="X221" s="188">
        <f t="shared" si="65"/>
        <v>0</v>
      </c>
      <c r="Y221" s="168">
        <f t="shared" si="60"/>
        <v>1</v>
      </c>
      <c r="Z221" s="103">
        <f t="shared" si="61"/>
        <v>0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188952.05676907348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-220083.37503804039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14734.832191867023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55130.216572025005</v>
      </c>
      <c r="O223" s="190">
        <f t="shared" si="59"/>
        <v>55130.216572025005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4.9479369373392444E-2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4.9479369373392444E-2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4.9479369373392444E-2</v>
      </c>
      <c r="U223" s="186">
        <f>O223*IFERROR(VLOOKUP(A223,[1]Tørstofindhold!A$2:B$24,2,FALSE),0)</f>
        <v>8269.5324858037511</v>
      </c>
      <c r="V223" s="187">
        <f>IF(D223=År1,P223,SUM(O223,P223))*IFERROR(VLOOKUP(A223,[1]Tørstofindhold!A$2:B$24,2,FALSE),0)</f>
        <v>8269.5324858037511</v>
      </c>
      <c r="W223" s="187">
        <f>J223*IFERROR(VLOOKUP(A223,[1]Tørstofindhold!A$2:B$24,2,FALSE),0)</f>
        <v>0</v>
      </c>
      <c r="X223" s="188">
        <f t="shared" si="65"/>
        <v>8269.5324858037511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6413.9260224304726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-35166.641321271993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419046.55891779787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419046.55891779787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37172.011339871715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37172.011339871715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37172.011339871715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0.68396500865363941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0.68396500865363941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15426.384706046763</v>
      </c>
      <c r="W226" s="187">
        <f>J226*IFERROR(VLOOKUP(A226,[1]Tørstofindhold!A$2:B$24,2,FALSE),0)</f>
        <v>0</v>
      </c>
      <c r="X226" s="188">
        <f t="shared" si="65"/>
        <v>15426.384706046763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78180.220573889019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78180.220573889019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78180.220573889019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0.70060646237143664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0.70060646237143664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19545.055143472255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19545.055143472255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19545.055143472255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0.65023606311597393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0.65023606311597393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294236.93392679736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294236.93392679736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144105.21712938134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144105.21712938134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72052.608564690672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27471.596682363863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44581.011882326813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46113.66948140203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46113.66948140203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46113.66948140203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1.6139784318490709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1.6139784318490709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551863.24646888149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190994.95568667154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360868.29078220995</v>
      </c>
      <c r="O233" s="190">
        <f t="shared" si="59"/>
        <v>360868.29078220995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0.97941097591454906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0.97941097591454906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0.97941097591454906</v>
      </c>
      <c r="U233" s="186">
        <f>O233*IFERROR(VLOOKUP(A233,[1]Tørstofindhold!A$2:B$24,2,FALSE),0)</f>
        <v>72173.65815644199</v>
      </c>
      <c r="V233" s="187">
        <f>IF(D233=År1,P233,SUM(O233,P233))*IFERROR(VLOOKUP(A233,[1]Tørstofindhold!A$2:B$24,2,FALSE),0)</f>
        <v>72173.65815644199</v>
      </c>
      <c r="W233" s="187">
        <f>J233*IFERROR(VLOOKUP(A233,[1]Tørstofindhold!A$2:B$24,2,FALSE),0)</f>
        <v>0</v>
      </c>
      <c r="X233" s="188">
        <f t="shared" si="65"/>
        <v>72173.65815644199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19155.449798472495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19155.449798472495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15546.862316164015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4532.970194298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11013.892121866014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3342755.9866439682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1671377.9933219841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1671377.9933219841</v>
      </c>
      <c r="O236" s="190">
        <f t="shared" si="59"/>
        <v>1671377.9933219841</v>
      </c>
      <c r="P236" s="200">
        <f t="shared" si="63"/>
        <v>1671377.9933219841</v>
      </c>
      <c r="Q236" s="187">
        <f>IFERROR(VLOOKUP(A236,[1]Energiindhold!$A$2:$C$11,3,FALSE),IFERROR(VLOOKUP(A236,[1]Biogasudbytte!$A$2:$B$18,2,FALSE)*[1]Energiindhold!$C$10,0))*O236</f>
        <v>0.83403433244760339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1.6680686648952068</v>
      </c>
      <c r="S236" s="187">
        <f>IFERROR(VLOOKUP(A236,[1]Biogasudbytte!$A$2:$B$18,2,FALSE)*[1]Energiindhold!$C$10,0)*J236*IFERROR(VLOOKUP(A236,Biogasanlæg!$F$3:$G$8,2,FALSE),1)</f>
        <v>0.83403433244760339</v>
      </c>
      <c r="T236" s="188">
        <f t="shared" si="64"/>
        <v>0.83403433244760339</v>
      </c>
      <c r="U236" s="186">
        <f>O236*IFERROR(VLOOKUP(A236,[1]Tørstofindhold!A$2:B$24,2,FALSE),0)</f>
        <v>100282.67959931905</v>
      </c>
      <c r="V236" s="187">
        <f>IF(D236=År1,P236,SUM(O236,P236))*IFERROR(VLOOKUP(A236,[1]Tørstofindhold!A$2:B$24,2,FALSE),0)</f>
        <v>200565.35919863809</v>
      </c>
      <c r="W236" s="187">
        <f>J236*IFERROR(VLOOKUP(A236,[1]Tørstofindhold!A$2:B$24,2,FALSE),0)</f>
        <v>100282.67959931905</v>
      </c>
      <c r="X236" s="188">
        <f t="shared" si="65"/>
        <v>100282.67959931905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1856654.8623364191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928327.43116820953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928327.43116820953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928327.43116820953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0.39992345734726475</v>
      </c>
      <c r="S237" s="187">
        <f>IFERROR(VLOOKUP(A237,[1]Biogasudbytte!$A$2:$B$18,2,FALSE)*[1]Energiindhold!$C$10,0)*J237*IFERROR(VLOOKUP(A237,Biogasanlæg!$F$3:$G$8,2,FALSE),1)</f>
        <v>0.39992345734726475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46416.371558410479</v>
      </c>
      <c r="W237" s="187">
        <f>J237*IFERROR(VLOOKUP(A237,[1]Tørstofindhold!A$2:B$24,2,FALSE),0)</f>
        <v>46416.371558410479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169719.59522405529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85298.443344416941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10184.369309084559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25815.630690915441</v>
      </c>
      <c r="O239" s="190">
        <f t="shared" si="59"/>
        <v>25815.630690915441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2.3169528545096612E-2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2.3169528545096612E-2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2.3169528545096612E-2</v>
      </c>
      <c r="U239" s="186">
        <f>O239*IFERROR(VLOOKUP(A239,[1]Tørstofindhold!A$2:B$24,2,FALSE),0)</f>
        <v>3872.3446036373161</v>
      </c>
      <c r="V239" s="187">
        <f>IF(D239=År1,P239,SUM(O239,P239))*IFERROR(VLOOKUP(A239,[1]Tørstofindhold!A$2:B$24,2,FALSE),0)</f>
        <v>3872.3446036373161</v>
      </c>
      <c r="W239" s="187">
        <f>J239*IFERROR(VLOOKUP(A239,[1]Tørstofindhold!A$2:B$24,2,FALSE),0)</f>
        <v>0</v>
      </c>
      <c r="X239" s="188">
        <f t="shared" si="65"/>
        <v>3872.3446036373161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650272.33920049365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650272.33920049365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650272.33920049365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9.4247669524706943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9.4247669524706943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321613.86109624413</v>
      </c>
      <c r="W241" s="187">
        <f>J241*IFERROR(VLOOKUP(A241,[1]Tørstofindhold!A$2:B$24,2,FALSE),0)</f>
        <v>0</v>
      </c>
      <c r="X241" s="188">
        <f t="shared" ca="1" si="65"/>
        <v>321613.86109624413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179118.88010894318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179118.88010894318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219276.19795697337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5589.8969964537146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134934.29557358113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139781.08410503011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32511.596204720234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1.0566257581740357</v>
      </c>
      <c r="S245" s="187">
        <f ca="1">IFERROR(VLOOKUP(A245,[1]Biogasudbytte!$A$2:$B$18,2,FALSE)*[1]Energiindhold!$C$10,0)*J245*IFERROR(VLOOKUP(A245,Biogasanlæg!$F$3:$G$8,2,FALSE),1)</f>
        <v>0.47622157324826819</v>
      </c>
      <c r="T245" s="188">
        <f t="shared" ca="1" si="64"/>
        <v>0.58040418492576751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39138.703549408434</v>
      </c>
      <c r="X245" s="188">
        <f t="shared" ca="1" si="65"/>
        <v>9103.2469373216663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127014615.47386032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127014615.47386032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127014615.47386032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4548505.6401664391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3346934.4005636992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1201571.2396027399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158420.78251756265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118815.58688817199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39605.195629390655</v>
      </c>
      <c r="O248" s="190">
        <f t="shared" si="59"/>
        <v>39605.195629390655</v>
      </c>
      <c r="P248" s="200">
        <f t="shared" si="63"/>
        <v>118815.58688817199</v>
      </c>
      <c r="Q248" s="187">
        <f>IFERROR(VLOOKUP(A248,[1]Energiindhold!$A$2:$C$11,3,FALSE),IFERROR(VLOOKUP(A248,[1]Biogasudbytte!$A$2:$B$18,2,FALSE)*[1]Energiindhold!$C$10,0))*O248</f>
        <v>2.2496783899771881E-2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8.9987135599087525E-2</v>
      </c>
      <c r="S248" s="187">
        <f>IFERROR(VLOOKUP(A248,[1]Biogasudbytte!$A$2:$B$18,2,FALSE)*[1]Energiindhold!$C$10,0)*J248*IFERROR(VLOOKUP(A248,Biogasanlæg!$F$3:$G$8,2,FALSE),1)</f>
        <v>6.7490351699315651E-2</v>
      </c>
      <c r="T248" s="188">
        <f t="shared" si="64"/>
        <v>2.2496783899771874E-2</v>
      </c>
      <c r="U248" s="186">
        <f>O248*IFERROR(VLOOKUP(A248,[1]Tørstofindhold!A$2:B$24,2,FALSE),0)</f>
        <v>1693.6523300287492</v>
      </c>
      <c r="V248" s="187">
        <f>IF(D248=År1,P248,SUM(O248,P248))*IFERROR(VLOOKUP(A248,[1]Tørstofindhold!A$2:B$24,2,FALSE),0)</f>
        <v>6774.6093201149979</v>
      </c>
      <c r="W248" s="187">
        <f>J248*IFERROR(VLOOKUP(A248,[1]Tørstofindhold!A$2:B$24,2,FALSE),0)</f>
        <v>5080.9569900862489</v>
      </c>
      <c r="X248" s="188">
        <f t="shared" si="65"/>
        <v>1693.652330028749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267422.83722585865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200567.127919394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25309.661380304478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41546.047926160158</v>
      </c>
      <c r="O249" s="190">
        <f t="shared" si="59"/>
        <v>41546.047926160158</v>
      </c>
      <c r="P249" s="200">
        <f t="shared" si="63"/>
        <v>200567.127919394</v>
      </c>
      <c r="Q249" s="187">
        <f>IFERROR(VLOOKUP(A249,[1]Energiindhold!$A$2:$C$11,3,FALSE),IFERROR(VLOOKUP(A249,[1]Biogasudbytte!$A$2:$B$18,2,FALSE)*[1]Energiindhold!$C$10,0))*O249</f>
        <v>8.9490187232948978E-2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0.52151178077132365</v>
      </c>
      <c r="S249" s="187">
        <f>IFERROR(VLOOKUP(A249,[1]Biogasudbytte!$A$2:$B$18,2,FALSE)*[1]Energiindhold!$C$10,0)*J249*IFERROR(VLOOKUP(A249,Biogasanlæg!$F$3:$G$8,2,FALSE),1)</f>
        <v>0.43202159353837466</v>
      </c>
      <c r="T249" s="188">
        <f t="shared" si="64"/>
        <v>8.9490187232948992E-2</v>
      </c>
      <c r="U249" s="186">
        <f>O249*IFERROR(VLOOKUP(A249,[1]Tørstofindhold!A$2:B$24,2,FALSE),0)</f>
        <v>12463.814377848046</v>
      </c>
      <c r="V249" s="187">
        <f>IF(D249=År1,P249,SUM(O249,P249))*IFERROR(VLOOKUP(A249,[1]Tørstofindhold!A$2:B$24,2,FALSE),0)</f>
        <v>72633.95275366625</v>
      </c>
      <c r="W249" s="187">
        <f>J249*IFERROR(VLOOKUP(A249,[1]Tørstofindhold!A$2:B$24,2,FALSE),0)</f>
        <v>60170.138375818198</v>
      </c>
      <c r="X249" s="188">
        <f t="shared" si="65"/>
        <v>12463.814377848052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111581.8005666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111164.09306538459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417.70750121540914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542.32379802641481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180.77459934213829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542.32379802641481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2.5504945897384263E-4</v>
      </c>
      <c r="S251" s="187">
        <f>IFERROR(VLOOKUP(A251,[1]Biogasudbytte!$A$2:$B$18,2,FALSE)*[1]Energiindhold!$C$10,0)*J251*IFERROR(VLOOKUP(A251,Biogasanlæg!$F$3:$G$8,2,FALSE),1)</f>
        <v>2.5504945897384263E-4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34.166399275664133</v>
      </c>
      <c r="W251" s="187">
        <f>J251*IFERROR(VLOOKUP(A251,[1]Tørstofindhold!A$2:B$24,2,FALSE),0)</f>
        <v>34.166399275664133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268765.10251682362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268765.10251682362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8025.8128016018145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-225769.20319087201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3366007.3149247444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1034020.1623202205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324199.45764508267</v>
      </c>
      <c r="N256" s="199">
        <f t="shared" si="62"/>
        <v>2007787.6949594412</v>
      </c>
      <c r="O256" s="190">
        <f t="shared" si="59"/>
        <v>230753.74833062105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0.4245580527098014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0.4245580527098014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0.4245580527098014</v>
      </c>
      <c r="U256" s="186">
        <f>O256*IFERROR(VLOOKUP(A256,[1]Tørstofindhold!A$2:B$24,2,FALSE),0)</f>
        <v>64611.049532573903</v>
      </c>
      <c r="V256" s="187">
        <f>IF(D256=År1,P256,SUM(O256,P256))*IFERROR(VLOOKUP(A256,[1]Tørstofindhold!A$2:B$24,2,FALSE),0)</f>
        <v>64611.049532573903</v>
      </c>
      <c r="W256" s="187">
        <f>J256*IFERROR(VLOOKUP(A256,[1]Tørstofindhold!A$2:B$24,2,FALSE),0)</f>
        <v>0</v>
      </c>
      <c r="X256" s="188">
        <f t="shared" si="65"/>
        <v>64611.049532573903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54196.87456091999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54196.874560919998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418943.90168465767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174074.38493464564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715763.53232868738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60329.611891042863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72420.556657070294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75943.990330467859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203293.41212823492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303775.96132187144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279237.4024587028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2.5390594517891913</v>
      </c>
      <c r="S259" s="187">
        <f>IFERROR(VLOOKUP(A259,[1]Biogasudbytte!$A$2:$B$18,2,FALSE)*[1]Energiindhold!$C$10,0)*J259*IFERROR(VLOOKUP(A259,Biogasanlæg!$F$3:$G$8,2,FALSE),1)</f>
        <v>0.43785811400992569</v>
      </c>
      <c r="T259" s="188">
        <f t="shared" si="64"/>
        <v>2.1012013377792655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237351.79208989738</v>
      </c>
      <c r="W259" s="187">
        <f>J259*IFERROR(VLOOKUP(A259,[1]Tørstofindhold!A$2:B$24,2,FALSE),0)</f>
        <v>64552.391780897677</v>
      </c>
      <c r="X259" s="188">
        <f t="shared" si="65"/>
        <v>172799.4003089997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0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457927.02496060182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8.1750142319727654</v>
      </c>
      <c r="S260" s="187">
        <f>IFERROR(VLOOKUP(A260,[1]Biogasudbytte!$A$2:$B$18,2,FALSE)*[1]Energiindhold!$C$10,0)*J260*IFERROR(VLOOKUP(A260,Biogasanlæg!$F$3:$G$8,2,FALSE),1)</f>
        <v>0</v>
      </c>
      <c r="T260" s="188">
        <f t="shared" si="64"/>
        <v>8.1750142319727654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0</v>
      </c>
      <c r="X260" s="188">
        <f t="shared" si="65"/>
        <v>137378.10748818054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192226.88972045216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187208.07938927782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5018.8103311743471</v>
      </c>
      <c r="O262" s="190">
        <f t="shared" si="75"/>
        <v>5018.8103311743471</v>
      </c>
      <c r="P262" s="200">
        <f t="shared" si="63"/>
        <v>187208.07938927782</v>
      </c>
      <c r="Q262" s="187">
        <f>IFERROR(VLOOKUP(A262,[1]Energiindhold!$A$2:$C$11,3,FALSE),IFERROR(VLOOKUP(A262,[1]Biogasudbytte!$A$2:$B$18,2,FALSE)*[1]Energiindhold!$C$10,0))*O262</f>
        <v>2.1747157610321501E-2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0.71126456089777379</v>
      </c>
      <c r="S262" s="187">
        <f>IFERROR(VLOOKUP(A262,[1]Biogasudbytte!$A$2:$B$18,2,FALSE)*[1]Energiindhold!$C$10,0)*J262*IFERROR(VLOOKUP(A262,Biogasanlæg!$F$3:$G$8,2,FALSE),1)</f>
        <v>0.68951740328745226</v>
      </c>
      <c r="T262" s="188">
        <f t="shared" si="64"/>
        <v>2.1747157610321532E-2</v>
      </c>
      <c r="U262" s="186">
        <f>O262*IFERROR(VLOOKUP(A262,[1]Tørstofindhold!A$2:B$24,2,FALSE),0)</f>
        <v>2107.9003390932257</v>
      </c>
      <c r="V262" s="187">
        <f>IF(D262=År1,P262,SUM(O262,P262))*IFERROR(VLOOKUP(A262,[1]Tørstofindhold!A$2:B$24,2,FALSE),0)</f>
        <v>80735.293682589909</v>
      </c>
      <c r="W262" s="187">
        <f>J262*IFERROR(VLOOKUP(A262,[1]Tørstofindhold!A$2:B$24,2,FALSE),0)</f>
        <v>78627.393343496675</v>
      </c>
      <c r="X262" s="188">
        <f t="shared" si="65"/>
        <v>2107.9003390932339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176636.61081812825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176636.61081812825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433038.05349260336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321062.5458330501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1363603.2819044513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509603.65797187964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585750.60558331222</v>
      </c>
      <c r="O265" s="190">
        <f t="shared" si="75"/>
        <v>0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0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0</v>
      </c>
      <c r="U265" s="186">
        <f>O265*IFERROR(VLOOKUP(A265,[1]Tørstofindhold!A$2:B$24,2,FALSE),0)</f>
        <v>0</v>
      </c>
      <c r="V265" s="187">
        <f>IF(D265=År1,P265,SUM(O265,P265))*IFERROR(VLOOKUP(A265,[1]Tørstofindhold!A$2:B$24,2,FALSE),0)</f>
        <v>0</v>
      </c>
      <c r="W265" s="187">
        <f>J265*IFERROR(VLOOKUP(A265,[1]Tørstofindhold!A$2:B$24,2,FALSE),0)</f>
        <v>0</v>
      </c>
      <c r="X265" s="188">
        <f t="shared" si="65"/>
        <v>0</v>
      </c>
      <c r="Y265" s="168">
        <f t="shared" si="76"/>
        <v>1</v>
      </c>
      <c r="Z265" s="103">
        <f t="shared" si="77"/>
        <v>0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472604.98553143517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-472604.98553143517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633609.48471274355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475207.11353455763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158402.37117818589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475207.11353455763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0.24054508880005776</v>
      </c>
      <c r="S267" s="187">
        <f>IFERROR(VLOOKUP(A267,[1]Biogasudbytte!$A$2:$B$18,2,FALSE)*[1]Energiindhold!$C$10,0)*J267*IFERROR(VLOOKUP(A267,Biogasanlæg!$F$3:$G$8,2,FALSE),1)</f>
        <v>0.24054508880005776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36115.740628626379</v>
      </c>
      <c r="W267" s="187">
        <f>J267*IFERROR(VLOOKUP(A267,[1]Tørstofindhold!A$2:B$24,2,FALSE),0)</f>
        <v>36115.740628626379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79149.327154368118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119008.04970833447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-39858.722553966349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1217725.1891909407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497666.99331928522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720058.19587165548</v>
      </c>
      <c r="O269" s="190">
        <f t="shared" si="75"/>
        <v>25629.499689819873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9.2009903886453359E-2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9.2009903886453359E-2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9.2009903886453359E-2</v>
      </c>
      <c r="U269" s="186">
        <f>O269*IFERROR(VLOOKUP(A269,[1]Tørstofindhold!A$2:B$24,2,FALSE),0)</f>
        <v>7688.8499069459613</v>
      </c>
      <c r="V269" s="187">
        <f>IF(D269=År1,P269,SUM(O269,P269))*IFERROR(VLOOKUP(A269,[1]Tørstofindhold!A$2:B$24,2,FALSE),0)</f>
        <v>7688.8499069459613</v>
      </c>
      <c r="W269" s="187">
        <f>J269*IFERROR(VLOOKUP(A269,[1]Tørstofindhold!A$2:B$24,2,FALSE),0)</f>
        <v>0</v>
      </c>
      <c r="X269" s="188">
        <f t="shared" si="65"/>
        <v>7688.8499069459613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152717.12375065815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-275496.90554082021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20327.523873776598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49537.524890115434</v>
      </c>
      <c r="O271" s="190">
        <f t="shared" si="75"/>
        <v>49537.524890115434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4.4459928588878608E-2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4.4459928588878608E-2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4.4459928588878608E-2</v>
      </c>
      <c r="U271" s="186">
        <f>O271*IFERROR(VLOOKUP(A271,[1]Tørstofindhold!A$2:B$24,2,FALSE),0)</f>
        <v>7430.6287335173147</v>
      </c>
      <c r="V271" s="187">
        <f>IF(D271=År1,P271,SUM(O271,P271))*IFERROR(VLOOKUP(A271,[1]Tørstofindhold!A$2:B$24,2,FALSE),0)</f>
        <v>7430.6287335173147</v>
      </c>
      <c r="W271" s="187">
        <f>J271*IFERROR(VLOOKUP(A271,[1]Tørstofindhold!A$2:B$24,2,FALSE),0)</f>
        <v>0</v>
      </c>
      <c r="X271" s="188">
        <f t="shared" si="65"/>
        <v>7430.6287335173147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5113.8944826069655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-27533.733750615742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388037.15998222143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388037.15998222143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33133.916706684649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33133.916706684649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33133.916706684649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0.60966406740299739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0.60966406740299739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13750.575433274131</v>
      </c>
      <c r="W274" s="187">
        <f>J274*IFERROR(VLOOKUP(A274,[1]Tørstofindhold!A$2:B$24,2,FALSE),0)</f>
        <v>0</v>
      </c>
      <c r="X274" s="188">
        <f t="shared" si="65"/>
        <v>13750.575433274131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170114.53834024802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170114.53834024802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170114.53834024802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1.5244692842976793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1.5244692842976793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42528.634585062005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42528.634585062005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42528.634585062005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1.4148669174527482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1.4148669174527482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237811.74451797566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237811.74451797566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133340.10179847176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133340.10179847176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66670.050899235881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22739.161062984149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43930.889836251736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42668.832575510962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42668.832575510962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42668.832575510962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1.4934091401428835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1.4934091401428835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1513378.8566017656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639899.9324082589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873478.92419350671</v>
      </c>
      <c r="O281" s="190">
        <f t="shared" si="89"/>
        <v>0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0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0</v>
      </c>
      <c r="U281" s="186">
        <f>O281*IFERROR(VLOOKUP(A281,[1]Tørstofindhold!A$2:B$24,2,FALSE),0)</f>
        <v>0</v>
      </c>
      <c r="V281" s="187">
        <f>IF(D281=År1,P281,SUM(O281,P281))*IFERROR(VLOOKUP(A281,[1]Tørstofindhold!A$2:B$24,2,FALSE),0)</f>
        <v>0</v>
      </c>
      <c r="W281" s="187">
        <f>J281*IFERROR(VLOOKUP(A281,[1]Tørstofindhold!A$2:B$24,2,FALSE),0)</f>
        <v>0</v>
      </c>
      <c r="X281" s="188">
        <f t="shared" si="65"/>
        <v>0</v>
      </c>
      <c r="Y281" s="168">
        <f t="shared" si="90"/>
        <v>1</v>
      </c>
      <c r="Z281" s="103">
        <f t="shared" si="91"/>
        <v>0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15326.485637496542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15326.485637496542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12450.041648107726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4168.9903508399993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8281.0512972677279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3497733.5088609215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2623300.1316456911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874433.37721523037</v>
      </c>
      <c r="O284" s="190">
        <f t="shared" si="89"/>
        <v>874433.37721523037</v>
      </c>
      <c r="P284" s="200">
        <f t="shared" si="94"/>
        <v>2623300.1316456911</v>
      </c>
      <c r="Q284" s="187">
        <f>IFERROR(VLOOKUP(A284,[1]Energiindhold!$A$2:$C$11,3,FALSE),IFERROR(VLOOKUP(A284,[1]Biogasudbytte!$A$2:$B$18,2,FALSE)*[1]Energiindhold!$C$10,0))*O284</f>
        <v>0.43635099956417217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1.7454039982566887</v>
      </c>
      <c r="S284" s="187">
        <f>IFERROR(VLOOKUP(A284,[1]Biogasudbytte!$A$2:$B$18,2,FALSE)*[1]Energiindhold!$C$10,0)*J284*IFERROR(VLOOKUP(A284,Biogasanlæg!$F$3:$G$8,2,FALSE),1)</f>
        <v>1.3090529986925166</v>
      </c>
      <c r="T284" s="188">
        <f t="shared" si="95"/>
        <v>0.43635099956417212</v>
      </c>
      <c r="U284" s="186">
        <f>O284*IFERROR(VLOOKUP(A284,[1]Tørstofindhold!A$2:B$24,2,FALSE),0)</f>
        <v>52466.00263291382</v>
      </c>
      <c r="V284" s="187">
        <f>IF(D284=År1,P284,SUM(O284,P284))*IFERROR(VLOOKUP(A284,[1]Tørstofindhold!A$2:B$24,2,FALSE),0)</f>
        <v>209864.01053165528</v>
      </c>
      <c r="W284" s="187">
        <f>J284*IFERROR(VLOOKUP(A284,[1]Tørstofindhold!A$2:B$24,2,FALSE),0)</f>
        <v>157398.00789874146</v>
      </c>
      <c r="X284" s="188">
        <f t="shared" si="96"/>
        <v>52466.00263291382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1463838.2091460889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1097878.6568595667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365959.55228652223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1097878.6568595667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0.47296612537510141</v>
      </c>
      <c r="S285" s="187">
        <f>IFERROR(VLOOKUP(A285,[1]Biogasudbytte!$A$2:$B$18,2,FALSE)*[1]Energiindhold!$C$10,0)*J285*IFERROR(VLOOKUP(A285,Biogasanlæg!$F$3:$G$8,2,FALSE),1)</f>
        <v>0.47296612537510141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54893.932842978335</v>
      </c>
      <c r="W285" s="187">
        <f>J285*IFERROR(VLOOKUP(A285,[1]Tørstofindhold!A$2:B$24,2,FALSE),0)</f>
        <v>54893.932842978335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135928.79691373621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69644.218379617378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8429.9437241249998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27570.056275875002</v>
      </c>
      <c r="O287" s="190">
        <f t="shared" si="89"/>
        <v>27570.056275875002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2.4744125507597817E-2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2.4744125507597817E-2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2.4744125507597817E-2</v>
      </c>
      <c r="U287" s="186">
        <f>O287*IFERROR(VLOOKUP(A287,[1]Tørstofindhold!A$2:B$24,2,FALSE),0)</f>
        <v>4135.5084413812501</v>
      </c>
      <c r="V287" s="187">
        <f>IF(D287=År1,P287,SUM(O287,P287))*IFERROR(VLOOKUP(A287,[1]Tørstofindhold!A$2:B$24,2,FALSE),0)</f>
        <v>4135.5084413812501</v>
      </c>
      <c r="W287" s="187">
        <f>J287*IFERROR(VLOOKUP(A287,[1]Tørstofindhold!A$2:B$24,2,FALSE),0)</f>
        <v>0</v>
      </c>
      <c r="X287" s="188">
        <f t="shared" si="96"/>
        <v>4135.5084413812501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659877.42984650948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659877.42984650948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659877.42984650948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9.5639789955469166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9.5639789955469166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326364.3788449195</v>
      </c>
      <c r="W289" s="187">
        <f>J289*IFERROR(VLOOKUP(A289,[1]Tørstofindhold!A$2:B$24,2,FALSE),0)</f>
        <v>0</v>
      </c>
      <c r="X289" s="188">
        <f t="shared" ca="1" si="96"/>
        <v>326364.3788449195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191018.35234338022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191018.35234338022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7" t="s">
        <v>23</v>
      </c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3" t="s">
        <v>7</v>
      </c>
      <c r="D3" s="454"/>
      <c r="E3" s="454"/>
      <c r="F3" s="454"/>
      <c r="G3" s="454"/>
      <c r="H3" s="454"/>
      <c r="I3" s="454"/>
      <c r="J3" s="454"/>
      <c r="K3" s="455"/>
      <c r="L3" s="453" t="s">
        <v>8</v>
      </c>
      <c r="M3" s="454"/>
      <c r="N3" s="454"/>
      <c r="O3" s="454"/>
      <c r="P3" s="454"/>
      <c r="Q3" s="454"/>
      <c r="R3" s="454"/>
      <c r="S3" s="454"/>
      <c r="T3" s="455"/>
      <c r="U3" s="71"/>
      <c r="W3" s="31" t="s">
        <v>275</v>
      </c>
      <c r="X3" s="35">
        <f>C24+C51</f>
        <v>11808068</v>
      </c>
      <c r="Y3" s="11">
        <f>D24+D51</f>
        <v>10101793.644812915</v>
      </c>
      <c r="Z3" s="23">
        <f>E24+E51</f>
        <v>8273337.9492700156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1060027.3802614452</v>
      </c>
      <c r="Z4" s="23">
        <f t="shared" si="0"/>
        <v>843715.48446191661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575167.43014575983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472234.94620505511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89766.01510945386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100171.0491950117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585831.90518708283</v>
      </c>
      <c r="Z6" s="23">
        <f t="shared" si="1"/>
        <v>802921.1507299837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171147.38165312857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140518.69130979691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26710.863032569199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29806.995126320551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222535.01973855481</v>
      </c>
      <c r="Z7" s="23">
        <f t="shared" si="1"/>
        <v>229977.31553808326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91647.583160816706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75246.248718922972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14303.380030878912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15961.325485832145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126256.2651539473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149733.03172355407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19704.73502402646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31761.552183784199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42085.421717982426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44919.909517066219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6568.2450080088183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9528.46565513526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30718.547372930658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25221.128328627925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4794.2241564689475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5349.9363121331962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18892.022925517973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46071.702068785875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2948.4660057166784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9772.7852873182146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78559.45387356721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64500.382896300216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12260.724014949797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13681.899402245501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2848.0486738842505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2338.3593051509692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444.49314563511427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496.01561018353891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39235.776034734517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32214.106039316102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6123.5026181377571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6833.2952204609919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56668.45145378921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46527.014085311035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8844.2091864295289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9869.3666241568881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10643.311931460419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8738.5751938754584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1661.0949257192565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1853.6371623372183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4092.8205610553005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3360.3656886258095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638.76390259244579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712.80484304183835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154313.21296593559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40312.739310187637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24083.565029365669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8551.187126403438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1402275.7276245099</v>
      </c>
      <c r="G20" s="38">
        <f t="shared" si="2"/>
        <v>61478.767267456482</v>
      </c>
      <c r="H20" s="38">
        <f t="shared" si="2"/>
        <v>0</v>
      </c>
      <c r="I20" s="38">
        <f t="shared" si="2"/>
        <v>1151937.2003905759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218852.28118995245</v>
      </c>
      <c r="P20" s="38">
        <f t="shared" si="2"/>
        <v>9594.9521168862721</v>
      </c>
      <c r="Q20" s="38">
        <f t="shared" si="2"/>
        <v>0</v>
      </c>
      <c r="R20" s="38">
        <f t="shared" si="2"/>
        <v>244350.31523436468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3" t="s">
        <v>7</v>
      </c>
      <c r="D22" s="454"/>
      <c r="E22" s="455"/>
      <c r="F22" s="459" t="s">
        <v>8</v>
      </c>
      <c r="G22" s="454"/>
      <c r="H22" s="45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8569063.6543603484</v>
      </c>
      <c r="E24" s="23">
        <f>($F24+$C24)*Landbrug!E11*(1-Landbrug!E6)</f>
        <v>6756087.5466497</v>
      </c>
      <c r="F24" s="34">
        <f>SUM([1]Dyrehold!E58:G61)</f>
        <v>475477</v>
      </c>
      <c r="G24" s="11">
        <f>($F24+$C24)*Landbrug!D11*Landbrug!D6</f>
        <v>562012.89563964971</v>
      </c>
      <c r="H24" s="23">
        <f>($F24+$C24)*Landbrug!E11*Landbrug!E6</f>
        <v>763622.5533502996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979947.23772680899</v>
      </c>
      <c r="E25" s="23">
        <f>($F25+$C25)*Landbrug!E12*(1-Landbrug!E7)</f>
        <v>768026.38024560735</v>
      </c>
      <c r="F25" s="34">
        <f>SUM([1]Dyrehold!E36:G51)</f>
        <v>207835</v>
      </c>
      <c r="G25" s="11">
        <f>($F25+$C25)*Landbrug!D12*Landbrug!D7</f>
        <v>203647.16227319094</v>
      </c>
      <c r="H25" s="23">
        <f>($F25+$C25)*Landbrug!E12*Landbrug!E7</f>
        <v>206698.41975439253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0" t="s">
        <v>24</v>
      </c>
      <c r="B29" s="451"/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2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187200.97725424002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170316.93079494475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29216.337490546135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36127.83380498828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55703.705426871427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50679.672090203072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8693.6418874308019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10750.23347367944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29828.73548028665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27138.41963333889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4655.3517801603448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5756.6344676779472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41092.897446052695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54002.929276445902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6413.3423759735424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11455.166816215797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13697.632482017563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16200.878782933769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2137.7807919911802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3436.550044864739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9998.0315063841063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9096.2881985699169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1560.3864200715082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1929.5156784845281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6148.8272259613505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16616.285931214126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959.6435554968582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3524.6667126817838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25568.913966432789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23262.800303699772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3990.524145050204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4934.5333977544969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926.96051110484541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843.35600986246845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144.67013757127646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178.89369906173573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12770.152188849457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11618.385536712913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1993.0295323637881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2464.5060229391024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18444.002451504257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16780.499413998074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2878.5437352058666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3559.4998756965615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3464.1015648020552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3151.6670218968543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540.64012861072547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668.53542888721154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1332.0990873242467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1211.9542931642154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207.89985755927555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257.08121370150025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50224.652434064403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14539.250189812359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7838.5295706343286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3084.0833735965612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456401.68902589584</v>
      </c>
      <c r="G47" s="38">
        <f t="shared" si="3"/>
        <v>6626.1427325434997</v>
      </c>
      <c r="H47" s="38">
        <f t="shared" si="3"/>
        <v>0</v>
      </c>
      <c r="I47" s="38">
        <f t="shared" si="3"/>
        <v>415459.31747679703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71230.321408665855</v>
      </c>
      <c r="P47" s="38">
        <f t="shared" si="3"/>
        <v>1034.1378831137254</v>
      </c>
      <c r="Q47" s="38">
        <f t="shared" si="3"/>
        <v>0</v>
      </c>
      <c r="R47" s="38">
        <f t="shared" si="3"/>
        <v>88127.734010229688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3" t="s">
        <v>7</v>
      </c>
      <c r="D49" s="454"/>
      <c r="E49" s="455"/>
      <c r="F49" s="459" t="s">
        <v>8</v>
      </c>
      <c r="G49" s="454"/>
      <c r="H49" s="45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D40" sqref="D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310</v>
      </c>
      <c r="AP4" s="168" t="s">
        <v>311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1329134</v>
      </c>
      <c r="E5" s="237">
        <v>3738467.7373726266</v>
      </c>
      <c r="F5" s="237"/>
      <c r="G5" s="237">
        <v>15966.9366202374</v>
      </c>
      <c r="H5" s="237"/>
      <c r="I5" s="237"/>
      <c r="J5" s="237">
        <v>428226</v>
      </c>
      <c r="K5" s="237">
        <v>85676.999999999985</v>
      </c>
      <c r="L5" s="237"/>
      <c r="M5" s="237">
        <v>1125934</v>
      </c>
      <c r="N5" s="237">
        <v>78</v>
      </c>
      <c r="O5" s="237"/>
      <c r="P5" s="237">
        <v>2195654</v>
      </c>
      <c r="Q5" s="237"/>
      <c r="R5" s="237">
        <v>3785.9999999999991</v>
      </c>
      <c r="S5" s="237">
        <v>17424976.694740728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12005822.726876579</v>
      </c>
      <c r="AC5" s="237">
        <v>18924832.699089833</v>
      </c>
      <c r="AD5" s="237"/>
      <c r="AE5" s="237">
        <v>0</v>
      </c>
      <c r="AF5" s="237"/>
      <c r="AG5" s="237"/>
      <c r="AH5" s="237"/>
      <c r="AI5" s="237"/>
      <c r="AJ5" s="237">
        <v>1630167.2184880166</v>
      </c>
      <c r="AK5" s="237"/>
      <c r="AL5" s="237"/>
      <c r="AM5" s="237"/>
      <c r="AN5" s="237"/>
      <c r="AO5" s="237"/>
      <c r="AP5" s="237"/>
      <c r="AQ5" s="237"/>
      <c r="AR5" s="237">
        <v>59267394.013188019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300000</v>
      </c>
      <c r="E7" s="237">
        <v>1291258.500062495</v>
      </c>
      <c r="F7" s="237"/>
      <c r="G7" s="237">
        <v>4521.4640303491688</v>
      </c>
      <c r="H7" s="237"/>
      <c r="I7" s="237"/>
      <c r="J7" s="237">
        <v>142742</v>
      </c>
      <c r="K7" s="237">
        <v>0</v>
      </c>
      <c r="L7" s="237"/>
      <c r="M7" s="237">
        <v>800000</v>
      </c>
      <c r="N7" s="237">
        <v>0</v>
      </c>
      <c r="O7" s="237"/>
      <c r="P7" s="237">
        <v>599999.99999999988</v>
      </c>
      <c r="Q7" s="237"/>
      <c r="R7" s="237">
        <v>0</v>
      </c>
      <c r="S7" s="237">
        <v>5910171.5007008472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3649201.4329455192</v>
      </c>
      <c r="AC7" s="237">
        <v>7335131.5309176641</v>
      </c>
      <c r="AD7" s="237"/>
      <c r="AE7" s="237">
        <v>0</v>
      </c>
      <c r="AF7" s="237"/>
      <c r="AG7" s="237"/>
      <c r="AH7" s="237"/>
      <c r="AI7" s="237"/>
      <c r="AJ7" s="237">
        <v>539468.95987451775</v>
      </c>
      <c r="AK7" s="237"/>
      <c r="AL7" s="237"/>
      <c r="AM7" s="237"/>
      <c r="AN7" s="237"/>
      <c r="AO7" s="237"/>
      <c r="AP7" s="237"/>
      <c r="AQ7" s="237"/>
      <c r="AR7" s="237">
        <v>20572495.388531394</v>
      </c>
    </row>
    <row r="8" spans="1:44" x14ac:dyDescent="0.25">
      <c r="A8" s="79">
        <v>2050</v>
      </c>
      <c r="B8" s="237"/>
      <c r="C8" s="237"/>
      <c r="D8" s="237">
        <v>300000</v>
      </c>
      <c r="E8" s="237">
        <v>1690122.2373101313</v>
      </c>
      <c r="F8" s="237"/>
      <c r="G8" s="237">
        <v>7003.9725898882307</v>
      </c>
      <c r="H8" s="237"/>
      <c r="I8" s="237"/>
      <c r="J8" s="237">
        <v>142742</v>
      </c>
      <c r="K8" s="237">
        <v>0</v>
      </c>
      <c r="L8" s="237"/>
      <c r="M8" s="237">
        <v>250000</v>
      </c>
      <c r="N8" s="237">
        <v>0</v>
      </c>
      <c r="O8" s="237"/>
      <c r="P8" s="237">
        <v>600000</v>
      </c>
      <c r="Q8" s="237"/>
      <c r="R8" s="237">
        <v>0</v>
      </c>
      <c r="S8" s="237">
        <v>7161295.5273732152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5687787.2939310595</v>
      </c>
      <c r="AC8" s="237">
        <v>8674831.8348388355</v>
      </c>
      <c r="AD8" s="237"/>
      <c r="AE8" s="237">
        <v>0</v>
      </c>
      <c r="AF8" s="237"/>
      <c r="AG8" s="237"/>
      <c r="AH8" s="237"/>
      <c r="AI8" s="237"/>
      <c r="AJ8" s="237">
        <v>1090698.2586134989</v>
      </c>
      <c r="AK8" s="237"/>
      <c r="AL8" s="237"/>
      <c r="AM8" s="237"/>
      <c r="AN8" s="237"/>
      <c r="AO8" s="237"/>
      <c r="AP8" s="237"/>
      <c r="AQ8" s="237"/>
      <c r="AR8" s="237">
        <v>25604481.124656625</v>
      </c>
    </row>
    <row r="9" spans="1:44" x14ac:dyDescent="0.25">
      <c r="A9" s="78" t="s">
        <v>112</v>
      </c>
      <c r="B9" s="237"/>
      <c r="C9" s="237">
        <v>185593.48551346542</v>
      </c>
      <c r="D9" s="237"/>
      <c r="E9" s="237"/>
      <c r="F9" s="237"/>
      <c r="G9" s="237"/>
      <c r="H9" s="237"/>
      <c r="I9" s="237"/>
      <c r="J9" s="237"/>
      <c r="K9" s="237">
        <v>34675517.744252883</v>
      </c>
      <c r="L9" s="237"/>
      <c r="M9" s="237">
        <v>2089466.2824013759</v>
      </c>
      <c r="N9" s="237"/>
      <c r="O9" s="237">
        <v>7742837.7704260685</v>
      </c>
      <c r="P9" s="237"/>
      <c r="Q9" s="237">
        <v>0</v>
      </c>
      <c r="R9" s="237">
        <v>16918759.171735439</v>
      </c>
      <c r="S9" s="237"/>
      <c r="T9" s="237">
        <v>4111305.3017583415</v>
      </c>
      <c r="U9" s="237">
        <v>16427648.296810592</v>
      </c>
      <c r="V9" s="237"/>
      <c r="W9" s="237">
        <v>321582.97221131914</v>
      </c>
      <c r="X9" s="237"/>
      <c r="Y9" s="237"/>
      <c r="Z9" s="237">
        <v>8568185.2606403679</v>
      </c>
      <c r="AA9" s="237">
        <v>124049.12371634025</v>
      </c>
      <c r="AB9" s="237"/>
      <c r="AC9" s="237"/>
      <c r="AD9" s="237"/>
      <c r="AE9" s="237">
        <v>170680.69175170586</v>
      </c>
      <c r="AF9" s="237"/>
      <c r="AG9" s="237"/>
      <c r="AH9" s="237">
        <v>1799633.5652725787</v>
      </c>
      <c r="AI9" s="237">
        <v>866626.48162943986</v>
      </c>
      <c r="AJ9" s="237"/>
      <c r="AK9" s="237">
        <v>700776.64776732272</v>
      </c>
      <c r="AL9" s="237"/>
      <c r="AM9" s="237"/>
      <c r="AN9" s="237"/>
      <c r="AO9" s="237"/>
      <c r="AP9" s="237"/>
      <c r="AQ9" s="237"/>
      <c r="AR9" s="237">
        <v>94702662.795887232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61864.495171155133</v>
      </c>
      <c r="D11" s="237"/>
      <c r="E11" s="237"/>
      <c r="F11" s="237"/>
      <c r="G11" s="237"/>
      <c r="H11" s="237"/>
      <c r="I11" s="237"/>
      <c r="J11" s="237"/>
      <c r="K11" s="237">
        <v>11443705.560105842</v>
      </c>
      <c r="L11" s="237"/>
      <c r="M11" s="237">
        <v>667679.74184119445</v>
      </c>
      <c r="N11" s="237"/>
      <c r="O11" s="237">
        <v>2321763.5049546235</v>
      </c>
      <c r="P11" s="237"/>
      <c r="Q11" s="237">
        <v>0</v>
      </c>
      <c r="R11" s="237">
        <v>5639884.4303937936</v>
      </c>
      <c r="S11" s="237"/>
      <c r="T11" s="237">
        <v>1317085.6137743879</v>
      </c>
      <c r="U11" s="237">
        <v>5507779.0028289203</v>
      </c>
      <c r="V11" s="237"/>
      <c r="W11" s="237">
        <v>134981.23525302124</v>
      </c>
      <c r="X11" s="237"/>
      <c r="Y11" s="237"/>
      <c r="Z11" s="237">
        <v>1749645.6498441026</v>
      </c>
      <c r="AA11" s="237">
        <v>41525.13637238399</v>
      </c>
      <c r="AB11" s="237"/>
      <c r="AC11" s="237"/>
      <c r="AD11" s="237"/>
      <c r="AE11" s="237">
        <v>93295.853777823519</v>
      </c>
      <c r="AF11" s="237"/>
      <c r="AG11" s="237"/>
      <c r="AH11" s="237">
        <v>779174.16341918532</v>
      </c>
      <c r="AI11" s="237">
        <v>369112.32331007993</v>
      </c>
      <c r="AJ11" s="237"/>
      <c r="AK11" s="237">
        <v>251658.79097048761</v>
      </c>
      <c r="AL11" s="237"/>
      <c r="AM11" s="237"/>
      <c r="AN11" s="237"/>
      <c r="AO11" s="237"/>
      <c r="AP11" s="237"/>
      <c r="AQ11" s="237"/>
      <c r="AR11" s="237">
        <v>30379155.502017003</v>
      </c>
    </row>
    <row r="12" spans="1:44" x14ac:dyDescent="0.25">
      <c r="A12" s="79">
        <v>2050</v>
      </c>
      <c r="B12" s="237"/>
      <c r="C12" s="237">
        <v>51313.898113378207</v>
      </c>
      <c r="D12" s="237"/>
      <c r="E12" s="237"/>
      <c r="F12" s="237"/>
      <c r="G12" s="237"/>
      <c r="H12" s="237"/>
      <c r="I12" s="237"/>
      <c r="J12" s="237"/>
      <c r="K12" s="237">
        <v>9492054.198877031</v>
      </c>
      <c r="L12" s="237"/>
      <c r="M12" s="237">
        <v>553811.19898284285</v>
      </c>
      <c r="N12" s="237"/>
      <c r="O12" s="237">
        <v>0</v>
      </c>
      <c r="P12" s="237"/>
      <c r="Q12" s="237">
        <v>0</v>
      </c>
      <c r="R12" s="237">
        <v>4678037.931640516</v>
      </c>
      <c r="S12" s="237"/>
      <c r="T12" s="237">
        <v>1092465.0206040498</v>
      </c>
      <c r="U12" s="237">
        <v>4568462.2464024201</v>
      </c>
      <c r="V12" s="237"/>
      <c r="W12" s="237">
        <v>186601.73695829787</v>
      </c>
      <c r="X12" s="237"/>
      <c r="Y12" s="237"/>
      <c r="Z12" s="237">
        <v>5874126.1163106095</v>
      </c>
      <c r="AA12" s="237">
        <v>38270.319870719999</v>
      </c>
      <c r="AB12" s="237"/>
      <c r="AC12" s="237"/>
      <c r="AD12" s="237"/>
      <c r="AE12" s="237">
        <v>77384.837973882342</v>
      </c>
      <c r="AF12" s="237"/>
      <c r="AG12" s="237"/>
      <c r="AH12" s="237">
        <v>1020459.4018533934</v>
      </c>
      <c r="AI12" s="237">
        <v>497514.15831935994</v>
      </c>
      <c r="AJ12" s="237"/>
      <c r="AK12" s="237">
        <v>208739.98120357443</v>
      </c>
      <c r="AL12" s="237"/>
      <c r="AM12" s="237"/>
      <c r="AN12" s="237"/>
      <c r="AO12" s="237"/>
      <c r="AP12" s="237"/>
      <c r="AQ12" s="237"/>
      <c r="AR12" s="237">
        <v>28339241.047110073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133771.78685234339</v>
      </c>
      <c r="E17" s="237"/>
      <c r="F17" s="237"/>
      <c r="G17" s="237"/>
      <c r="H17" s="237"/>
      <c r="I17" s="237"/>
      <c r="J17" s="237"/>
      <c r="K17" s="237"/>
      <c r="L17" s="237"/>
      <c r="M17" s="237">
        <v>2506834.2698874259</v>
      </c>
      <c r="N17" s="237">
        <v>2948349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497706.41746718431</v>
      </c>
      <c r="AG17" s="237">
        <v>9149194.9451126531</v>
      </c>
      <c r="AH17" s="237"/>
      <c r="AI17" s="237"/>
      <c r="AJ17" s="237"/>
      <c r="AK17" s="237"/>
      <c r="AL17" s="237">
        <v>463122.52049130981</v>
      </c>
      <c r="AM17" s="237"/>
      <c r="AN17" s="237"/>
      <c r="AO17" s="237">
        <v>840000.00000000012</v>
      </c>
      <c r="AP17" s="237">
        <v>210000.00000000003</v>
      </c>
      <c r="AQ17" s="237"/>
      <c r="AR17" s="237">
        <v>16748978.939810917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63994.971742743859</v>
      </c>
      <c r="E19" s="237"/>
      <c r="F19" s="237"/>
      <c r="G19" s="237"/>
      <c r="H19" s="237"/>
      <c r="I19" s="237"/>
      <c r="J19" s="237"/>
      <c r="K19" s="237"/>
      <c r="L19" s="237"/>
      <c r="M19" s="237">
        <v>299059.69913152861</v>
      </c>
      <c r="N19" s="237">
        <v>982809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162920.24875184946</v>
      </c>
      <c r="AG19" s="237">
        <v>2895697.75418304</v>
      </c>
      <c r="AH19" s="237"/>
      <c r="AI19" s="237"/>
      <c r="AJ19" s="237"/>
      <c r="AK19" s="237"/>
      <c r="AL19" s="237">
        <v>189259.4584681961</v>
      </c>
      <c r="AM19" s="237"/>
      <c r="AN19" s="237"/>
      <c r="AO19" s="237">
        <v>280000</v>
      </c>
      <c r="AP19" s="237">
        <v>70000</v>
      </c>
      <c r="AQ19" s="237"/>
      <c r="AR19" s="237">
        <v>4943741.1322773574</v>
      </c>
    </row>
    <row r="20" spans="1:44" x14ac:dyDescent="0.25">
      <c r="A20" s="79">
        <v>2050</v>
      </c>
      <c r="B20" s="237"/>
      <c r="C20" s="237"/>
      <c r="D20" s="237">
        <v>69776.815109599527</v>
      </c>
      <c r="E20" s="237"/>
      <c r="F20" s="237"/>
      <c r="G20" s="237"/>
      <c r="H20" s="237"/>
      <c r="I20" s="237"/>
      <c r="J20" s="237"/>
      <c r="K20" s="237"/>
      <c r="L20" s="237"/>
      <c r="M20" s="237">
        <v>314009.35822033597</v>
      </c>
      <c r="N20" s="237">
        <v>982809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125003.78132033482</v>
      </c>
      <c r="AG20" s="237">
        <v>3243258.6986049283</v>
      </c>
      <c r="AH20" s="237"/>
      <c r="AI20" s="237"/>
      <c r="AJ20" s="237"/>
      <c r="AK20" s="237"/>
      <c r="AL20" s="237">
        <v>160976.00122798292</v>
      </c>
      <c r="AM20" s="237"/>
      <c r="AN20" s="237"/>
      <c r="AO20" s="237">
        <v>560000.00000000012</v>
      </c>
      <c r="AP20" s="237">
        <v>140000.00000000003</v>
      </c>
      <c r="AQ20" s="237"/>
      <c r="AR20" s="237">
        <v>5595833.6544831814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2603415.7161208615</v>
      </c>
      <c r="AR21" s="237">
        <v>2707619.1568548288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799072.903388076</v>
      </c>
      <c r="AR23" s="237">
        <v>799072.903388076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976649.60781058134</v>
      </c>
      <c r="AR24" s="237">
        <v>976649.60781058134</v>
      </c>
    </row>
    <row r="25" spans="1:44" x14ac:dyDescent="0.25">
      <c r="A25" s="78" t="s">
        <v>114</v>
      </c>
      <c r="B25" s="237"/>
      <c r="C25" s="237"/>
      <c r="D25" s="237"/>
      <c r="E25" s="237">
        <v>1525875.8978270802</v>
      </c>
      <c r="F25" s="237"/>
      <c r="G25" s="237">
        <v>11297.621560311913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17993760.343158588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24968872.809197277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40951989.041575789</v>
      </c>
      <c r="AN25" s="237">
        <v>3637684.7138101575</v>
      </c>
      <c r="AO25" s="237"/>
      <c r="AP25" s="237"/>
      <c r="AQ25" s="237"/>
      <c r="AR25" s="237">
        <v>89089480.427129194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488833.57502365881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5910171.5007008472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7335131.530917665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14828345.181564413</v>
      </c>
      <c r="AN27" s="237">
        <v>1265113.8193075224</v>
      </c>
      <c r="AO27" s="237"/>
      <c r="AP27" s="237"/>
      <c r="AQ27" s="237"/>
      <c r="AR27" s="237">
        <v>29832117.071544454</v>
      </c>
    </row>
    <row r="28" spans="1:44" x14ac:dyDescent="0.25">
      <c r="A28" s="79">
        <v>2050</v>
      </c>
      <c r="B28" s="237"/>
      <c r="C28" s="237"/>
      <c r="D28" s="237"/>
      <c r="E28" s="237">
        <v>213277.32994627845</v>
      </c>
      <c r="F28" s="237"/>
      <c r="G28" s="237">
        <v>2334.6575299627434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2387098.5091244052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2891610.6116129449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17320152.124502886</v>
      </c>
      <c r="AN28" s="237">
        <v>1427755.8058225526</v>
      </c>
      <c r="AO28" s="237"/>
      <c r="AP28" s="237"/>
      <c r="AQ28" s="237"/>
      <c r="AR28" s="237">
        <v>24242229.03853903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5184059.7377864979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5184059.7377864979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2207987.3792857509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2207987.3792857509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2976072.358500747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2976072.358500747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1772893.6288289898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1772893.6288289898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591435.80771311279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591435.80771311279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503050.00383744668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503050.00383744668</v>
      </c>
    </row>
    <row r="37" spans="1:44" x14ac:dyDescent="0.25">
      <c r="A37" s="78" t="s">
        <v>314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1500000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1500000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500000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500000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1000000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1000000</v>
      </c>
    </row>
    <row r="41" spans="1:44" x14ac:dyDescent="0.25">
      <c r="A41" s="78" t="s">
        <v>61</v>
      </c>
      <c r="B41" s="237">
        <v>182574.19618217932</v>
      </c>
      <c r="C41" s="237">
        <v>435664.24083442806</v>
      </c>
      <c r="D41" s="237">
        <v>1462905.7868523435</v>
      </c>
      <c r="E41" s="237">
        <v>5264343.635199707</v>
      </c>
      <c r="F41" s="237">
        <v>281468.55244752642</v>
      </c>
      <c r="G41" s="237">
        <v>27264.558180549313</v>
      </c>
      <c r="H41" s="237">
        <v>157152.21479103784</v>
      </c>
      <c r="I41" s="237">
        <v>1445379.0531089196</v>
      </c>
      <c r="J41" s="237">
        <v>428226</v>
      </c>
      <c r="K41" s="237">
        <v>39945254.482039385</v>
      </c>
      <c r="L41" s="237">
        <v>1513844.376677237</v>
      </c>
      <c r="M41" s="237">
        <v>7222234.5522888023</v>
      </c>
      <c r="N41" s="237">
        <v>2948427</v>
      </c>
      <c r="O41" s="237">
        <v>7742837.7704260685</v>
      </c>
      <c r="P41" s="237">
        <v>2195654</v>
      </c>
      <c r="Q41" s="237">
        <v>692260.49385742994</v>
      </c>
      <c r="R41" s="237">
        <v>18580927.453723568</v>
      </c>
      <c r="S41" s="237">
        <v>35418737.037899315</v>
      </c>
      <c r="T41" s="237">
        <v>4111305.3017583415</v>
      </c>
      <c r="U41" s="237">
        <v>16757674.296810592</v>
      </c>
      <c r="V41" s="237">
        <v>2647325.8446415998</v>
      </c>
      <c r="W41" s="237">
        <v>321582.97221131914</v>
      </c>
      <c r="X41" s="237">
        <v>267279.65146383434</v>
      </c>
      <c r="Y41" s="237">
        <v>1772893.6288289898</v>
      </c>
      <c r="Z41" s="237">
        <v>8596830.2606403679</v>
      </c>
      <c r="AA41" s="237">
        <v>124049.12371634025</v>
      </c>
      <c r="AB41" s="237">
        <v>12005822.726876579</v>
      </c>
      <c r="AC41" s="237">
        <v>43893705.508287109</v>
      </c>
      <c r="AD41" s="237">
        <v>542658.68630536064</v>
      </c>
      <c r="AE41" s="237">
        <v>170680.69175170586</v>
      </c>
      <c r="AF41" s="237">
        <v>497706.41746718431</v>
      </c>
      <c r="AG41" s="237">
        <v>9149194.9451126531</v>
      </c>
      <c r="AH41" s="237">
        <v>1799633.5652725787</v>
      </c>
      <c r="AI41" s="237">
        <v>866626.48162943986</v>
      </c>
      <c r="AJ41" s="237">
        <v>1630167.2184880166</v>
      </c>
      <c r="AK41" s="237">
        <v>700776.64776732272</v>
      </c>
      <c r="AL41" s="237">
        <v>567325.9612252767</v>
      </c>
      <c r="AM41" s="237">
        <v>40951989.041575789</v>
      </c>
      <c r="AN41" s="237">
        <v>3637684.7138101575</v>
      </c>
      <c r="AO41" s="237">
        <v>840000.00000000012</v>
      </c>
      <c r="AP41" s="237">
        <v>210000.00000000003</v>
      </c>
      <c r="AQ41" s="237">
        <v>2603415.7161208615</v>
      </c>
      <c r="AR41" s="237">
        <v>280611484.80626994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M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7.7109375" bestFit="1" customWidth="1"/>
    <col min="6" max="6" width="13.28515625" bestFit="1" customWidth="1"/>
    <col min="7" max="7" width="6.7109375" bestFit="1" customWidth="1"/>
    <col min="8" max="8" width="7.7109375" bestFit="1" customWidth="1"/>
    <col min="9" max="9" width="8.42578125" bestFit="1" customWidth="1"/>
    <col min="10" max="10" width="12.5703125" bestFit="1" customWidth="1"/>
    <col min="11" max="11" width="8.85546875" bestFit="1" customWidth="1"/>
    <col min="12" max="12" width="14.5703125" bestFit="1" customWidth="1"/>
    <col min="13" max="14" width="11.28515625" bestFit="1" customWidth="1"/>
    <col min="15" max="15" width="14.57031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3" x14ac:dyDescent="0.25">
      <c r="A2" s="77" t="s">
        <v>281</v>
      </c>
      <c r="B2" s="78">
        <v>1</v>
      </c>
    </row>
    <row r="4" spans="1:13" x14ac:dyDescent="0.25">
      <c r="A4" s="77" t="s">
        <v>309</v>
      </c>
      <c r="B4" s="77" t="s">
        <v>62</v>
      </c>
    </row>
    <row r="5" spans="1:13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48</v>
      </c>
      <c r="F5" s="168" t="s">
        <v>115</v>
      </c>
      <c r="G5" s="168" t="s">
        <v>53</v>
      </c>
      <c r="H5" s="168" t="s">
        <v>52</v>
      </c>
      <c r="I5" s="168" t="s">
        <v>158</v>
      </c>
      <c r="J5" s="168" t="s">
        <v>204</v>
      </c>
      <c r="K5" s="168" t="s">
        <v>54</v>
      </c>
      <c r="L5" s="168" t="s">
        <v>159</v>
      </c>
      <c r="M5" s="168" t="s">
        <v>61</v>
      </c>
    </row>
    <row r="6" spans="1:13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0</v>
      </c>
      <c r="I6" s="76">
        <v>142742</v>
      </c>
      <c r="J6" s="76">
        <v>0</v>
      </c>
      <c r="K6" s="76">
        <v>420629.98984142789</v>
      </c>
      <c r="L6" s="76">
        <v>5421074.2654714445</v>
      </c>
      <c r="M6" s="76">
        <v>7785702.6698210612</v>
      </c>
    </row>
    <row r="7" spans="1:13" x14ac:dyDescent="0.25">
      <c r="A7" s="78">
        <v>2030</v>
      </c>
      <c r="B7" s="76">
        <v>0</v>
      </c>
      <c r="C7" s="76">
        <v>0</v>
      </c>
      <c r="D7" s="76">
        <v>0</v>
      </c>
      <c r="E7" s="76">
        <v>98243.127760041971</v>
      </c>
      <c r="F7" s="76">
        <v>1265113.8193075224</v>
      </c>
      <c r="G7" s="76">
        <v>38032.406092506018</v>
      </c>
      <c r="H7" s="76">
        <v>0</v>
      </c>
      <c r="I7" s="76">
        <v>142742</v>
      </c>
      <c r="J7" s="76">
        <v>19237.027192550144</v>
      </c>
      <c r="K7" s="76">
        <v>445438.57445291564</v>
      </c>
      <c r="L7" s="76">
        <v>2321763.5049546235</v>
      </c>
      <c r="M7" s="76">
        <v>4330570.4597601593</v>
      </c>
    </row>
    <row r="8" spans="1:13" x14ac:dyDescent="0.25">
      <c r="A8" s="78">
        <v>2050</v>
      </c>
      <c r="B8" s="76">
        <v>0</v>
      </c>
      <c r="C8" s="76">
        <v>0</v>
      </c>
      <c r="D8" s="76">
        <v>0</v>
      </c>
      <c r="E8" s="76">
        <v>109313.87915221718</v>
      </c>
      <c r="F8" s="76">
        <v>1427755.8058225526</v>
      </c>
      <c r="G8" s="76">
        <v>0</v>
      </c>
      <c r="H8" s="76">
        <v>164626.65326344536</v>
      </c>
      <c r="I8" s="76">
        <v>142742</v>
      </c>
      <c r="J8" s="76">
        <v>0</v>
      </c>
      <c r="K8" s="76">
        <v>471495.08469880058</v>
      </c>
      <c r="L8" s="76">
        <v>0</v>
      </c>
      <c r="M8" s="76">
        <v>2315933.4229370155</v>
      </c>
    </row>
    <row r="9" spans="1:13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207557.00691225915</v>
      </c>
      <c r="F9" s="76">
        <v>3637684.713810158</v>
      </c>
      <c r="G9" s="76">
        <v>38032.406092506018</v>
      </c>
      <c r="H9" s="76">
        <v>164626.65326344536</v>
      </c>
      <c r="I9" s="76">
        <v>428226</v>
      </c>
      <c r="J9" s="76">
        <v>19237.027192550144</v>
      </c>
      <c r="K9" s="76">
        <v>1337563.648993144</v>
      </c>
      <c r="L9" s="76">
        <v>7742837.7704260685</v>
      </c>
      <c r="M9" s="76">
        <v>14432206.552518236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8554687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13.140625" style="168" bestFit="1" customWidth="1"/>
    <col min="11" max="12" width="9.85546875" style="168" bestFit="1" customWidth="1"/>
    <col min="13" max="13" width="13.85546875" style="168" bestFit="1" customWidth="1"/>
    <col min="14" max="14" width="9.85546875" style="168" bestFit="1" customWidth="1"/>
    <col min="15" max="15" width="16" style="168" bestFit="1" customWidth="1"/>
    <col min="16" max="16" width="10" style="168" bestFit="1" customWidth="1"/>
    <col min="17" max="17" width="8.7109375" style="168" bestFit="1" customWidth="1"/>
    <col min="18" max="18" width="11" style="168" bestFit="1" customWidth="1"/>
    <col min="19" max="19" width="9.85546875" style="168" bestFit="1" customWidth="1"/>
    <col min="20" max="20" width="21" style="168" bestFit="1" customWidth="1"/>
    <col min="21" max="21" width="20.7109375" style="168" bestFit="1" customWidth="1"/>
    <col min="22" max="22" width="9.85546875" style="168" bestFit="1" customWidth="1"/>
    <col min="23" max="23" width="7.140625" style="168" bestFit="1" customWidth="1"/>
    <col min="24" max="24" width="16" style="168" bestFit="1" customWidth="1"/>
    <col min="25" max="25" width="8.85546875" style="168" bestFit="1" customWidth="1"/>
    <col min="26" max="26" width="12.5703125" style="168" bestFit="1" customWidth="1"/>
    <col min="27" max="28" width="9.85546875" style="168" bestFit="1" customWidth="1"/>
    <col min="29" max="29" width="9.28515625" style="168" bestFit="1" customWidth="1"/>
    <col min="30" max="31" width="11.28515625" style="168" bestFit="1" customWidth="1"/>
    <col min="32" max="32" width="9.28515625" style="168" bestFit="1" customWidth="1"/>
    <col min="33" max="33" width="11.28515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103</v>
      </c>
      <c r="K5" s="168" t="s">
        <v>12</v>
      </c>
      <c r="L5" s="168" t="s">
        <v>48</v>
      </c>
      <c r="M5" s="168" t="s">
        <v>108</v>
      </c>
      <c r="N5" s="168" t="s">
        <v>53</v>
      </c>
      <c r="O5" s="168" t="s">
        <v>116</v>
      </c>
      <c r="P5" s="168" t="s">
        <v>106</v>
      </c>
      <c r="Q5" s="168" t="s">
        <v>14</v>
      </c>
      <c r="R5" s="168" t="s">
        <v>117</v>
      </c>
      <c r="S5" s="168" t="s">
        <v>52</v>
      </c>
      <c r="T5" s="168" t="s">
        <v>121</v>
      </c>
      <c r="U5" s="168" t="s">
        <v>107</v>
      </c>
      <c r="V5" s="168" t="s">
        <v>13</v>
      </c>
      <c r="W5" s="168" t="s">
        <v>99</v>
      </c>
      <c r="X5" s="168" t="s">
        <v>140</v>
      </c>
      <c r="Y5" s="168" t="s">
        <v>208</v>
      </c>
      <c r="Z5" s="168" t="s">
        <v>204</v>
      </c>
      <c r="AA5" s="168" t="s">
        <v>56</v>
      </c>
      <c r="AB5" s="168" t="s">
        <v>55</v>
      </c>
      <c r="AC5" s="168" t="s">
        <v>238</v>
      </c>
      <c r="AD5" s="168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/>
      <c r="AA6" s="98">
        <v>911574.64248506655</v>
      </c>
      <c r="AB6" s="98">
        <v>2005102.1714007764</v>
      </c>
      <c r="AC6" s="98">
        <v>98826.033045954537</v>
      </c>
      <c r="AD6" s="98">
        <v>34625194.021511331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818750.9421422208</v>
      </c>
      <c r="D7" s="98">
        <v>4083949.8291124925</v>
      </c>
      <c r="E7" s="98">
        <v>802424.9250388362</v>
      </c>
      <c r="F7" s="98">
        <v>144189.02716916322</v>
      </c>
      <c r="G7" s="98">
        <v>1238021.3933947089</v>
      </c>
      <c r="H7" s="98">
        <v>316503.84739456628</v>
      </c>
      <c r="I7" s="98">
        <v>899921.68325131456</v>
      </c>
      <c r="J7" s="98">
        <v>72059.380599112366</v>
      </c>
      <c r="K7" s="98">
        <v>1716518.6237022071</v>
      </c>
      <c r="L7" s="98"/>
      <c r="M7" s="98">
        <v>158688.12559682957</v>
      </c>
      <c r="N7" s="98"/>
      <c r="O7" s="98">
        <v>1966035.098317917</v>
      </c>
      <c r="P7" s="98">
        <v>144478.95980254692</v>
      </c>
      <c r="Q7" s="98">
        <v>7053.674007868336</v>
      </c>
      <c r="R7" s="98">
        <v>4434103.7389894836</v>
      </c>
      <c r="S7" s="98">
        <v>476956.37947110087</v>
      </c>
      <c r="T7" s="98">
        <v>181610.06538136437</v>
      </c>
      <c r="U7" s="98">
        <v>84261.054500489845</v>
      </c>
      <c r="V7" s="98">
        <v>1159109.08002</v>
      </c>
      <c r="W7" s="98">
        <v>27304.146222176485</v>
      </c>
      <c r="X7" s="98">
        <v>3649201.4329455192</v>
      </c>
      <c r="Y7" s="98">
        <v>539468.95987451775</v>
      </c>
      <c r="Z7" s="98"/>
      <c r="AA7" s="98">
        <v>791123.49481720233</v>
      </c>
      <c r="AB7" s="98">
        <v>1736814.9544858108</v>
      </c>
      <c r="AC7" s="98">
        <v>44059.112886068804</v>
      </c>
      <c r="AD7" s="98">
        <v>25663554.233736672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606927.20989221707</v>
      </c>
      <c r="D8" s="98">
        <v>6218047.3733939501</v>
      </c>
      <c r="E8" s="98">
        <v>350096.7491570987</v>
      </c>
      <c r="F8" s="98">
        <v>147035.58505348547</v>
      </c>
      <c r="G8" s="98">
        <v>1013965.6714587077</v>
      </c>
      <c r="H8" s="98">
        <v>230753.74833062105</v>
      </c>
      <c r="I8" s="98">
        <v>1055000.575828776</v>
      </c>
      <c r="J8" s="98">
        <v>16085.236323817982</v>
      </c>
      <c r="K8" s="98">
        <v>1393392.219080769</v>
      </c>
      <c r="L8" s="98"/>
      <c r="M8" s="98">
        <v>100302.7356049629</v>
      </c>
      <c r="N8" s="98">
        <v>25629.499689819873</v>
      </c>
      <c r="O8" s="98">
        <v>1382384.1575847175</v>
      </c>
      <c r="P8" s="98">
        <v>92858.458097270282</v>
      </c>
      <c r="Q8" s="98">
        <v>6996.8066617967852</v>
      </c>
      <c r="R8" s="98">
        <v>3583785.1199370855</v>
      </c>
      <c r="S8" s="98"/>
      <c r="T8" s="98">
        <v>145223.49884024932</v>
      </c>
      <c r="U8" s="98">
        <v>62449.895564611637</v>
      </c>
      <c r="V8" s="98">
        <v>931773.57563248114</v>
      </c>
      <c r="W8" s="98">
        <v>43215.162026117658</v>
      </c>
      <c r="X8" s="98">
        <v>1895929.0979770198</v>
      </c>
      <c r="Y8" s="98">
        <v>363566.08620449959</v>
      </c>
      <c r="Z8" s="98">
        <v>3834.4535099947971</v>
      </c>
      <c r="AA8" s="98">
        <v>666394.02963851194</v>
      </c>
      <c r="AB8" s="98">
        <v>1463941.3963636679</v>
      </c>
      <c r="AC8" s="98">
        <v>42785.020715148916</v>
      </c>
      <c r="AD8" s="98">
        <v>22004690.73024467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1638389.1617901847</v>
      </c>
      <c r="D9" s="98">
        <v>13532526.274747955</v>
      </c>
      <c r="E9" s="98">
        <v>2504739.6813387922</v>
      </c>
      <c r="F9" s="98">
        <v>429499.89225154783</v>
      </c>
      <c r="G9" s="98">
        <v>3754545.1004616315</v>
      </c>
      <c r="H9" s="98">
        <v>4665261.3060253542</v>
      </c>
      <c r="I9" s="98">
        <v>1954922.2590800906</v>
      </c>
      <c r="J9" s="98">
        <v>88144.616922930349</v>
      </c>
      <c r="K9" s="98">
        <v>5150784.5936491098</v>
      </c>
      <c r="L9" s="98">
        <v>1974670.329311419</v>
      </c>
      <c r="M9" s="98">
        <v>310882.99382188881</v>
      </c>
      <c r="N9" s="98">
        <v>1291891.7459573122</v>
      </c>
      <c r="O9" s="98">
        <v>5885202.4972315747</v>
      </c>
      <c r="P9" s="98">
        <v>238217.51789981721</v>
      </c>
      <c r="Q9" s="98">
        <v>22114.687009761685</v>
      </c>
      <c r="R9" s="98">
        <v>13286888.858926568</v>
      </c>
      <c r="S9" s="98">
        <v>2133321.0209720153</v>
      </c>
      <c r="T9" s="98">
        <v>543843.93165713688</v>
      </c>
      <c r="U9" s="98">
        <v>252657.26163705671</v>
      </c>
      <c r="V9" s="98">
        <v>3473534.0868313881</v>
      </c>
      <c r="W9" s="98">
        <v>70595.808248294139</v>
      </c>
      <c r="X9" s="98">
        <v>9913454.4326011986</v>
      </c>
      <c r="Y9" s="98">
        <v>903035.04607901734</v>
      </c>
      <c r="Z9" s="98">
        <v>3834.4535099947971</v>
      </c>
      <c r="AA9" s="98">
        <v>2369092.1669407808</v>
      </c>
      <c r="AB9" s="98">
        <v>5205858.5222502556</v>
      </c>
      <c r="AC9" s="98">
        <v>185670.16664717227</v>
      </c>
      <c r="AD9" s="98">
        <v>82293438.985492676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E46" sqref="E46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316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21.127438453286224</v>
      </c>
      <c r="C7" s="235">
        <v>0</v>
      </c>
      <c r="D7" s="235">
        <v>1.8768062083648245</v>
      </c>
      <c r="E7" s="235">
        <v>3.0910231340632697</v>
      </c>
      <c r="F7" s="235">
        <v>0.15417533765718924</v>
      </c>
      <c r="G7" s="235">
        <v>1.7284232885336528</v>
      </c>
      <c r="H7" s="235">
        <v>4.8379999999999992</v>
      </c>
      <c r="I7" s="235">
        <v>6.6240810463868627</v>
      </c>
      <c r="J7" s="235">
        <v>44.966727493106276</v>
      </c>
      <c r="K7" s="235">
        <v>84.406674961398295</v>
      </c>
    </row>
    <row r="8" spans="1:11" x14ac:dyDescent="0.25">
      <c r="A8" s="79">
        <v>2050</v>
      </c>
      <c r="B8" s="235">
        <v>20.013296105177979</v>
      </c>
      <c r="C8" s="235">
        <v>0</v>
      </c>
      <c r="D8" s="235">
        <v>0.51656795659625476</v>
      </c>
      <c r="E8" s="235">
        <v>3.2455399152412623</v>
      </c>
      <c r="F8" s="235">
        <v>0.12212607406074069</v>
      </c>
      <c r="G8" s="235">
        <v>0.75410839768439053</v>
      </c>
      <c r="H8" s="235">
        <v>9.6759999999999984</v>
      </c>
      <c r="I8" s="235">
        <v>5.6341600429794019</v>
      </c>
      <c r="J8" s="235">
        <v>49.306462987563584</v>
      </c>
      <c r="K8" s="235">
        <v>89.268261479303618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5.3593897439621303</v>
      </c>
      <c r="C11" s="235">
        <v>2.1694819870080004</v>
      </c>
      <c r="D11" s="235">
        <v>0</v>
      </c>
      <c r="E11" s="235">
        <v>4.6124320000000001</v>
      </c>
      <c r="F11" s="235">
        <v>0</v>
      </c>
      <c r="G11" s="235">
        <v>8.9351415839125412</v>
      </c>
      <c r="H11" s="235">
        <v>0</v>
      </c>
      <c r="I11" s="235">
        <v>0</v>
      </c>
      <c r="J11" s="235">
        <v>0</v>
      </c>
      <c r="K11" s="235">
        <v>21.076445314882672</v>
      </c>
    </row>
    <row r="12" spans="1:11" x14ac:dyDescent="0.25">
      <c r="A12" s="79">
        <v>2050</v>
      </c>
      <c r="B12" s="235">
        <v>6.6897770905091694</v>
      </c>
      <c r="C12" s="235">
        <v>2.1694819870080004</v>
      </c>
      <c r="D12" s="235">
        <v>0</v>
      </c>
      <c r="E12" s="235">
        <v>1.4413849999999999</v>
      </c>
      <c r="F12" s="235">
        <v>0</v>
      </c>
      <c r="G12" s="235">
        <v>11.005910934884939</v>
      </c>
      <c r="H12" s="235">
        <v>0</v>
      </c>
      <c r="I12" s="235">
        <v>0</v>
      </c>
      <c r="J12" s="235">
        <v>0</v>
      </c>
      <c r="K12" s="235">
        <v>21.306555012402107</v>
      </c>
    </row>
    <row r="13" spans="1:11" x14ac:dyDescent="0.25">
      <c r="A13" s="78" t="s">
        <v>289</v>
      </c>
      <c r="B13" s="235">
        <v>58.684665082966504</v>
      </c>
      <c r="C13" s="235">
        <v>0</v>
      </c>
      <c r="D13" s="235">
        <v>2.3933741649610791</v>
      </c>
      <c r="E13" s="235">
        <v>25.910153537861728</v>
      </c>
      <c r="F13" s="235">
        <v>0.27630141171792993</v>
      </c>
      <c r="G13" s="235">
        <v>2.4825316862180431</v>
      </c>
      <c r="H13" s="235">
        <v>14.513999999999998</v>
      </c>
      <c r="I13" s="235">
        <v>16.209288217195844</v>
      </c>
      <c r="J13" s="235">
        <v>141.76228540501171</v>
      </c>
      <c r="K13" s="235">
        <v>262.23259950593285</v>
      </c>
    </row>
    <row r="14" spans="1:11" x14ac:dyDescent="0.25">
      <c r="A14" s="78" t="s">
        <v>244</v>
      </c>
      <c r="B14" s="235">
        <v>19.532321538678303</v>
      </c>
      <c r="C14" s="235">
        <v>6.5084459610240017</v>
      </c>
      <c r="D14" s="235">
        <v>1.4201719861750002</v>
      </c>
      <c r="E14" s="235">
        <v>6.5045840343200005</v>
      </c>
      <c r="F14" s="235">
        <v>0</v>
      </c>
      <c r="G14" s="235">
        <v>25.033335476802485</v>
      </c>
      <c r="H14" s="235">
        <v>0</v>
      </c>
      <c r="I14" s="235">
        <v>0</v>
      </c>
      <c r="J14" s="235">
        <v>0</v>
      </c>
      <c r="K14" s="235">
        <v>58.998858996999779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1163069.4443068176</v>
      </c>
      <c r="C4" s="236">
        <v>128467.8</v>
      </c>
      <c r="D4" s="236">
        <v>184012.35316469875</v>
      </c>
      <c r="E4" s="236">
        <v>934200.74426179938</v>
      </c>
      <c r="F4" s="236">
        <v>25767.465903708511</v>
      </c>
      <c r="G4" s="236">
        <v>1444319.4903634591</v>
      </c>
      <c r="H4" s="236">
        <v>1499775.7508217124</v>
      </c>
      <c r="I4" s="236">
        <v>5379613.0488221962</v>
      </c>
    </row>
    <row r="5" spans="1:9" x14ac:dyDescent="0.25">
      <c r="A5" s="78">
        <v>2050</v>
      </c>
      <c r="B5" s="236">
        <v>1174348.2607910961</v>
      </c>
      <c r="C5" s="236">
        <v>128467.8</v>
      </c>
      <c r="D5" s="236">
        <v>72299.899439519868</v>
      </c>
      <c r="E5" s="236">
        <v>479407.95448728558</v>
      </c>
      <c r="F5" s="236">
        <v>20411.043018508193</v>
      </c>
      <c r="G5" s="236">
        <v>1590506.9980356381</v>
      </c>
      <c r="H5" s="236">
        <v>1655938.2672662933</v>
      </c>
      <c r="I5" s="236">
        <v>5121380.2230383409</v>
      </c>
    </row>
    <row r="6" spans="1:9" x14ac:dyDescent="0.25">
      <c r="A6" s="78" t="s">
        <v>61</v>
      </c>
      <c r="B6" s="236">
        <v>3414722.6450979132</v>
      </c>
      <c r="C6" s="236">
        <v>385403.4</v>
      </c>
      <c r="D6" s="236">
        <v>385038.61260421859</v>
      </c>
      <c r="E6" s="236">
        <v>3089026.6894043125</v>
      </c>
      <c r="F6" s="236">
        <v>46178.508922216701</v>
      </c>
      <c r="G6" s="236">
        <v>3738842.6042324309</v>
      </c>
      <c r="H6" s="236">
        <v>4731587.4965191819</v>
      </c>
      <c r="I6" s="236">
        <v>15790799.956780273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314</v>
      </c>
      <c r="I2" s="168" t="s">
        <v>336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5944363.3032441009</v>
      </c>
      <c r="C4" s="98">
        <v>-50273.43159900204</v>
      </c>
      <c r="D4" s="98">
        <v>4683728.0309545286</v>
      </c>
      <c r="E4" s="98">
        <v>5983472.0830119411</v>
      </c>
      <c r="F4" s="98">
        <v>-3404236.3224875946</v>
      </c>
      <c r="G4" s="98">
        <v>-267273.42358664621</v>
      </c>
      <c r="H4" s="98">
        <v>-326333.33333333331</v>
      </c>
      <c r="I4" s="98">
        <v>-674720.29971579439</v>
      </c>
      <c r="J4" s="98">
        <v>11888726.6064882</v>
      </c>
    </row>
    <row r="5" spans="1:10" x14ac:dyDescent="0.25">
      <c r="A5" s="78">
        <v>2050</v>
      </c>
      <c r="B5" s="98">
        <v>-97929.093596754246</v>
      </c>
      <c r="C5" s="98">
        <v>-50273.43159900204</v>
      </c>
      <c r="D5" s="98">
        <v>3844698.7457180107</v>
      </c>
      <c r="E5" s="98">
        <v>4325611.8575397506</v>
      </c>
      <c r="F5" s="98">
        <v>-5008646.9254477425</v>
      </c>
      <c r="G5" s="98">
        <v>-321140.61267399631</v>
      </c>
      <c r="H5" s="98">
        <v>-652666.66666666663</v>
      </c>
      <c r="I5" s="98">
        <v>-2235512.0604671068</v>
      </c>
      <c r="J5" s="98">
        <v>-195858.18719350686</v>
      </c>
    </row>
    <row r="6" spans="1:10" x14ac:dyDescent="0.25">
      <c r="A6" s="78" t="s">
        <v>61</v>
      </c>
      <c r="B6" s="98">
        <v>19757996.327924918</v>
      </c>
      <c r="C6" s="98">
        <v>-100705.30039800408</v>
      </c>
      <c r="D6" s="98">
        <v>14047688.677409254</v>
      </c>
      <c r="E6" s="98">
        <v>20034550.130285874</v>
      </c>
      <c r="F6" s="98">
        <v>-8974783.2479353361</v>
      </c>
      <c r="G6" s="98">
        <v>-753621.24715570221</v>
      </c>
      <c r="H6" s="98">
        <v>-979000</v>
      </c>
      <c r="I6" s="98">
        <v>-3516132.684281176</v>
      </c>
      <c r="J6" s="98">
        <v>39515992.655849822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335</v>
      </c>
      <c r="E9" s="168" t="s">
        <v>336</v>
      </c>
      <c r="G9" s="168" t="s">
        <v>334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314</v>
      </c>
      <c r="E11" s="168" t="s">
        <v>314</v>
      </c>
      <c r="G11" s="168" t="s">
        <v>314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4971842.5422849236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4301804.4346257793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3646904.4080332778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-2964437.0925570112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-533589.52607487072</v>
      </c>
      <c r="D19" s="168" t="s">
        <v>335</v>
      </c>
      <c r="E19" s="98" t="str">
        <f t="shared" si="4"/>
        <v>Træprodukter</v>
      </c>
      <c r="G19" s="168" t="s">
        <v>334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-243917.45667322632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-235216.14768828885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-368229.69503391907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3530736.5199818327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3179050.8377103894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-4370739.0801433669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-1922229.6171750224</v>
      </c>
      <c r="D29" s="168" t="s">
        <v>335</v>
      </c>
      <c r="E29" s="98" t="str">
        <f t="shared" si="4"/>
        <v>Træprodukter</v>
      </c>
      <c r="G29" s="168" t="s">
        <v>334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-293183.63913124066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-454402.2225772586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335</v>
      </c>
      <c r="E39" s="98" t="str">
        <f t="shared" si="4"/>
        <v>Træprodukter</v>
      </c>
      <c r="G39" s="168" t="s">
        <v>334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972520.76095917739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381923.59632874915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1186961.7393696562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-439799.2299305835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-141130.7736409237</v>
      </c>
      <c r="D49" s="168" t="s">
        <v>335</v>
      </c>
      <c r="E49" s="98" t="str">
        <f t="shared" si="4"/>
        <v>Træprodukter</v>
      </c>
      <c r="G49" s="168" t="s">
        <v>334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-23355.966913419899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-91117.185645044447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270300.60143716482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313962.22573617811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1146561.019829361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-637907.84530437551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-313282.44329208438</v>
      </c>
      <c r="D59" s="168" t="s">
        <v>335</v>
      </c>
      <c r="E59" s="98" t="str">
        <f t="shared" si="4"/>
        <v>Træprodukter</v>
      </c>
      <c r="G59" s="168" t="s">
        <v>334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-27956.973542755644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-198264.44408940806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961667.60355021385</v>
      </c>
      <c r="C6" s="98">
        <v>1238021.3933947089</v>
      </c>
      <c r="D6" s="98">
        <v>35808.662578309268</v>
      </c>
      <c r="E6" s="98">
        <v>13968196.78678616</v>
      </c>
      <c r="F6" s="98">
        <v>1403964.8420366501</v>
      </c>
      <c r="G6" s="98">
        <v>791123.49481720233</v>
      </c>
      <c r="H6" s="98">
        <v>1947010.7214382149</v>
      </c>
      <c r="I6" s="98">
        <v>6093809.1851222105</v>
      </c>
      <c r="J6" s="98">
        <v>5469746.5967364144</v>
      </c>
      <c r="K6" s="98">
        <v>1736814.9544858108</v>
      </c>
      <c r="L6" s="98">
        <v>162920.24875184946</v>
      </c>
      <c r="M6" s="98">
        <v>591435.80771311279</v>
      </c>
      <c r="N6" s="98">
        <v>2226602.0293152034</v>
      </c>
      <c r="O6" s="98">
        <v>36627122.326726057</v>
      </c>
    </row>
    <row r="7" spans="1:15" x14ac:dyDescent="0.25">
      <c r="A7" s="78">
        <v>2050</v>
      </c>
      <c r="B7" s="98">
        <v>827259.69708971994</v>
      </c>
      <c r="C7" s="98">
        <v>1013965.6714587077</v>
      </c>
      <c r="D7" s="98">
        <v>30278.85164469474</v>
      </c>
      <c r="E7" s="98">
        <v>12698880.305708399</v>
      </c>
      <c r="F7" s="98">
        <v>1580542.7512622264</v>
      </c>
      <c r="G7" s="98">
        <v>666394.02963851194</v>
      </c>
      <c r="H7" s="98">
        <v>1633715.525434759</v>
      </c>
      <c r="I7" s="98">
        <v>5144443.6215560986</v>
      </c>
      <c r="J7" s="98">
        <v>4594091.7460922403</v>
      </c>
      <c r="K7" s="98">
        <v>1463941.3963636679</v>
      </c>
      <c r="L7" s="98">
        <v>125003.78132033482</v>
      </c>
      <c r="M7" s="98">
        <v>503050.00383744668</v>
      </c>
      <c r="N7" s="98">
        <v>5709499.4630471636</v>
      </c>
      <c r="O7" s="98">
        <v>35991066.844453976</v>
      </c>
    </row>
    <row r="8" spans="1:15" x14ac:dyDescent="0.25">
      <c r="A8" s="78" t="s">
        <v>61</v>
      </c>
      <c r="B8" s="98">
        <v>2074053.4026246127</v>
      </c>
      <c r="C8" s="98">
        <v>3754545.1004616315</v>
      </c>
      <c r="D8" s="98">
        <v>107815.40411577554</v>
      </c>
      <c r="E8" s="98">
        <v>44610515.788064741</v>
      </c>
      <c r="F8" s="98">
        <v>3265117.0147518213</v>
      </c>
      <c r="G8" s="98">
        <v>2369092.1669407808</v>
      </c>
      <c r="H8" s="98">
        <v>5843045.0875065401</v>
      </c>
      <c r="I8" s="98">
        <v>20348040.776122727</v>
      </c>
      <c r="J8" s="98">
        <v>18011533.636675399</v>
      </c>
      <c r="K8" s="98">
        <v>5205858.5222502556</v>
      </c>
      <c r="L8" s="98">
        <v>497706.41746718431</v>
      </c>
      <c r="M8" s="98">
        <v>1772893.6288289898</v>
      </c>
      <c r="N8" s="98">
        <v>10565524.628348937</v>
      </c>
      <c r="O8" s="98">
        <v>118425741.5741594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4620675.8964980748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727176.60524954333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447330.59058373148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10794528.482848618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1059391.2530405498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1483151.0584480518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1674738.7828463221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4179524.3810275476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27051.16059114927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1317768.395568013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934673.59009641467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600779.78805833985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125748.23741197774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3780840.3396516475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607983.4991327466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369709.90203897492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9332872.9907836542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1161598.8495775687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1200677.4719421556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4196120.6064453982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3376366.5569012994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22253.038843092927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1075904.2363814465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745200.56894188409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489757.41882038367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91869.864613650177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1473133.2886241353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234490.9983006705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144105.21712938134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3173668.3039375409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344573.5889961003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463859.66299016302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551863.24646888149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1290222.2157088669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8757.5019871599998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419046.55891779787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303347.80329829425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190343.70675886245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37172.011339871715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1363603.2819044513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219276.19795697337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133340.10179847176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3366007.3149247444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418943.90168465767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433038.05349260336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1513378.8566017656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1217725.1891909407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8025.8128016018145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388037.15998222143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268765.10251682362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176636.61081812825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33133.916706684649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2895697.75418304</v>
      </c>
      <c r="C7" s="236">
        <v>799072.903388076</v>
      </c>
      <c r="D7" s="236">
        <v>3694770.657571116</v>
      </c>
    </row>
    <row r="8" spans="1:4" x14ac:dyDescent="0.25">
      <c r="A8" s="78">
        <v>2050</v>
      </c>
      <c r="B8" s="236">
        <v>3243258.6986049283</v>
      </c>
      <c r="C8" s="236">
        <v>976649.60781058134</v>
      </c>
      <c r="D8" s="236">
        <v>4219908.3064155094</v>
      </c>
    </row>
    <row r="9" spans="1:4" x14ac:dyDescent="0.25">
      <c r="A9" s="78" t="s">
        <v>61</v>
      </c>
      <c r="B9" s="236">
        <v>9149194.9451126531</v>
      </c>
      <c r="C9" s="236">
        <v>2603415.7161208615</v>
      </c>
      <c r="D9" s="236">
        <v>11752610.661233515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2228369.9999999995</v>
      </c>
      <c r="E6" s="236">
        <v>572920.00000000012</v>
      </c>
      <c r="F6" s="236">
        <v>811900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1899636</v>
      </c>
      <c r="E7" s="236">
        <v>651654.00000000012</v>
      </c>
      <c r="F7" s="236">
        <v>1061900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6706376</v>
      </c>
      <c r="E8" s="236">
        <v>1697494.0000000002</v>
      </c>
      <c r="F8" s="236">
        <v>2435700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264117.89004586969</v>
      </c>
      <c r="C7" s="236">
        <v>4458.757841012437</v>
      </c>
      <c r="D7" s="236">
        <v>212028.31380976731</v>
      </c>
      <c r="E7" s="236">
        <v>64589.359990751684</v>
      </c>
      <c r="F7" s="236">
        <v>16716.165394297434</v>
      </c>
      <c r="G7" s="236">
        <v>48402.381741449251</v>
      </c>
      <c r="H7" s="236">
        <v>905088.02622703218</v>
      </c>
      <c r="I7" s="236">
        <v>124875.40669382241</v>
      </c>
      <c r="J7" s="236">
        <v>61589.243977212194</v>
      </c>
      <c r="K7" s="236">
        <v>142665.2056189712</v>
      </c>
      <c r="L7" s="236">
        <v>29068.040345226058</v>
      </c>
      <c r="M7" s="236">
        <v>255816.30203413824</v>
      </c>
      <c r="N7" s="236">
        <v>6954.751488188539</v>
      </c>
      <c r="O7" s="236">
        <v>91124.174041285412</v>
      </c>
      <c r="P7" s="236">
        <v>2227494.0192490248</v>
      </c>
    </row>
    <row r="8" spans="1:16" x14ac:dyDescent="0.25">
      <c r="A8" s="78">
        <v>2050</v>
      </c>
      <c r="B8" s="236">
        <v>231755.59199999995</v>
      </c>
      <c r="C8" s="236">
        <v>3856.6246242587122</v>
      </c>
      <c r="D8" s="236">
        <v>246952.67999999996</v>
      </c>
      <c r="E8" s="236">
        <v>74085.803999999989</v>
      </c>
      <c r="F8" s="236">
        <v>14412.414806996741</v>
      </c>
      <c r="G8" s="236">
        <v>41596.868517815572</v>
      </c>
      <c r="H8" s="236">
        <v>778850.75999999989</v>
      </c>
      <c r="I8" s="236">
        <v>106379.61599999998</v>
      </c>
      <c r="J8" s="236">
        <v>53130.292819429109</v>
      </c>
      <c r="K8" s="236">
        <v>124102.62830577194</v>
      </c>
      <c r="L8" s="236">
        <v>75985.439999999988</v>
      </c>
      <c r="M8" s="236">
        <v>66487.259999999995</v>
      </c>
      <c r="N8" s="236">
        <v>5542.2060385333634</v>
      </c>
      <c r="O8" s="236">
        <v>76736.379999162556</v>
      </c>
      <c r="P8" s="236">
        <v>1899874.5671119678</v>
      </c>
    </row>
    <row r="9" spans="1:16" x14ac:dyDescent="0.25">
      <c r="A9" s="78" t="s">
        <v>61</v>
      </c>
      <c r="B9" s="236">
        <v>572726.69491229195</v>
      </c>
      <c r="C9" s="236">
        <v>13430.163358377056</v>
      </c>
      <c r="D9" s="236">
        <v>747912.40946541517</v>
      </c>
      <c r="E9" s="236">
        <v>151427.24255957967</v>
      </c>
      <c r="F9" s="236">
        <v>50071.276668040395</v>
      </c>
      <c r="G9" s="236">
        <v>145074.77106124631</v>
      </c>
      <c r="H9" s="236">
        <v>3021760.1189100333</v>
      </c>
      <c r="I9" s="236">
        <v>411395.69857692678</v>
      </c>
      <c r="J9" s="236">
        <v>184658.1728657817</v>
      </c>
      <c r="K9" s="236">
        <v>428199.45625743642</v>
      </c>
      <c r="L9" s="236">
        <v>139019.83720894507</v>
      </c>
      <c r="M9" s="236">
        <v>543308.57711044431</v>
      </c>
      <c r="N9" s="236">
        <v>21076.584913296312</v>
      </c>
      <c r="O9" s="236">
        <v>275677.58249317686</v>
      </c>
      <c r="P9" s="236">
        <v>6705738.5863609929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1621788.8908663751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660346.70696377289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1396112.1839026022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886023.41392754577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527847.10913362482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151553.29303622711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503523.81609739771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175876.58607245423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8569063.6543603484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979947.23772680899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6756087.5466497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768026.38024560735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562012.89563964971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203647.16227319094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575167.43014575983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4031923.6853217762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1399944.3823990009</v>
      </c>
      <c r="J16" s="76">
        <f t="shared" si="2"/>
        <v>1399944.3823990009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171147.38165312857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660628.89318107627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208635.55547464435</v>
      </c>
      <c r="J17" s="76">
        <f t="shared" si="2"/>
        <v>208635.55547464435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763622.5533502996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91647.583160816706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403249.36590759351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229114.19222771746</v>
      </c>
      <c r="J18" s="76">
        <f t="shared" si="2"/>
        <v>229114.19222771746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206698.41975439253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126256.2651539473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6264835.8769388646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6264835.8769388646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42085.421717982426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873272.50064813532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873272.50064813532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30718.547372930658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1304644.337367801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1304644.337367801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18892.022925517973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1535047.3553211917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1535047.3553211917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78559.45387356721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3496681.291912477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3496681.291912477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2848.0486738842505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24179.933241277293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24179.933241277293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39235.776034734517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1169066.9662307997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1169066.9662307997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56668.45145378921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809727.61227932072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143099.17361110853</v>
      </c>
      <c r="J26" s="76">
        <f t="shared" si="2"/>
        <v>143099.17361110853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10643.311931460419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532165.59657302103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532165.59657302103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4092.8205610553005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99824.891733056109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99824.891733056109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154313.21296593559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2127979.2068002517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2127979.2068002517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472234.94620505511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3310366.9728974365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1235346.1951110007</v>
      </c>
      <c r="J30" s="76">
        <f t="shared" si="2"/>
        <v>1235346.1951110007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140518.69130979691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542402.14845581609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184105.27079568928</v>
      </c>
      <c r="J31" s="76">
        <f t="shared" si="2"/>
        <v>184105.27079568928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75246.248718922972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331083.4943632611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202176.13583292536</v>
      </c>
      <c r="J32" s="76">
        <f t="shared" si="2"/>
        <v>202176.13583292536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149733.03172355407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7429753.0341227539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7429753.0341227539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44919.909517066219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932088.12247912399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932088.12247912399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25221.128328627925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1071164.0057878112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1071164.0057878112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46071.702068785875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3743497.7024249295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3743497.7024249295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64500.382896300216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2870912.0427143229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2870912.0427143229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2338.3593051509692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19852.670500731732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19852.670500731732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32214.106039316102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959849.68371418584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959849.68371418584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46527.014085311035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664818.02582001023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126274.31622753412</v>
      </c>
      <c r="J40" s="76">
        <f t="shared" si="2"/>
        <v>126274.31622753412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8738.5751938754584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436928.75969377294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436928.75969377294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3360.3656886258095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81960.138746970973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81960.138746970973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40312.739310187637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555912.67508748756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555912.67508748756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89766.01510945386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421604.04316457198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146387.24784738687</v>
      </c>
      <c r="J58" s="76">
        <f t="shared" si="2"/>
        <v>146387.24784738687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26710.863032569199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58769.240844258748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18560.122536154777</v>
      </c>
      <c r="J59" s="76">
        <f t="shared" si="2"/>
        <v>18560.122536154777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14303.380030878912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34614.179674726969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19666.738465789625</v>
      </c>
      <c r="J60" s="76">
        <f t="shared" si="2"/>
        <v>19666.738465789625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19704.73502402646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762644.18247591064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762644.18247591064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6568.2450080088183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77685.917832224295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77685.917832224295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4794.2241564689475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116060.55694849975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116060.55694849975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2948.4660057166784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136557.10288088521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136557.10288088521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12260.724014949797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452951.60550149484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452951.60550149484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444.49314563511427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2151.0356796720089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2151.0356796720089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6123.5026181377571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103999.65670689021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103999.65670689021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8844.2091864295289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72032.993947854004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12730.036311415954</v>
      </c>
      <c r="J68" s="76">
        <f t="shared" si="2"/>
        <v>12730.036311415954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1661.0949257192565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47341.205382998807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47341.205382998807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638.76390259244579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8880.3762067730258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8880.3762067730258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24083.565029365669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332112.36175495264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332112.36175495264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100171.0491950117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470473.36675421149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175568.89863850287</v>
      </c>
      <c r="J72" s="76">
        <f t="shared" ref="J72:J139" si="15">IF(I72&lt;&gt;0,I72,H72)</f>
        <v>175568.89863850287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29806.995126320551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65581.35067693048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22260.00092347879</v>
      </c>
      <c r="J73" s="76">
        <f t="shared" si="15"/>
        <v>22260.00092347879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15961.325485832145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38626.407675713795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23587.21584717463</v>
      </c>
      <c r="J74" s="76">
        <f t="shared" si="15"/>
        <v>23587.21584717463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31761.552183784199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1229286.4111003103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1229286.4111003103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9528.46565513526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112697.92753611229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112697.92753611229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5349.9363121331962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129513.46615434445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129513.46615434445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9772.7852873182146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452622.90402046865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452622.90402046865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13681.899402245501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505454.51418697624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505454.51418697624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496.01561018353891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2400.3683423611997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2400.3683423611997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6833.2952204609919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116054.55266726064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116054.55266726064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9869.3666241568881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80382.543121873969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15267.71278023822</v>
      </c>
      <c r="J82" s="76">
        <f t="shared" si="15"/>
        <v>15267.71278023822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1853.6371623372183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52828.659126610721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52828.659126610721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712.80484304183835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9909.725866679215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9909.725866679215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8551.187126403438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117920.87047310342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117920.87047310342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52542.198702292866</v>
      </c>
      <c r="J100" s="76">
        <f t="shared" si="15"/>
        <v>52542.198702292866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2255.8658242906486</v>
      </c>
      <c r="J101" s="76">
        <f t="shared" si="15"/>
        <v>2255.8658242906486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4953.6765281455491</v>
      </c>
      <c r="J102" s="76">
        <f t="shared" si="15"/>
        <v>4953.6765281455491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8587.1428271035584</v>
      </c>
      <c r="J110" s="76">
        <f t="shared" si="15"/>
        <v>8587.1428271035584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5494.1524538987178</v>
      </c>
      <c r="J142" s="76">
        <f t="shared" si="29"/>
        <v>5494.1524538987178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200.68078055394847</v>
      </c>
      <c r="J143" s="76">
        <f t="shared" si="29"/>
        <v>200.68078055394847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425.21443030613528</v>
      </c>
      <c r="J144" s="76">
        <f t="shared" si="29"/>
        <v>425.21443030613528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763.90825496603338</v>
      </c>
      <c r="J152" s="76">
        <f t="shared" si="29"/>
        <v>763.90825496603338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187200.97725424002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1312278.8505522227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455642.90109448996</v>
      </c>
      <c r="J268" s="76">
        <f t="shared" si="42"/>
        <v>455642.90109448996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55703.705426871427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215016.30294772374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67905.061774684975</v>
      </c>
      <c r="J269" s="76">
        <f t="shared" si="42"/>
        <v>67905.061774684975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29828.73548028665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131246.43611326127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74570.287606471655</v>
      </c>
      <c r="J270" s="76">
        <f t="shared" si="42"/>
        <v>74570.287606471655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41092.897446052695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2039029.5712731348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2039029.5712731348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13697.632482017563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284225.87400186446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284225.87400186446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9998.0315063841063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424625.39101452497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424625.39101452497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6148.8272259613505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499615.15549453115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499615.15549453115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25568.913966432789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1138072.3606459235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1138072.3606459235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926.96051110484541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7869.8947392801383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7869.8947392801383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12770.152188849457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380498.73320990009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380498.73320990009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18444.002451504257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263543.78287730424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46574.794990538554</v>
      </c>
      <c r="J278" s="76">
        <f t="shared" si="55"/>
        <v>46574.794990538554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3464.1015648020552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173205.07824010277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173205.07824010277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1332.0990873242467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32490.221642054799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32490.221642054799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50224.652434064403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692597.95706574817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692597.95706574817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170316.93079494475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1193921.6848725628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445541.72475231858</v>
      </c>
      <c r="J282" s="76">
        <f t="shared" si="55"/>
        <v>445541.72475231858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50679.672090203072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195623.53426818387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66399.670157994566</v>
      </c>
      <c r="J283" s="76">
        <f t="shared" si="55"/>
        <v>66399.670157994566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27138.41963333889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119409.04638669112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72917.134176032938</v>
      </c>
      <c r="J284" s="76">
        <f t="shared" si="55"/>
        <v>72917.134176032938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54002.929276445902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2679625.3506972454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2679625.3506972454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16200.878782933769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336168.2347458757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336168.2347458757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9096.2881985699169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386327.54163979221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386327.54163979221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16616.285931214126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1350135.2329780553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1350135.2329780553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23262.800303699772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1035427.241517677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1035427.241517677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843.35600986246845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7160.0925237323581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7160.0925237323581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11618.385536712913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346180.75910822675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346180.75910822675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16780.499413998074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239774.21960138364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45542.275409590766</v>
      </c>
      <c r="J292" s="76">
        <f t="shared" si="55"/>
        <v>45542.275409590766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3151.6670218968543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157583.35109484274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157583.35109484274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1211.9542931642154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29559.860808883306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29559.860808883306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14539.250189812359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200496.26011751246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200496.26011751246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29216.337490546135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137220.37229184803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47644.971565314016</v>
      </c>
      <c r="J310" s="76">
        <f t="shared" si="55"/>
        <v>47644.971565314016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8693.6418874308019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19127.750880725253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6040.8028942913397</v>
      </c>
      <c r="J311" s="76">
        <f t="shared" si="55"/>
        <v>6040.8028942913397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4655.3517801603448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11265.951307988036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6400.9755546595625</v>
      </c>
      <c r="J312" s="76">
        <f t="shared" si="55"/>
        <v>6400.9755546595625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6413.3423759735424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248219.43798272961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248219.43798272961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2137.7807919911802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25284.602317275683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25284.602317275683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1560.3864200715082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37774.478426089823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37774.478426089823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959.6435554968582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44445.533196883436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44445.533196883436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3990.524145050204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147423.1306478332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147423.1306478332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144.67013757127646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700.10219674867813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700.10219674867813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1993.0295323637881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33848.991353181285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33848.991353181285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2878.5437352058666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23444.733054807584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4143.2722248808568</v>
      </c>
      <c r="J320" s="76">
        <f t="shared" si="55"/>
        <v>4143.2722248808568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540.64012861072547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15408.243665405678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15408.243665405678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207.89985755927555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2890.3150928972454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2890.3150928972454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7838.5295706343286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108093.3227790474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108093.3227790474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36127.83380498828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169681.59703188846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63320.929972374965</v>
      </c>
      <c r="J324" s="76">
        <f t="shared" si="55"/>
        <v>63320.929972374965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10750.23347367944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23652.663688789504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8028.3237554666157</v>
      </c>
      <c r="J325" s="76">
        <f t="shared" si="55"/>
        <v>8028.3237554666157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5756.6344676779472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13931.055411780635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8506.9989872038423</v>
      </c>
      <c r="J326" s="76">
        <f t="shared" si="55"/>
        <v>8506.9989872038423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11455.166816215797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443356.1943880897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443356.1943880897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3436.550044864739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40645.795655637696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40645.795655637696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1929.5156784845281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46710.511852811236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46710.511852811236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3524.6667126817838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163243.62362371027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163243.62362371027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4934.5333977544969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182297.94767326373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182297.94767326373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178.89369906173573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865.72027786945773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865.72027786945773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2464.5060229391024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41856.400873994688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41856.400873994688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3559.4998756965615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28990.882915440023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5506.4751177050657</v>
      </c>
      <c r="J334" s="76">
        <f t="shared" si="55"/>
        <v>5506.4751177050657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668.53542888721154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19053.259723285526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19053.259723285526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257.08121370150025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3574.0558978013451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3574.0558978013451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3084.0833735965612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42529.509721896582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42529.509721896582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7429.2515145730249</v>
      </c>
      <c r="J352" s="76">
        <f t="shared" si="60"/>
        <v>7429.2515145730249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100.6187662397337</v>
      </c>
      <c r="J353" s="76">
        <f t="shared" si="60"/>
        <v>100.6187662397337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833.45575491937143</v>
      </c>
      <c r="J354" s="76">
        <f t="shared" si="60"/>
        <v>833.45575491937143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2654.9161829579666</v>
      </c>
      <c r="J362" s="76">
        <f t="shared" si="60"/>
        <v>2654.9161829579666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776.85063525217367</v>
      </c>
      <c r="J394" s="76">
        <f t="shared" si="60"/>
        <v>776.85063525217367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8.9509989157774648</v>
      </c>
      <c r="J395" s="76">
        <f t="shared" si="60"/>
        <v>8.9509989157774648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71.542300350015424</v>
      </c>
      <c r="J396" s="76">
        <f t="shared" si="60"/>
        <v>71.542300350015424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236.18011592903531</v>
      </c>
      <c r="J404" s="76">
        <f t="shared" si="60"/>
        <v>236.18011592903531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2021-10-19T11:24:29Z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