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466B90F-9D72-4642-9A1A-091CF089993E}" xr6:coauthVersionLast="47" xr6:coauthVersionMax="47" xr10:uidLastSave="{00000000-0000-0000-0000-000000000000}"/>
  <bookViews>
    <workbookView xWindow="-120" yWindow="-120" windowWidth="29040" windowHeight="15840" tabRatio="945" activeTab="3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352" r:id="rId37"/>
    <pivotCache cacheId="353" r:id="rId38"/>
    <pivotCache cacheId="354" r:id="rId39"/>
    <pivotCache cacheId="355" r:id="rId40"/>
    <pivotCache cacheId="356" r:id="rId41"/>
    <pivotCache cacheId="357" r:id="rId42"/>
    <pivotCache cacheId="358" r:id="rId43"/>
    <pivotCache cacheId="359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17" l="1"/>
  <c r="E24" i="17"/>
  <c r="D25" i="17"/>
  <c r="D24" i="17"/>
  <c r="C33" i="17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C24" i="20" l="1"/>
  <c r="P2" i="18" s="1"/>
  <c r="F3" i="35"/>
  <c r="F87" i="35"/>
  <c r="R54" i="66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D24" i="20" l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5" i="35" l="1"/>
  <c r="H175" i="35"/>
  <c r="I177" i="35"/>
  <c r="H177" i="35"/>
  <c r="H181" i="35"/>
  <c r="I181" i="35"/>
  <c r="H179" i="35"/>
  <c r="I179" i="35"/>
  <c r="H182" i="35"/>
  <c r="H180" i="35"/>
  <c r="I180" i="35"/>
  <c r="J109" i="58" s="1"/>
  <c r="I182" i="35"/>
  <c r="H178" i="35"/>
  <c r="H176" i="35"/>
  <c r="I176" i="35"/>
  <c r="I178" i="35"/>
  <c r="I171" i="35"/>
  <c r="H171" i="35"/>
  <c r="I173" i="35"/>
  <c r="H173" i="35"/>
  <c r="H172" i="35"/>
  <c r="I172" i="35"/>
  <c r="H174" i="35"/>
  <c r="I82" i="58" s="1"/>
  <c r="I174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81" i="58" l="1"/>
  <c r="I85" i="58"/>
  <c r="J108" i="58"/>
  <c r="J111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8" i="17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O20" i="20" l="1"/>
  <c r="G16" i="18" a="1"/>
  <c r="G16" i="18" s="1"/>
  <c r="H48" i="35" a="1"/>
  <c r="H48" i="35" s="1"/>
  <c r="I288" i="18"/>
  <c r="J288" i="18" s="1"/>
  <c r="G58" i="18" a="1"/>
  <c r="G58" i="18" s="1"/>
  <c r="I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J328" i="18"/>
  <c r="F323" i="18"/>
  <c r="H58" i="18"/>
  <c r="J335" i="18"/>
  <c r="F335" i="18"/>
  <c r="F280" i="18"/>
  <c r="F279" i="18"/>
  <c r="F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7" i="18" l="1"/>
  <c r="I18" i="18"/>
  <c r="J18" i="18" s="1"/>
  <c r="I71" i="18"/>
  <c r="J71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J24" i="18" l="1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H15" i="58" s="1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19" i="58"/>
  <c r="J19" i="37"/>
  <c r="I55" i="37"/>
  <c r="I31" i="37"/>
  <c r="H163" i="58"/>
  <c r="H163" i="37"/>
  <c r="H71" i="58"/>
  <c r="H59" i="37"/>
  <c r="H47" i="58"/>
  <c r="H47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I54" i="58" s="1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42" i="37"/>
  <c r="H21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53" i="58"/>
  <c r="I29" i="58"/>
  <c r="I29" i="37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I58" i="37"/>
  <c r="I58" i="58"/>
  <c r="H58" i="37"/>
  <c r="H58" i="58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I22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1" i="37"/>
  <c r="J21" i="58"/>
  <c r="J18" i="58"/>
  <c r="J18" i="37"/>
  <c r="J15" i="37"/>
  <c r="J15" i="58"/>
  <c r="J34" i="58" l="1"/>
  <c r="I53" i="37"/>
  <c r="J43" i="37"/>
  <c r="I65" i="37"/>
  <c r="J24" i="58"/>
  <c r="I70" i="58"/>
  <c r="I17" i="58"/>
  <c r="I35" i="58"/>
  <c r="G12" i="39"/>
  <c r="H40" i="58"/>
  <c r="H35" i="37"/>
  <c r="H35" i="41" s="1"/>
  <c r="H22" i="37"/>
  <c r="J46" i="58"/>
  <c r="H45" i="37"/>
  <c r="H45" i="58"/>
  <c r="I35" i="37"/>
  <c r="I66" i="58"/>
  <c r="J34" i="37"/>
  <c r="H69" i="58"/>
  <c r="H40" i="37"/>
  <c r="J73" i="37"/>
  <c r="J67" i="58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I45" i="41" l="1"/>
  <c r="H40" i="41"/>
  <c r="G27" i="39"/>
  <c r="H33" i="41"/>
  <c r="N59" i="66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N209" i="66" l="1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Q237" i="66" l="1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I442" i="37" l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T121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N211" i="66" l="1"/>
  <c r="O211" i="66" s="1"/>
  <c r="Q289" i="66"/>
  <c r="R289" i="66" s="1"/>
  <c r="T289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X226" i="66" s="1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X196" i="66" s="1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X22" i="66" s="1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X260" i="66" s="1"/>
  <c r="V116" i="66"/>
  <c r="U116" i="66"/>
  <c r="V212" i="66"/>
  <c r="U164" i="66"/>
  <c r="U68" i="66"/>
  <c r="U20" i="66"/>
  <c r="V68" i="66"/>
  <c r="X68" i="66" s="1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284" i="66" l="1"/>
  <c r="X217" i="66"/>
  <c r="X160" i="66"/>
  <c r="X29" i="66"/>
  <c r="X104" i="66"/>
  <c r="X105" i="66"/>
  <c r="X287" i="66"/>
  <c r="X89" i="66"/>
  <c r="X39" i="66"/>
  <c r="X255" i="66"/>
  <c r="X241" i="66"/>
  <c r="X107" i="66"/>
  <c r="X265" i="66"/>
  <c r="X231" i="66"/>
  <c r="X236" i="66"/>
  <c r="X285" i="66"/>
  <c r="X31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J4" i="58" l="1"/>
  <c r="J4" i="37"/>
  <c r="I4" i="37"/>
  <c r="I4" i="58"/>
  <c r="H4" i="58" l="1"/>
  <c r="H4" i="37"/>
  <c r="N4" i="58"/>
  <c r="E25" i="53"/>
  <c r="F197" i="66"/>
  <c r="L45" i="39"/>
  <c r="E19" i="53"/>
  <c r="I4" i="41"/>
  <c r="D45" i="39" s="1"/>
  <c r="F53" i="66"/>
  <c r="F101" i="66"/>
  <c r="E31" i="53"/>
  <c r="J4" i="41"/>
  <c r="E45" i="39" s="1"/>
  <c r="E37" i="53"/>
  <c r="O4" i="58"/>
  <c r="F245" i="66"/>
  <c r="M45" i="39"/>
  <c r="E59" i="39" l="1"/>
  <c r="E60" i="39" s="1"/>
  <c r="E56" i="39"/>
  <c r="E124" i="38"/>
  <c r="D56" i="39"/>
  <c r="E107" i="38"/>
  <c r="D59" i="39"/>
  <c r="D60" i="39" s="1"/>
  <c r="L59" i="39"/>
  <c r="L60" i="39" s="1"/>
  <c r="L56" i="39"/>
  <c r="E158" i="38"/>
  <c r="M56" i="39"/>
  <c r="E175" i="38"/>
  <c r="M59" i="39"/>
  <c r="M60" i="39" s="1"/>
  <c r="F5" i="66"/>
  <c r="C45" i="39"/>
  <c r="E7" i="53"/>
  <c r="H4" i="41"/>
  <c r="K45" i="39" s="1"/>
  <c r="M4" i="58"/>
  <c r="F149" i="66"/>
  <c r="E13" i="53"/>
  <c r="J197" i="66" l="1"/>
  <c r="D25" i="53"/>
  <c r="F25" i="53" s="1"/>
  <c r="I444" i="58"/>
  <c r="I452" i="58"/>
  <c r="L58" i="39"/>
  <c r="L57" i="39"/>
  <c r="K59" i="39"/>
  <c r="K60" i="39" s="1"/>
  <c r="E141" i="38"/>
  <c r="K56" i="39"/>
  <c r="D19" i="53"/>
  <c r="F19" i="53" s="1"/>
  <c r="H25" i="53" s="1"/>
  <c r="I452" i="37"/>
  <c r="I444" i="37"/>
  <c r="J53" i="66"/>
  <c r="E90" i="38"/>
  <c r="C59" i="39"/>
  <c r="C60" i="39" s="1"/>
  <c r="C56" i="39"/>
  <c r="D57" i="39"/>
  <c r="D58" i="39"/>
  <c r="J452" i="37"/>
  <c r="J444" i="37"/>
  <c r="J101" i="66"/>
  <c r="D31" i="53"/>
  <c r="F31" i="53" s="1"/>
  <c r="H37" i="53" s="1"/>
  <c r="J444" i="58"/>
  <c r="D37" i="53"/>
  <c r="F37" i="53" s="1"/>
  <c r="J245" i="66"/>
  <c r="J452" i="58"/>
  <c r="E57" i="39"/>
  <c r="E58" i="39"/>
  <c r="M58" i="39"/>
  <c r="M57" i="39"/>
  <c r="I457" i="37" l="1"/>
  <c r="F55" i="66"/>
  <c r="I452" i="41"/>
  <c r="W101" i="66"/>
  <c r="S101" i="66"/>
  <c r="F102" i="66"/>
  <c r="J467" i="37"/>
  <c r="J444" i="41"/>
  <c r="K57" i="39"/>
  <c r="K58" i="39"/>
  <c r="F103" i="66"/>
  <c r="J452" i="41"/>
  <c r="J457" i="37"/>
  <c r="J149" i="66"/>
  <c r="D13" i="53"/>
  <c r="F13" i="53" s="1"/>
  <c r="H7" i="53" s="1"/>
  <c r="H452" i="58"/>
  <c r="H444" i="58"/>
  <c r="C57" i="39"/>
  <c r="C58" i="39"/>
  <c r="J457" i="58"/>
  <c r="F247" i="66"/>
  <c r="I457" i="58"/>
  <c r="F199" i="66"/>
  <c r="W245" i="66"/>
  <c r="S245" i="66"/>
  <c r="H444" i="37"/>
  <c r="D7" i="53"/>
  <c r="F7" i="53" s="1"/>
  <c r="J5" i="66"/>
  <c r="H452" i="37"/>
  <c r="I444" i="41"/>
  <c r="F198" i="66"/>
  <c r="I467" i="58"/>
  <c r="G37" i="53"/>
  <c r="H31" i="53"/>
  <c r="G31" i="53" s="1"/>
  <c r="W53" i="66"/>
  <c r="S53" i="66"/>
  <c r="H19" i="53"/>
  <c r="G19" i="53" s="1"/>
  <c r="G25" i="53"/>
  <c r="J467" i="58"/>
  <c r="F246" i="66"/>
  <c r="I467" i="37"/>
  <c r="F54" i="66"/>
  <c r="S197" i="66"/>
  <c r="W197" i="66"/>
  <c r="L54" i="66" l="1"/>
  <c r="P54" i="66" s="1"/>
  <c r="I467" i="41"/>
  <c r="I457" i="41"/>
  <c r="I458" i="58"/>
  <c r="E379" i="38" s="1"/>
  <c r="K218" i="66" s="1"/>
  <c r="N218" i="66" s="1"/>
  <c r="E378" i="38"/>
  <c r="K199" i="66" s="1"/>
  <c r="N199" i="66" s="1"/>
  <c r="L198" i="66"/>
  <c r="P198" i="66" s="1"/>
  <c r="L246" i="66"/>
  <c r="P246" i="66" s="1"/>
  <c r="J458" i="58"/>
  <c r="E385" i="38" s="1"/>
  <c r="K266" i="66" s="1"/>
  <c r="N266" i="66" s="1"/>
  <c r="E384" i="38"/>
  <c r="K247" i="66" s="1"/>
  <c r="N247" i="66" s="1"/>
  <c r="H452" i="41"/>
  <c r="H457" i="37"/>
  <c r="F7" i="66"/>
  <c r="J467" i="41"/>
  <c r="O3" i="41" s="1"/>
  <c r="E319" i="38"/>
  <c r="E325" i="38"/>
  <c r="M197" i="66" s="1"/>
  <c r="W5" i="66"/>
  <c r="S5" i="66"/>
  <c r="L102" i="66"/>
  <c r="P102" i="66" s="1"/>
  <c r="E307" i="38"/>
  <c r="E313" i="38"/>
  <c r="G7" i="53"/>
  <c r="H13" i="53"/>
  <c r="G13" i="53" s="1"/>
  <c r="F150" i="66"/>
  <c r="H467" i="58"/>
  <c r="F6" i="66"/>
  <c r="H444" i="41"/>
  <c r="H467" i="37"/>
  <c r="H457" i="58"/>
  <c r="F151" i="66"/>
  <c r="S149" i="66"/>
  <c r="W149" i="66"/>
  <c r="E366" i="38"/>
  <c r="K103" i="66" s="1"/>
  <c r="N103" i="66" s="1"/>
  <c r="J457" i="41"/>
  <c r="J458" i="37"/>
  <c r="E337" i="38"/>
  <c r="E331" i="38"/>
  <c r="E349" i="38"/>
  <c r="M245" i="66" s="1"/>
  <c r="E343" i="38"/>
  <c r="E360" i="38"/>
  <c r="K55" i="66" s="1"/>
  <c r="N55" i="66" s="1"/>
  <c r="I458" i="37"/>
  <c r="N54" i="66" l="1"/>
  <c r="H467" i="41"/>
  <c r="M3" i="41" s="1"/>
  <c r="N246" i="66"/>
  <c r="Z55" i="66"/>
  <c r="L245" i="66"/>
  <c r="J464" i="58"/>
  <c r="E372" i="38"/>
  <c r="K151" i="66" s="1"/>
  <c r="N151" i="66" s="1"/>
  <c r="H458" i="58"/>
  <c r="E373" i="38" s="1"/>
  <c r="K170" i="66" s="1"/>
  <c r="N170" i="66" s="1"/>
  <c r="L101" i="66"/>
  <c r="J464" i="37"/>
  <c r="M101" i="66"/>
  <c r="G18" i="39" s="1"/>
  <c r="D22" i="8"/>
  <c r="J458" i="41"/>
  <c r="E367" i="38"/>
  <c r="K122" i="66" s="1"/>
  <c r="N122" i="66" s="1"/>
  <c r="L6" i="66"/>
  <c r="P6" i="66" s="1"/>
  <c r="V6" i="66" s="1"/>
  <c r="X6" i="66" s="1"/>
  <c r="N6" i="66"/>
  <c r="N198" i="66"/>
  <c r="O198" i="66" s="1"/>
  <c r="Y247" i="66"/>
  <c r="Z247" i="66"/>
  <c r="Z103" i="66"/>
  <c r="Y103" i="66"/>
  <c r="L150" i="66"/>
  <c r="P150" i="66" s="1"/>
  <c r="V150" i="66" s="1"/>
  <c r="X150" i="66" s="1"/>
  <c r="E301" i="38"/>
  <c r="M149" i="66" s="1"/>
  <c r="E295" i="38"/>
  <c r="L197" i="66"/>
  <c r="I464" i="58"/>
  <c r="E289" i="38"/>
  <c r="E283" i="38"/>
  <c r="M53" i="66"/>
  <c r="F18" i="39" s="1"/>
  <c r="C22" i="8"/>
  <c r="E361" i="38"/>
  <c r="K74" i="66" s="1"/>
  <c r="N74" i="66" s="1"/>
  <c r="I458" i="41"/>
  <c r="I464" i="37"/>
  <c r="L53" i="66"/>
  <c r="H458" i="37"/>
  <c r="H457" i="41"/>
  <c r="E354" i="38"/>
  <c r="K7" i="66" s="1"/>
  <c r="N7" i="66" s="1"/>
  <c r="Z54" i="66"/>
  <c r="O54" i="66"/>
  <c r="Y54" i="66"/>
  <c r="Z199" i="66"/>
  <c r="Y199" i="66"/>
  <c r="Y55" i="66"/>
  <c r="N102" i="66"/>
  <c r="Z198" i="66" l="1"/>
  <c r="I464" i="41"/>
  <c r="Y198" i="66"/>
  <c r="N150" i="66"/>
  <c r="O150" i="66" s="1"/>
  <c r="U150" i="66" s="1"/>
  <c r="J464" i="41"/>
  <c r="P197" i="66"/>
  <c r="N197" i="66"/>
  <c r="H464" i="58"/>
  <c r="L149" i="66"/>
  <c r="Y266" i="66"/>
  <c r="Z122" i="66"/>
  <c r="Y122" i="66"/>
  <c r="Z266" i="66"/>
  <c r="H458" i="41"/>
  <c r="E355" i="38"/>
  <c r="K26" i="66" s="1"/>
  <c r="N26" i="66" s="1"/>
  <c r="Z102" i="66"/>
  <c r="Z246" i="66"/>
  <c r="Y102" i="66"/>
  <c r="O102" i="66"/>
  <c r="Y246" i="66"/>
  <c r="P53" i="66"/>
  <c r="N53" i="66"/>
  <c r="O246" i="66"/>
  <c r="Z74" i="66"/>
  <c r="Y74" i="66"/>
  <c r="Z218" i="66"/>
  <c r="Y218" i="66"/>
  <c r="P101" i="66"/>
  <c r="N101" i="66"/>
  <c r="V54" i="66"/>
  <c r="X54" i="66" s="1"/>
  <c r="U54" i="66"/>
  <c r="Q54" i="66"/>
  <c r="L5" i="66"/>
  <c r="H464" i="37"/>
  <c r="V198" i="66"/>
  <c r="X198" i="66" s="1"/>
  <c r="U198" i="66"/>
  <c r="Q198" i="66"/>
  <c r="Z151" i="66"/>
  <c r="Y7" i="66"/>
  <c r="Z7" i="66"/>
  <c r="Y151" i="66"/>
  <c r="B22" i="8"/>
  <c r="M5" i="66"/>
  <c r="O6" i="66"/>
  <c r="Y6" i="66"/>
  <c r="Z6" i="66"/>
  <c r="Z150" i="66"/>
  <c r="Y150" i="66"/>
  <c r="P245" i="66"/>
  <c r="N245" i="66"/>
  <c r="O245" i="66" s="1"/>
  <c r="Q150" i="66" l="1"/>
  <c r="H464" i="41"/>
  <c r="V245" i="66"/>
  <c r="X245" i="66" s="1"/>
  <c r="Q245" i="66"/>
  <c r="R245" i="66" s="1"/>
  <c r="T245" i="66" s="1"/>
  <c r="U245" i="66"/>
  <c r="Y170" i="66"/>
  <c r="Y26" i="66"/>
  <c r="Z26" i="66"/>
  <c r="Z170" i="66"/>
  <c r="Q246" i="66"/>
  <c r="U246" i="66"/>
  <c r="V246" i="66"/>
  <c r="X246" i="66" s="1"/>
  <c r="R5" i="66"/>
  <c r="T5" i="66" s="1"/>
  <c r="P5" i="66"/>
  <c r="V5" i="66" s="1"/>
  <c r="X5" i="66" s="1"/>
  <c r="N5" i="66"/>
  <c r="Q6" i="66"/>
  <c r="U6" i="66"/>
  <c r="Y53" i="66"/>
  <c r="O53" i="66"/>
  <c r="Z53" i="66"/>
  <c r="Z197" i="66"/>
  <c r="Y197" i="66"/>
  <c r="R149" i="66"/>
  <c r="T149" i="66" s="1"/>
  <c r="P149" i="66"/>
  <c r="V149" i="66" s="1"/>
  <c r="X149" i="66" s="1"/>
  <c r="N149" i="66"/>
  <c r="Y245" i="66"/>
  <c r="Z101" i="66"/>
  <c r="Y101" i="66"/>
  <c r="O101" i="66"/>
  <c r="Z245" i="66"/>
  <c r="U102" i="66"/>
  <c r="Q102" i="66"/>
  <c r="V102" i="66"/>
  <c r="X102" i="66" s="1"/>
  <c r="O197" i="66"/>
  <c r="O149" i="66" l="1"/>
  <c r="Q149" i="66" s="1"/>
  <c r="Q197" i="66"/>
  <c r="R197" i="66" s="1"/>
  <c r="T197" i="66" s="1"/>
  <c r="V197" i="66"/>
  <c r="X197" i="66" s="1"/>
  <c r="U197" i="66"/>
  <c r="U53" i="66"/>
  <c r="V53" i="66"/>
  <c r="X53" i="66" s="1"/>
  <c r="Q53" i="66"/>
  <c r="R53" i="66" s="1"/>
  <c r="T53" i="66" s="1"/>
  <c r="Q101" i="66"/>
  <c r="R101" i="66" s="1"/>
  <c r="T101" i="66" s="1"/>
  <c r="V101" i="66"/>
  <c r="X101" i="66" s="1"/>
  <c r="U101" i="66"/>
  <c r="Y149" i="66"/>
  <c r="Z149" i="66"/>
  <c r="O5" i="66"/>
  <c r="Y5" i="66"/>
  <c r="Z5" i="66"/>
  <c r="U149" i="66" l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<sst xmlns="http://schemas.openxmlformats.org/spreadsheetml/2006/main" count="4029" uniqueCount="339">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</sst>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12662850.806285977</c:v>
                </c:pt>
                <c:pt idx="2">
                  <c:v>11673273.753400896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28.335669039324991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32.884136275413141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2.0687027810954168</c:v>
                </c:pt>
                <c:pt idx="2">
                  <c:v>2.1371305709880617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1663095.0398237593</c:v>
                </c:pt>
                <c:pt idx="2">
                  <c:v>1661950.46181102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3362.8500000000004</c:v>
                </c:pt>
                <c:pt idx="16">
                  <c:v>2738.7153555257819</c:v>
                </c:pt>
                <c:pt idx="17">
                  <c:v>2828.2708362977232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6423924.8458333323</c:v>
                </c:pt>
                <c:pt idx="16">
                  <c:v>1768879.5644450537</c:v>
                </c:pt>
                <c:pt idx="17">
                  <c:v>1735079.6020607101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1250598.08486075</c:v>
                </c:pt>
                <c:pt idx="17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1250598.08486075</c:v>
                </c:pt>
                <c:pt idx="2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901127.32528332912</c:v>
                </c:pt>
                <c:pt idx="2">
                  <c:v>883908.47652149468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878.45586875355229</c:v>
                </c:pt>
                <c:pt idx="2">
                  <c:v>907.18121164266609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12662850.806285977</c:v>
                </c:pt>
                <c:pt idx="2">
                  <c:v>11673273.753400896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9238493.3130771164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953433.53878271766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15770289.144075628</c:v>
                </c:pt>
                <c:pt idx="2">
                  <c:v>15029002.18033967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912010.08692288375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259505.66121728224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3034725.0559243709</c:v>
                </c:pt>
                <c:pt idx="2">
                  <c:v>3776012.0196603313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240738.79472010836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230377.75918826333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3362.8500000000004</c:v>
                </c:pt>
                <c:pt idx="16">
                  <c:v>2738.7153555257819</c:v>
                </c:pt>
                <c:pt idx="17">
                  <c:v>2828.2708362977232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6423924.8458333323</c:v>
                </c:pt>
                <c:pt idx="16">
                  <c:v>1768879.5644450537</c:v>
                </c:pt>
                <c:pt idx="17">
                  <c:v>1735079.6020607101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1250598.08486075</c:v>
                </c:pt>
                <c:pt idx="17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1250598.08486075</c:v>
                </c:pt>
                <c:pt idx="2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901127.32528332912</c:v>
                </c:pt>
                <c:pt idx="2">
                  <c:v>883908.47652149468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878.45586875355229</c:v>
                </c:pt>
                <c:pt idx="2">
                  <c:v>907.18121164266609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28.335669039324991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32.884136275413141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2.0687027810954168</c:v>
                </c:pt>
                <c:pt idx="2">
                  <c:v>2.1371305709880617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1663095.0398237593</c:v>
                </c:pt>
                <c:pt idx="2">
                  <c:v>1661950.46181102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16666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727.4363370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51388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62963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8611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97684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520833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5671296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59027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644.580306161413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363.755309158871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289.419693838598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570.24469084114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85491.0293729189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56737.32303016982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03036.156330572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36790.52495436871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5668137.2741312822"/>
  </r>
  <r>
    <x v="5"/>
    <s v="Vestdanmark"/>
    <x v="15"/>
    <x v="1"/>
    <n v="1651500.7816819118"/>
  </r>
  <r>
    <x v="5"/>
    <s v="Vestdanmark"/>
    <x v="16"/>
    <x v="1"/>
    <n v="2526.6542010509174"/>
  </r>
  <r>
    <x v="5"/>
    <s v="Vestdanmark"/>
    <x v="20"/>
    <x v="1"/>
    <n v="401728.76679519669"/>
  </r>
  <r>
    <x v="5"/>
    <s v="Vestdanmark"/>
    <x v="37"/>
    <x v="1"/>
    <n v="14170727.436337013"/>
  </r>
  <r>
    <x v="5"/>
    <s v="Vestdanmark"/>
    <x v="38"/>
    <x v="1"/>
    <n v="851831.85374033672"/>
  </r>
  <r>
    <x v="5"/>
    <s v="Vestdanmark"/>
    <x v="14"/>
    <x v="2"/>
    <n v="5426541.7046099147"/>
  </r>
  <r>
    <x v="5"/>
    <s v="Vestdanmark"/>
    <x v="15"/>
    <x v="2"/>
    <n v="1619943.7071243373"/>
  </r>
  <r>
    <x v="5"/>
    <s v="Vestdanmark"/>
    <x v="16"/>
    <x v="2"/>
    <n v="2609.2753216661044"/>
  </r>
  <r>
    <x v="5"/>
    <s v="Vestdanmark"/>
    <x v="20"/>
    <x v="2"/>
    <n v="420665.19876426988"/>
  </r>
  <r>
    <x v="5"/>
    <s v="Vestdanmark"/>
    <x v="37"/>
    <x v="2"/>
    <n v="13769683.498114759"/>
  </r>
  <r>
    <x v="5"/>
    <s v="Vestdanmark"/>
    <x v="38"/>
    <x v="2"/>
    <n v="822588.45729733328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821296.73910410993"/>
  </r>
  <r>
    <x v="5"/>
    <s v="Østdanmark"/>
    <x v="15"/>
    <x v="1"/>
    <n v="117378.78276314179"/>
  </r>
  <r>
    <x v="5"/>
    <s v="Østdanmark"/>
    <x v="16"/>
    <x v="1"/>
    <n v="212.06115447486451"/>
  </r>
  <r>
    <x v="5"/>
    <s v="Østdanmark"/>
    <x v="20"/>
    <x v="1"/>
    <n v="54219.773738244621"/>
  </r>
  <r>
    <x v="5"/>
    <s v="Østdanmark"/>
    <x v="37"/>
    <x v="1"/>
    <n v="2648877.5690380111"/>
  </r>
  <r>
    <x v="5"/>
    <s v="Østdanmark"/>
    <x v="38"/>
    <x v="1"/>
    <n v="398766.23112041334"/>
  </r>
  <r>
    <x v="5"/>
    <s v="Østdanmark"/>
    <x v="14"/>
    <x v="2"/>
    <n v="786290.23805561347"/>
  </r>
  <r>
    <x v="5"/>
    <s v="Østdanmark"/>
    <x v="15"/>
    <x v="2"/>
    <n v="115135.89493637283"/>
  </r>
  <r>
    <x v="5"/>
    <s v="Østdanmark"/>
    <x v="16"/>
    <x v="2"/>
    <n v="218.99551463161893"/>
  </r>
  <r>
    <x v="5"/>
    <s v="Østdanmark"/>
    <x v="20"/>
    <x v="2"/>
    <n v="57097.370490994261"/>
  </r>
  <r>
    <x v="5"/>
    <s v="Østdanmark"/>
    <x v="37"/>
    <x v="2"/>
    <n v="2636262.8953785724"/>
  </r>
  <r>
    <x v="5"/>
    <s v="Østdanmark"/>
    <x v="38"/>
    <x v="2"/>
    <n v="388599.4488834205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x v="0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2526.6542010509174"/>
    <n v="0"/>
    <n v="0"/>
    <n v="810.43625316727503"/>
    <n v="810.43625316727503"/>
    <n v="3337.0904542181925"/>
    <n v="3.8114006550203779E-4"/>
    <n v="1.9505403352163115E-3"/>
    <n v="1.5694002697142738E-3"/>
    <n v="3.8114006550203769E-4"/>
    <n v="51.05748394953833"/>
    <n v="261.29418256528447"/>
    <n v="210.23669861574612"/>
    <n v="51.057483949538351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x v="0"/>
  </r>
  <r>
    <x v="23"/>
    <s v=""/>
    <n v="0"/>
    <x v="1"/>
    <s v="Vestdanmark"/>
    <n v="0"/>
    <n v="0"/>
    <n v="0"/>
    <n v="0"/>
    <n v="0"/>
    <n v="851831.85374033672"/>
    <n v="0"/>
    <n v="0"/>
    <n v="-851831.8537403367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1651500.7816819118"/>
    <n v="0"/>
    <n v="0"/>
    <n v="841330.58689455874"/>
    <n v="841330.58689455874"/>
    <n v="7893966.0004921574"/>
    <n v="0.42587312978015673"/>
    <n v="4.4217197795692824"/>
    <n v="3.9958466497891258"/>
    <n v="0.42587312978015657"/>
    <n v="63941.124603986464"/>
    <n v="663882.54064139037"/>
    <n v="599941.41603740398"/>
    <n v="63941.124603986391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x v="0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2609.2753216661044"/>
    <n v="0"/>
    <n v="0"/>
    <n v="836.93736732686375"/>
    <n v="836.93736732686375"/>
    <n v="3446.2126889929687"/>
    <n v="3.9360327448015076E-4"/>
    <n v="2.0143226399866538E-3"/>
    <n v="1.6207193655065032E-3"/>
    <n v="3.936032744801506E-4"/>
    <n v="52.727054141592419"/>
    <n v="269.83845354814946"/>
    <n v="217.11139940655701"/>
    <n v="52.727054141592447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  <x v="0"/>
  </r>
  <r>
    <x v="23"/>
    <s v=""/>
    <n v="0"/>
    <x v="2"/>
    <s v="Vestdanmark"/>
    <n v="0"/>
    <n v="0"/>
    <n v="0"/>
    <n v="0"/>
    <n v="0"/>
    <n v="822588.45729733328"/>
    <n v="0"/>
    <n v="0"/>
    <n v="-822588.4572973332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1619943.7071243373"/>
    <n v="0"/>
    <n v="0"/>
    <n v="825254.34136522934"/>
    <n v="825254.34136522934"/>
    <n v="7743127.1535502924"/>
    <n v="0.41773549505566548"/>
    <n v="4.3372290289112883"/>
    <n v="3.9194935338556229"/>
    <n v="0.41773549505566532"/>
    <n v="62719.329943757431"/>
    <n v="651196.99361357966"/>
    <n v="588477.66366982216"/>
    <n v="62719.329943757504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x v="0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12.06115447486451"/>
    <n v="0"/>
    <n v="0"/>
    <n v="68.019615586277325"/>
    <n v="68.019615586277325"/>
    <n v="280.08077006114183"/>
    <n v="3.1988945014070367E-5"/>
    <n v="1.6370813036612478E-4"/>
    <n v="1.317191853520544E-4"/>
    <n v="3.198894501407038E-5"/>
    <n v="4.2852357819354712"/>
    <n v="21.930324295787408"/>
    <n v="17.645088513851935"/>
    <n v="4.2852357819354729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x v="0"/>
  </r>
  <r>
    <x v="23"/>
    <s v=""/>
    <n v="0"/>
    <x v="1"/>
    <s v="Østdanmark"/>
    <n v="0"/>
    <n v="0"/>
    <n v="0"/>
    <n v="0"/>
    <n v="0"/>
    <n v="398766.23112041334"/>
    <n v="0"/>
    <n v="0"/>
    <n v="-398766.23112041334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17378.78276314179"/>
    <n v="0"/>
    <n v="0"/>
    <n v="59796.738388770376"/>
    <n v="59796.738388770376"/>
    <n v="561055.81698105508"/>
    <n v="3.026851100501168E-2"/>
    <n v="0.31426935500265196"/>
    <n v="0.28400084399764031"/>
    <n v="3.0268511005011656E-2"/>
    <n v="4544.5521175465483"/>
    <n v="47184.79420810673"/>
    <n v="42640.242090560183"/>
    <n v="4544.5521175465474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x v="0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18.99551463161893"/>
    <n v="0"/>
    <n v="0"/>
    <n v="70.243844315802335"/>
    <n v="70.243844315802335"/>
    <n v="289.23935894742124"/>
    <n v="3.3034977543278681E-5"/>
    <n v="1.690613556626614E-4"/>
    <n v="1.3602637811938273E-4"/>
    <n v="3.3034977543278674E-5"/>
    <n v="4.4253621918955472"/>
    <n v="22.647441805583085"/>
    <n v="18.222079613687537"/>
    <n v="4.4253621918955481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  <x v="0"/>
  </r>
  <r>
    <x v="23"/>
    <s v=""/>
    <n v="0"/>
    <x v="2"/>
    <s v="Østdanmark"/>
    <n v="0"/>
    <n v="0"/>
    <n v="0"/>
    <n v="0"/>
    <n v="0"/>
    <n v="388599.4488834205"/>
    <n v="0"/>
    <n v="0"/>
    <n v="-388599.448883420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15135.89493637283"/>
    <n v="0"/>
    <n v="0"/>
    <n v="58654.135156265344"/>
    <n v="58654.135156265344"/>
    <n v="550335.09529335448"/>
    <n v="2.9690136674749956E-2"/>
    <n v="0.30826425856129308"/>
    <n v="0.27857412188654312"/>
    <n v="2.9690136674749956E-2"/>
    <n v="4457.7142718761661"/>
    <n v="46283.181514171105"/>
    <n v="41825.467242294937"/>
    <n v="4457.7142718761679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n v="0"/>
    <x v="1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2526.6542010509174"/>
    <n v="0"/>
    <n v="0"/>
    <n v="810.43625316727503"/>
    <n v="810.43625316727503"/>
    <n v="3337.0904542181925"/>
    <n v="3.8114006550203779E-4"/>
    <n v="1.9505403352163115E-3"/>
    <n v="1.5694002697142738E-3"/>
    <n v="3.8114006550203769E-4"/>
    <n v="51.05748394953833"/>
    <n v="261.29418256528447"/>
    <n v="210.23669861574612"/>
    <n v="51.057483949538351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n v="0"/>
    <x v="0"/>
  </r>
  <r>
    <x v="23"/>
    <s v=""/>
    <n v="0"/>
    <x v="1"/>
    <s v="Vestdanmark"/>
    <n v="0"/>
    <n v="0"/>
    <n v="0"/>
    <n v="0"/>
    <n v="0"/>
    <n v="851831.85374033672"/>
    <n v="0"/>
    <n v="0"/>
    <n v="-851831.853740336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1651500.7816819118"/>
    <n v="0"/>
    <n v="0"/>
    <n v="841330.58689455874"/>
    <n v="841330.58689455874"/>
    <n v="7893966.0004921574"/>
    <n v="0.42587312978015673"/>
    <n v="4.4217197795692824"/>
    <n v="3.9958466497891258"/>
    <n v="0.42587312978015657"/>
    <n v="63941.124603986464"/>
    <n v="663882.54064139037"/>
    <n v="599941.41603740398"/>
    <n v="63941.124603986391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n v="0"/>
    <x v="1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2609.2753216661044"/>
    <n v="0"/>
    <n v="0"/>
    <n v="836.93736732686375"/>
    <n v="836.93736732686375"/>
    <n v="3446.2126889929687"/>
    <n v="3.9360327448015076E-4"/>
    <n v="2.0143226399866538E-3"/>
    <n v="1.6207193655065032E-3"/>
    <n v="3.936032744801506E-4"/>
    <n v="52.727054141592419"/>
    <n v="269.83845354814946"/>
    <n v="217.11139940655701"/>
    <n v="52.727054141592447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  <n v="0"/>
    <x v="0"/>
  </r>
  <r>
    <x v="23"/>
    <s v=""/>
    <n v="0"/>
    <x v="2"/>
    <s v="Vestdanmark"/>
    <n v="0"/>
    <n v="0"/>
    <n v="0"/>
    <n v="0"/>
    <n v="0"/>
    <n v="822588.45729733328"/>
    <n v="0"/>
    <n v="0"/>
    <n v="-822588.4572973332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1619943.7071243373"/>
    <n v="0"/>
    <n v="0"/>
    <n v="825254.34136522934"/>
    <n v="825254.34136522934"/>
    <n v="7743127.1535502924"/>
    <n v="0.41773549505566548"/>
    <n v="4.3372290289112883"/>
    <n v="3.9194935338556229"/>
    <n v="0.41773549505566532"/>
    <n v="62719.329943757431"/>
    <n v="651196.99361357966"/>
    <n v="588477.66366982216"/>
    <n v="62719.329943757504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n v="0"/>
    <x v="1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12.06115447486451"/>
    <n v="0"/>
    <n v="0"/>
    <n v="68.019615586277325"/>
    <n v="68.019615586277325"/>
    <n v="280.08077006114183"/>
    <n v="3.1988945014070367E-5"/>
    <n v="1.6370813036612478E-4"/>
    <n v="1.317191853520544E-4"/>
    <n v="3.198894501407038E-5"/>
    <n v="4.2852357819354712"/>
    <n v="21.930324295787408"/>
    <n v="17.645088513851935"/>
    <n v="4.2852357819354729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n v="0"/>
    <x v="0"/>
  </r>
  <r>
    <x v="23"/>
    <s v=""/>
    <n v="0"/>
    <x v="1"/>
    <s v="Østdanmark"/>
    <n v="0"/>
    <n v="0"/>
    <n v="0"/>
    <n v="0"/>
    <n v="0"/>
    <n v="398766.23112041334"/>
    <n v="0"/>
    <n v="0"/>
    <n v="-398766.2311204133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17378.78276314179"/>
    <n v="0"/>
    <n v="0"/>
    <n v="59796.738388770376"/>
    <n v="59796.738388770376"/>
    <n v="561055.81698105508"/>
    <n v="3.026851100501168E-2"/>
    <n v="0.31426935500265196"/>
    <n v="0.28400084399764031"/>
    <n v="3.0268511005011656E-2"/>
    <n v="4544.5521175465483"/>
    <n v="47184.79420810673"/>
    <n v="42640.242090560183"/>
    <n v="4544.5521175465474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n v="0"/>
    <x v="1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18.99551463161893"/>
    <n v="0"/>
    <n v="0"/>
    <n v="70.243844315802335"/>
    <n v="70.243844315802335"/>
    <n v="289.23935894742124"/>
    <n v="3.3034977543278681E-5"/>
    <n v="1.690613556626614E-4"/>
    <n v="1.3602637811938273E-4"/>
    <n v="3.3034977543278674E-5"/>
    <n v="4.4253621918955472"/>
    <n v="22.647441805583085"/>
    <n v="18.222079613687537"/>
    <n v="4.4253621918955481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  <n v="0"/>
    <x v="0"/>
  </r>
  <r>
    <x v="23"/>
    <s v=""/>
    <n v="0"/>
    <x v="2"/>
    <s v="Østdanmark"/>
    <n v="0"/>
    <n v="0"/>
    <n v="0"/>
    <n v="0"/>
    <n v="0"/>
    <n v="388599.4488834205"/>
    <n v="0"/>
    <n v="0"/>
    <n v="-388599.448883420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15135.89493637283"/>
    <n v="0"/>
    <n v="0"/>
    <n v="58654.135156265344"/>
    <n v="58654.135156265344"/>
    <n v="550335.09529335448"/>
    <n v="2.9690136674749956E-2"/>
    <n v="0.30826425856129308"/>
    <n v="0.27857412188654312"/>
    <n v="2.9690136674749956E-2"/>
    <n v="4457.7142718761661"/>
    <n v="46283.181514171105"/>
    <n v="41825.467242294937"/>
    <n v="4457.7142718761679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0853893.509390926"/>
    <s v="CO2 - atmosfære"/>
    <x v="0"/>
  </r>
  <r>
    <s v="Vestdanmark"/>
    <x v="1"/>
    <n v="4046578.8260529838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13642.01757617836"/>
    <s v="Biogasanlæg"/>
    <x v="5"/>
  </r>
  <r>
    <s v="Vestdanmark"/>
    <x v="1"/>
    <n v="0"/>
    <s v="Pyrolyseproces"/>
    <x v="6"/>
  </r>
  <r>
    <s v="Vestdanmark"/>
    <x v="2"/>
    <n v="10029238.357747888"/>
    <s v="CO2 - atmosfære"/>
    <x v="0"/>
  </r>
  <r>
    <s v="Vestdanmark"/>
    <x v="2"/>
    <n v="4029816.5016583097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05735.903892464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08957.2968950507"/>
    <s v="CO2 - atmosfære"/>
    <x v="0"/>
  </r>
  <r>
    <s v="Østdanmark"/>
    <x v="1"/>
    <n v="359274.6794446436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28297.406862279633"/>
    <s v="Biogasanlæg"/>
    <x v="5"/>
  </r>
  <r>
    <s v="Østdanmark"/>
    <x v="1"/>
    <n v="0"/>
    <s v="Pyrolyseproces"/>
    <x v="6"/>
  </r>
  <r>
    <s v="Østdanmark"/>
    <x v="2"/>
    <n v="1644035.3956530073"/>
    <s v="CO2 - atmosfære"/>
    <x v="0"/>
  </r>
  <r>
    <s v="Østdanmark"/>
    <x v="2"/>
    <n v="358368.22621777962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27479.507795346046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</r>
  <r>
    <x v="4"/>
    <x v="10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2526.6542010509174"/>
    <n v="0"/>
    <n v="0"/>
    <n v="810.43625316727503"/>
    <n v="810.43625316727503"/>
    <n v="3337.0904542181925"/>
    <n v="3.8114006550203779E-4"/>
    <n v="1.9505403352163115E-3"/>
    <n v="1.5694002697142738E-3"/>
    <n v="3.8114006550203769E-4"/>
    <n v="51.05748394953833"/>
    <n v="261.29418256528447"/>
    <n v="210.23669861574612"/>
    <n v="51.057483949538351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</r>
  <r>
    <x v="23"/>
    <x v="10"/>
    <n v="0"/>
    <x v="1"/>
    <s v="Vestdanmark"/>
    <n v="0"/>
    <n v="0"/>
    <n v="0"/>
    <n v="0"/>
    <n v="0"/>
    <n v="851831.85374033672"/>
    <n v="0"/>
    <n v="0"/>
    <n v="-851831.85374033672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1651500.7816819118"/>
    <n v="0"/>
    <n v="0"/>
    <n v="841330.58689455874"/>
    <n v="841330.58689455874"/>
    <n v="7893966.0004921574"/>
    <n v="0.42587312978015673"/>
    <n v="4.4217197795692824"/>
    <n v="3.9958466497891258"/>
    <n v="0.42587312978015657"/>
    <n v="63941.124603986464"/>
    <n v="663882.54064139037"/>
    <n v="599941.41603740398"/>
    <n v="63941.124603986391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</r>
  <r>
    <x v="4"/>
    <x v="10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2609.2753216661044"/>
    <n v="0"/>
    <n v="0"/>
    <n v="836.93736732686375"/>
    <n v="836.93736732686375"/>
    <n v="3446.2126889929687"/>
    <n v="3.9360327448015076E-4"/>
    <n v="2.0143226399866538E-3"/>
    <n v="1.6207193655065032E-3"/>
    <n v="3.936032744801506E-4"/>
    <n v="52.727054141592419"/>
    <n v="269.83845354814946"/>
    <n v="217.11139940655701"/>
    <n v="52.727054141592447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</r>
  <r>
    <x v="23"/>
    <x v="10"/>
    <n v="0"/>
    <x v="2"/>
    <s v="Vestdanmark"/>
    <n v="0"/>
    <n v="0"/>
    <n v="0"/>
    <n v="0"/>
    <n v="0"/>
    <n v="822588.45729733328"/>
    <n v="0"/>
    <n v="0"/>
    <n v="-822588.45729733328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1619943.7071243373"/>
    <n v="0"/>
    <n v="0"/>
    <n v="825254.34136522934"/>
    <n v="825254.34136522934"/>
    <n v="7743127.1535502924"/>
    <n v="0.41773549505566548"/>
    <n v="4.3372290289112883"/>
    <n v="3.9194935338556229"/>
    <n v="0.41773549505566532"/>
    <n v="62719.329943757431"/>
    <n v="651196.99361357966"/>
    <n v="588477.66366982216"/>
    <n v="62719.329943757504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</r>
  <r>
    <x v="4"/>
    <x v="10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12.06115447486451"/>
    <n v="0"/>
    <n v="0"/>
    <n v="68.019615586277325"/>
    <n v="68.019615586277325"/>
    <n v="280.08077006114183"/>
    <n v="3.1988945014070367E-5"/>
    <n v="1.6370813036612478E-4"/>
    <n v="1.317191853520544E-4"/>
    <n v="3.198894501407038E-5"/>
    <n v="4.2852357819354712"/>
    <n v="21.930324295787408"/>
    <n v="17.645088513851935"/>
    <n v="4.2852357819354729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</r>
  <r>
    <x v="23"/>
    <x v="10"/>
    <n v="0"/>
    <x v="1"/>
    <s v="Østdanmark"/>
    <n v="0"/>
    <n v="0"/>
    <n v="0"/>
    <n v="0"/>
    <n v="0"/>
    <n v="398766.23112041334"/>
    <n v="0"/>
    <n v="0"/>
    <n v="-398766.23112041334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17378.78276314179"/>
    <n v="0"/>
    <n v="0"/>
    <n v="59796.738388770376"/>
    <n v="59796.738388770376"/>
    <n v="561055.81698105508"/>
    <n v="3.026851100501168E-2"/>
    <n v="0.31426935500265196"/>
    <n v="0.28400084399764031"/>
    <n v="3.0268511005011656E-2"/>
    <n v="4544.5521175465483"/>
    <n v="47184.79420810673"/>
    <n v="42640.242090560183"/>
    <n v="4544.5521175465474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</r>
  <r>
    <x v="4"/>
    <x v="10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18.99551463161893"/>
    <n v="0"/>
    <n v="0"/>
    <n v="70.243844315802335"/>
    <n v="70.243844315802335"/>
    <n v="289.23935894742124"/>
    <n v="3.3034977543278681E-5"/>
    <n v="1.690613556626614E-4"/>
    <n v="1.3602637811938273E-4"/>
    <n v="3.3034977543278674E-5"/>
    <n v="4.4253621918955472"/>
    <n v="22.647441805583085"/>
    <n v="18.222079613687537"/>
    <n v="4.4253621918955481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</r>
  <r>
    <x v="23"/>
    <x v="10"/>
    <n v="0"/>
    <x v="2"/>
    <s v="Østdanmark"/>
    <n v="0"/>
    <n v="0"/>
    <n v="0"/>
    <n v="0"/>
    <n v="0"/>
    <n v="388599.4488834205"/>
    <n v="0"/>
    <n v="0"/>
    <n v="-388599.4488834205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15135.89493637283"/>
    <n v="0"/>
    <n v="0"/>
    <n v="58654.135156265344"/>
    <n v="58654.135156265344"/>
    <n v="550335.09529335448"/>
    <n v="2.9690136674749956E-2"/>
    <n v="0.30826425856129308"/>
    <n v="0.27857412188654312"/>
    <n v="2.9690136674749956E-2"/>
    <n v="4457.7142718761661"/>
    <n v="46283.181514171105"/>
    <n v="41825.467242294937"/>
    <n v="4457.7142718761679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5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5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5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35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5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5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5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ht="30" x14ac:dyDescent="0.25">
      <c r="A2" s="6" t="s">
        <v>0</v>
      </c>
      <c r="B2" s="227" t="s">
        <v>338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zoomScale="85" zoomScaleNormal="85" workbookViewId="0">
      <selection activeCell="E26" sqref="E2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240738.79472010836</v>
      </c>
      <c r="J5" s="10">
        <f>SUMIFS('Resultat-Produktion &amp; forbrug'!$N$3:$N$1000,'Resultat-Produktion &amp; forbrug'!$A$3:$A$1000,Adfærd!$G5,'Resultat-Produktion &amp; forbrug'!$D$3:$D$1000,Adfærd!J$4)</f>
        <v>230377.75918826333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0.85085506224669805</v>
      </c>
      <c r="AC3" s="126">
        <f>SUM(E12:E14)/SUM(E12:E15)</f>
        <v>0.84156678039128929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0.34031562314868813</v>
      </c>
      <c r="AC5" s="147">
        <f t="shared" si="0"/>
        <v>0.3303788017692923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0.39319844103504681</v>
      </c>
      <c r="AC6" s="147">
        <f t="shared" si="0"/>
        <v>0.39109334699095094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7317872.3979037404</v>
      </c>
      <c r="E12" s="133">
        <f>SUMIFS('Resultater - Danmark'!J$3:J$482,'Resultater - Danmark'!$F$3:$F$482,$A12)*D3</f>
        <v>7005959.4247079371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0.34031562314868813</v>
      </c>
      <c r="L12" s="134">
        <f t="shared" ref="L12:L28" si="3">E12/E$29</f>
        <v>0.3303788017692923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8455021.8174732141</v>
      </c>
      <c r="E13" s="136">
        <f>SUMIFS('Resultater - Danmark'!J$3:J$482,'Resultater - Danmark'!$F$3:$F$482,$A13)*D4</f>
        <v>8293462.2488436466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0.39319844103504681</v>
      </c>
      <c r="L13" s="137">
        <f t="shared" si="3"/>
        <v>0.39109334699095094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3617.1712242793346</v>
      </c>
      <c r="E14" s="136">
        <f>SUMIFS('Resultater - Danmark'!J$3:J$482,'Resultater - Danmark'!$F$3:$F$482,$A14)*D5</f>
        <v>3735.4520479403895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3617.1712242793342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1.6821554302842836E-4</v>
      </c>
      <c r="L14" s="137">
        <f t="shared" si="3"/>
        <v>1.7615205810539539E-4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2765437.8672976275</v>
      </c>
      <c r="E15" s="136">
        <f>SUMIFS('Resultater - Danmark'!J$3:J$482,'Resultater - Danmark'!$F$3:$F$482,$A15)*D6</f>
        <v>2880969.7698136591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0.12860591985150802</v>
      </c>
      <c r="L15" s="137">
        <f t="shared" si="3"/>
        <v>0.1358573869451534</v>
      </c>
      <c r="M15" s="139" t="s">
        <v>301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1204392.371220411</v>
      </c>
      <c r="E16" s="136">
        <f>SUMIFS('Resultater - Danmark'!J$3:J$482,'Resultater - Danmark'!$F$3:$F$482,$A16)*D7</f>
        <v>1262014.3338818299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5.6009932674531422E-2</v>
      </c>
      <c r="L16" s="137">
        <f t="shared" si="3"/>
        <v>5.9512588950075447E-2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1.6927486366596273E-2</v>
      </c>
      <c r="L18" s="137">
        <f t="shared" si="3"/>
        <v>1.7437509236921743E-2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3.3760940184851887E-2</v>
      </c>
      <c r="L19" s="137">
        <f t="shared" si="3"/>
        <v>3.4095893413030022E-2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2142228.3524030889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2039826.6812849413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3.531289577497277E-3</v>
      </c>
      <c r="L20" s="137">
        <f t="shared" si="3"/>
        <v>3.5808063411094139E-3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3743700.5343613452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3445654.0507503473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1.7606687834704731E-4</v>
      </c>
      <c r="L21" s="137">
        <f t="shared" si="3"/>
        <v>1.7853573902916006E-4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7576872.8456153981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7186166.448623132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3.9843850861436799E-3</v>
      </c>
      <c r="L22" s="137">
        <f t="shared" si="3"/>
        <v>4.0402552860014122E-3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2961150.4845719663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2759146.642854617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1.5347767457306561E-2</v>
      </c>
      <c r="L23" s="137">
        <f t="shared" si="3"/>
        <v>1.5562978290765341E-2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1992661.9607506467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1919162.7967223886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1.3321277681593159E-3</v>
      </c>
      <c r="L24" s="137">
        <f t="shared" si="3"/>
        <v>1.3508072489409114E-3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3.6273683336158717E-6</v>
      </c>
      <c r="L25" s="137">
        <f t="shared" si="3"/>
        <v>3.6782323413297636E-6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6.638177059961497E-3</v>
      </c>
      <c r="L26" s="137">
        <f t="shared" si="3"/>
        <v>6.7312594982832452E-3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21503192.625119273</v>
      </c>
      <c r="E29" s="145">
        <f>SUM(E12:E28)</f>
        <v>21205838.229295012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1.0000000000000002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0.10536609436161316</v>
      </c>
      <c r="E30" s="149">
        <f>SUMPRODUCT(E12:E28,$H$12:$H$28)/E29</f>
        <v>0.10668972466527758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2.0840347189956605E-2</v>
      </c>
      <c r="E31" s="149">
        <f>SUM(E21:E24)/E29</f>
        <v>2.1132576564736823E-2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539354838.00291681</v>
      </c>
      <c r="E32" s="125">
        <f>SUMPRODUCT(E12:E28,$I$12:$I$28)</f>
        <v>538646145.97033834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19.362838684304716</v>
      </c>
      <c r="E33" s="125">
        <f>E32*[1]Energiindhold!$C$10</f>
        <v>19.33739664033515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6391729.2665735735</v>
      </c>
      <c r="E39" s="133">
        <f>SUMIFS('Resultater - Vestdanmark'!J$3:J$482,'Resultater - Vestdanmark'!$F$3:$F$482,$A39)*D3</f>
        <v>6119291.7094537346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926143.13133016659</v>
      </c>
      <c r="M39" s="133">
        <f>SUMIFS('Resultater - Østdanmark'!J$3:J$482,'Resultater - Østdanmark'!$F$3:$F$482,$A39)*D3</f>
        <v>886667.7152542026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7893966.0004921574</v>
      </c>
      <c r="E40" s="136">
        <f>SUMIFS('Resultater - Vestdanmark'!J$3:J$482,'Resultater - Vestdanmark'!$F$3:$F$482,$A40)*D4</f>
        <v>7743127.1535502924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561055.81698105508</v>
      </c>
      <c r="M40" s="136">
        <f>SUMIFS('Resultater - Østdanmark'!J$3:J$482,'Resultater - Østdanmark'!$F$3:$F$482,$A40)*D4</f>
        <v>550335.09529335448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3337.0904542181925</v>
      </c>
      <c r="E41" s="136">
        <f>SUMIFS('Resultater - Vestdanmark'!J$3:J$482,'Resultater - Vestdanmark'!$F$3:$F$482,$A41)*D5</f>
        <v>3446.2126889929687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280.08077006114183</v>
      </c>
      <c r="M41" s="136">
        <f>SUMIFS('Resultater - Østdanmark'!J$3:J$482,'Resultater - Østdanmark'!$F$3:$F$482,$A41)*D5</f>
        <v>289.23935894742124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1497865.6247316466</v>
      </c>
      <c r="E42" s="136">
        <f>SUMIFS('Resultater - Vestdanmark'!J$3:J$482,'Resultater - Vestdanmark'!$F$3:$F$482,$A42)*D6</f>
        <v>1554136.2730559006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1267572.2425659813</v>
      </c>
      <c r="M42" s="136">
        <f>SUMIFS('Resultater - Østdanmark'!J$3:J$482,'Resultater - Østdanmark'!$F$3:$F$482,$A42)*D6</f>
        <v>1326833.4967577588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1061170.3273835385</v>
      </c>
      <c r="E43" s="136">
        <f>SUMIFS('Resultater - Vestdanmark'!J$3:J$482,'Resultater - Vestdanmark'!$F$3:$F$482,$A43)*D7</f>
        <v>1111191.0910754299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143222.04383687259</v>
      </c>
      <c r="M43" s="136">
        <f>SUMIFS('Resultater - Østdanmark'!J$3:J$482,'Resultater - Østdanmark'!$F$3:$F$482,$A43)*D7</f>
        <v>150823.24280639994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508461.98144503916</v>
      </c>
      <c r="E46" s="136">
        <f>SUMIFS('Resultater - Vestdanmark'!J$3:J$482,'Resultater - Vestdanmark'!$F$3:$F$482,$A46)/SUMIFS('Resultater - Danmark'!J$3:J$482,'Resultater - Danmark'!$F$3:$F$482,$A46)*E19</f>
        <v>505095.54922592157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217506.01855496093</v>
      </c>
      <c r="M46" s="136">
        <f>SUMIFS('Resultater - Østdanmark'!J$3:J$482,'Resultater - Østdanmark'!$F$3:$F$482,$A46)/SUMIFS('Resultater - Danmark'!J$3:J$482,'Resultater - Danmark'!$F$3:$F$482,$A46)*E19</f>
        <v>217936.45077407858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53644.580306161413</v>
      </c>
      <c r="E47" s="136">
        <f>SUMIFS('Resultater - Vestdanmark'!J$3:J$482,'Resultater - Vestdanmark'!$F$3:$F$482,$A47)/SUMIFS('Resultater - Danmark'!J$3:J$482,'Resultater - Danmark'!$F$3:$F$482,$A47)*E20</f>
        <v>53363.755309158871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22289.419693838598</v>
      </c>
      <c r="M47" s="136">
        <f>SUMIFS('Resultater - Østdanmark'!J$3:J$482,'Resultater - Østdanmark'!$F$3:$F$482,$A47)/SUMIFS('Resultater - Danmark'!J$3:J$482,'Resultater - Danmark'!$F$3:$F$482,$A47)*E20</f>
        <v>22570.244690841144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18116708.54364533</v>
      </c>
      <c r="E56" s="145">
        <f ca="1">SUM(E39:E55)</f>
        <v>17798283.23987589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3386484.0814739461</v>
      </c>
      <c r="M56" s="145">
        <f ca="1">SUM(M39:M55)</f>
        <v>3407554.9894191246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0.10276680091556224</v>
      </c>
      <c r="E57" s="149">
        <f ca="1">SUMPRODUCT(E39:E55,$F$39:$F$55)/E56</f>
        <v>0.10416928393267103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0.11927156110782515</v>
      </c>
      <c r="M57" s="149">
        <f ca="1">SUMPRODUCT(M39:M55,$N$39:$N$55)/M56</f>
        <v>0.11985444781356019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2.1925397003635872E-2</v>
      </c>
      <c r="E58" s="149">
        <f ca="1">SUM(E48:E51)/E56</f>
        <v>2.230057807856935E-2</v>
      </c>
      <c r="I58" s="148" t="s">
        <v>161</v>
      </c>
      <c r="K58" s="149">
        <f ca="1">SUM(K48:K51)/K56</f>
        <v>1.8896340963997331E-2</v>
      </c>
      <c r="L58" s="149">
        <f ca="1">SUM(L48:L51)/L56</f>
        <v>1.5035645098692627E-2</v>
      </c>
      <c r="M58" s="149">
        <f ca="1">SUM(M48:M51)/M56</f>
        <v>1.5031890931681514E-2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436104134.24282026</v>
      </c>
      <c r="E59" s="125">
        <f ca="1">SUMPRODUCT(E39:E55,$I$12:$I$28)</f>
        <v>434305248.86575383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103250703.76009664</v>
      </c>
      <c r="M59" s="125">
        <f ca="1">SUMPRODUCT(M39:M55,$I$12:$I$28)</f>
        <v>104340897.10458456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15.65613841931725</v>
      </c>
      <c r="E60" s="125">
        <f ca="1">E59*[1]Energiindhold!$C$10</f>
        <v>15.591558434280564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3.7067002649874699</v>
      </c>
      <c r="M60" s="125">
        <f ca="1">M59*[1]Energiindhold!$C$10</f>
        <v>3.7458382060545863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53644.580306161413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53363.755309158871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22289.419693838598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22570.244690841144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4703372.1615964994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618468.71483434096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51598.780380153592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672934.09412450308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4525643.0291759707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171279.2848730098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9790151.9274066389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1212571.3389336092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31532.588010093863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3862742.0312364982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4703372.1615964994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618468.71483434096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51598.780380153592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672934.09412450308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4525643.0291759707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171279.2848730098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9790151.9274066389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1212571.3389336092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31532.588010093863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3862742.0312364982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577297.28616440261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75911.558427530035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6333.2934029920762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82596.701464021666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555482.60888742993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21023.015601598698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1201654.4608093714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148832.39497031379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3870.3459684951581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474117.38114065683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577297.28616440273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75911.55842753005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6333.293402992078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82596.70146402168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555482.60888743005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21023.015601598701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1201654.4608093717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148832.39497031382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3870.345968495159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474117.381140657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1385491.0293729189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756737.32303016982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1303036.156330572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736790.52495436871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5668137.2741312822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1651500.7816819118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2526.6542010509174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401728.76679519669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14170727.436337013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851831.85374033672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5426541.7046099147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1619943.7071243373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2609.2753216661044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420665.19876426988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13769683.498114759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822588.45729733328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821296.73910410993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117378.78276314179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212.06115447486451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54219.773738244621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2648877.5690380111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398766.23112041334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786290.23805561347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115135.89493637283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218.99551463161893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57097.370490994261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2636262.8953785724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388599.4488834205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672113.29514050239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2057604.3245134212</v>
      </c>
      <c r="F14">
        <f>E14-D14</f>
        <v>1385491.0293729189</v>
      </c>
      <c r="G14">
        <f t="shared" si="3"/>
        <v>1385491.0293729189</v>
      </c>
      <c r="H14">
        <f t="shared" si="1"/>
        <v>756737.32303016982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98200.978121368636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854938.3011515385</v>
      </c>
      <c r="F20">
        <f t="shared" si="2"/>
        <v>756737.32303016982</v>
      </c>
      <c r="G20">
        <f t="shared" si="3"/>
        <v>756737.32303016982</v>
      </c>
      <c r="H20">
        <f t="shared" si="1"/>
        <v>1385491.0293729189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671832.47014349978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1974868.6264740718</v>
      </c>
      <c r="F26">
        <f t="shared" si="2"/>
        <v>1303036.156330572</v>
      </c>
      <c r="G26">
        <f t="shared" si="3"/>
        <v>1303036.156330572</v>
      </c>
      <c r="H26">
        <f t="shared" si="1"/>
        <v>736790.52495436871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98481.803118371201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835272.32807273988</v>
      </c>
      <c r="F32">
        <f t="shared" si="2"/>
        <v>736790.52495436871</v>
      </c>
      <c r="G32">
        <f t="shared" si="3"/>
        <v>736790.52495436871</v>
      </c>
      <c r="H32">
        <f t="shared" si="1"/>
        <v>1303036.156330572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11179450.521719089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10702943.763836339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12059866.540704856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11545833.414063649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1545987.8753404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1480092.5373921432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126364.07464315755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120978.00174055072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-6899366479.4311991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-6605291672.6084795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-529870.57138021174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-507285.65921701177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903477.64426614856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864968.30946007557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250001.99508437468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412474.2353108211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270982.38903804816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447089.44687999511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8287.7479220134319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13673.82082462027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-452503691.13680112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-746578497.95952106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-30547.05385711979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-50399.088521119782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65181.298474246374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107541.56676092674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320710.24991141836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305215.91139179375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9306493.1916532889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8856872.5263272319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182381.20793873124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173569.90185730331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3483702.3515116847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3315395.7147551631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39686.364587318778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37769.014057677145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-2414589993.7588573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-2297934929.6948571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-10099.220944102173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-9611.3015585021712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2611702.7463139286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2485524.6572905863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19991.394030461786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24638.981899308401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1080304.1774153388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1331452.6757126269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8919.2373366675656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10992.77653969144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412642.87678260863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508573.85715239123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8247.3986537220499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10164.749183363683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-501786607.84114248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-618441671.90514243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-2530.0165101234074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-3118.1933037234076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453873.49996140599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559389.75206455449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75949470.02073957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72316591.351941347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4834.1004940422599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4602.8717499465147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107141.30412896334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102016.43152338694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158277.5242695417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150706.6611481533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6684.6952383134503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6364.9472962665268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-263015760.16375715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-250434970.00951719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-6233.8150947903478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-5935.6340294463489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10156.003135680934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9670.2126865601167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1041493.740480428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1295897.5887379702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1840.0804143941255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2289.5536280394222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6928.640984266608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8621.0879583398764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12756.03561276813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15871.930046182108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1309.0033128596663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1628.7512549065907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-51503993.692242816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-64084783.846482813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-2299.2854326894117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-2860.9278502894113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2187.6339015735002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2722.0033956064012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2502141.5052936058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2455663.5565474145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97408.630707357341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95599.239297688866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12799.494074946755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12561.740043716316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1296795.0922933305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1272706.7760624508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1102410.4206254377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1072120.6999068451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21120.452678686721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20540.149189969037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98317.201590938494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95615.847791748558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97009.626395618849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94344.199404397878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84934.510833187902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82230.492590145455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41193.926040245511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39882.455279742353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5437.460580082532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5264.3508222216306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55888.835329455884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54109.529970176744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145303.11165081069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138927.00099994309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535.94813157761189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512.42995257070322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4232533290.6275983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4232533290.6275983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117530555.31034985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117530555.31034985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55898678.745166384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55898678.745166384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102480911.03280504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102480911.03280504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1198954994.1110687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1198954994.1110687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172712584.32801408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172712584.32801408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1628228180.8848464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1628228180.8848464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116813905.5828477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116813905.5828477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86714617.027758121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86714617.027758121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2870898808.3735456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2870898808.3735456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8615319.5971695222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8570219.1026509143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76700751.198882878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73431500.513444811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-81351.373701752236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-77883.897437456471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111304920.60693942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109178092.86505912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-232290.64387442611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-227852.00645500762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43715.884950258318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45145.386225807888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63670219.643012308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66671465.464525796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52165656.986353792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51820277.872833423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20820332.183769889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21602494.19547702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16654690.164173149</v>
      </c>
      <c r="J452" s="288">
        <f ca="1">SUMIFS('Forbrug af biomasse'!$E$1:$E$425,'Forbrug af biomasse'!$A$1:$A$425,"Biogas",'Forbrug af biomasse'!$B$1:$B$425,$A$1,'Forbrug af biomasse'!$D$1:$D$425,J$2)*'[1]Processer - data'!J452</f>
        <v>16361961.782417906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30041127.552895796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28760671.034432545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13212006.253455294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12959549.656994699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17686.579407356421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18264.927251662732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5624202.7351327538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5889312.7826997787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99195092.054359093</v>
      </c>
      <c r="J457" s="288">
        <f ca="1">J452*'[1]Processer - data'!J$457*Biogasanlæg!AC$3</f>
        <v>96387784.486803308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136293096.59845388</v>
      </c>
      <c r="J458" s="288">
        <f ca="1">-SUMIFS('Resultater - Vestdanmark'!J$3:J$482,'Resultater - Vestdanmark'!$F$3:$F$482,"Gødning",'Resultater - Vestdanmark'!$A$3:$A$482,"&lt;&gt;Gødning")-SUM(J453:J457)</f>
        <v>131614153.16757333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14.320166964206413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13.467929364722803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15.644878670886264</v>
      </c>
      <c r="J467" s="288">
        <f ca="1">SUM(J433:J451)*'[1]Processer - data'!$H$467</f>
        <v>15.580582515330825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1619870.1291811671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1550825.6746305928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1747439.8704342765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1672957.9533098161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224009.18314141617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214461.13877310805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18309.789870119137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17529.363444725979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-999698298.99885452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-957087707.86189473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-76776.717177954502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-73504.228560354517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130911.30422612706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125331.41270768401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36224.567861015261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59766.326756290277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39264.566418903487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64781.971051799803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1200.8707647098604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1981.2971901030198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-65566479.42514535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-108177070.56210533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-4426.1799791952308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-7302.6825311952289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9444.5821084449508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15582.462778732337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22794.163449276428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21692.918681289459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661449.78842651786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629493.44484708668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12962.563762711534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12336.308907816358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247600.69511628913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235638.46756389324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2820.6690661142875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2684.3952757559205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-171614592.91035649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-163323449.74235648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-717.79212848296538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-683.11374128296541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185624.18661968777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176656.20388227972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1420.8685354930128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1751.1912412893646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76781.549706449339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94631.680538906046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633.92596198919023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781.30070765217795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29328.183873637823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36146.383313793289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586.17569284488786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722.44948320325477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-35663986.289643541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-43955129.457643531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-179.81841826711027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-221.62250146711023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32258.609590036394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39758.072727427665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6374410.9849512335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6069504.8192194803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405.72427013864109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386.31732699607659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8992.3301083624119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8562.2014422302946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13284.174189749368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12648.754442470523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561.0440039478965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534.20767719482114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-22074815.668171618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-21018914.594251622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-523.2017999274442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-498.17557317544419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852.38959447123887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811.61738138779606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87412.185210291747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108764.20629093802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154.43726998364264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192.16139089876592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581.51828036235077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723.56473019319401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1070.6093605689982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1332.1252302502314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109.86416487898698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136.70049163206232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-4322711.179828384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-5378612.2537483834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-192.97817767090999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-240.11661847090997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183.60730587631363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228.45674026810067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177837.22990030446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174533.85571503793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6923.221974748174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6794.6212719421637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909.71136748191009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892.81323513320024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92168.427114874314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90456.37389070644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159736.08962264023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155347.1964728414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3060.2926630894976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2976.2083616824511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14245.87887682287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13854.46050441212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14056.415003223578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13670.202321642862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6036.6362564051497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5844.4508372651044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2927.8175036130328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2834.6060179118035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386.46212662561334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374.15852199671258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3972.2436306328855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3845.7812640674751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12195.236527675561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11660.091914249606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44.981928858219973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43.008056775021096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519505983.86209995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519505983.86210006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14425834.973481953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14425834.973481957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6861067.8532414157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6861067.8532414176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12578624.397609264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12578624.397609266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147161109.21119085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147161109.21119091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21198940.418348476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21198940.41834848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199850591.82774997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199850591.82775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14337872.565107062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14337872.565107064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10643451.413361685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10643451.413361687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352377407.94980913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352377407.94980925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3579680.8028304786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3624781.2973490874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11113717.575962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10640012.583050432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-11787.579360122158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-11285.152052691872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7910887.0194328763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7759724.8436362976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-16509.827502157474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-16194.355742654174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3669.0580878009578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3789.0356022112182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8593322.6302123554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9049394.5683839954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22315029.973646216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22359190.167166591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17619254.17166714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18442985.604932848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3113194.8160989988</v>
      </c>
      <c r="J452" s="288">
        <f ca="1">SUMIFS('Forbrug af biomasse'!$E$1:$E$425,'Forbrug af biomasse'!$A$1:$A$425,"Biogas",'Forbrug af biomasse'!$B$1:$B$425,$A$1,'Forbrug af biomasse'!$D$1:$D$425,J$2)*'[1]Processer - data'!J452</f>
        <v>3132565.3017730014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4352872.7172517823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4167338.2616947512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939030.26210513432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921087.15949098265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1484.4280813240516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1532.9686024213324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759076.83233542473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799363.18687391968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18542142.983266078</v>
      </c>
      <c r="J457" s="288">
        <f ca="1">J452*'[1]Processer - data'!J$457*Biogasanlæg!AC$3</f>
        <v>18453840.267650008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63802596.979266137</v>
      </c>
      <c r="J458" s="288">
        <f ca="1">-SUMIFS('Resultater - Østdanmark'!J$3:J$482,'Resultater - Østdanmark'!$F$3:$F$482,"Gødning",'Resultater - Østdanmark'!$A$3:$A$482,"&lt;&gt;Gødning")-SUM(J453:J457)</f>
        <v>62175911.821347281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7.8214904204347988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7.6153241784375005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3.7056843880811146</v>
      </c>
      <c r="J467" s="288">
        <f ca="1">SUM(J433:J451)*'[1]Processer - data'!$H$467</f>
        <v>3.7448516917247332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12662850.806285976</v>
      </c>
      <c r="O3" s="98">
        <f>SUMIF($F$3:$F$487,$L$3,J$3:J$487)</f>
        <v>11673273.75340089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12799320.650900256</v>
      </c>
      <c r="J74" s="282">
        <f>'Resultater - Vestdanmark'!J74+'Resultater - Østdanmark'!J74</f>
        <v>12253769.438466933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13807306.411139132</v>
      </c>
      <c r="J75" s="282">
        <f>'Resultater - Vestdanmark'!J75+'Resultater - Østdanmark'!J75</f>
        <v>13218791.367373465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1769997.0584818162</v>
      </c>
      <c r="J76" s="282">
        <f>'Resultater - Vestdanmark'!J76+'Resultater - Østdanmark'!J76</f>
        <v>1694553.6761652513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144673.8645132767</v>
      </c>
      <c r="J77" s="282">
        <f>'Resultater - Vestdanmark'!J77+'Resultater - Østdanmark'!J77</f>
        <v>138507.36518527669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-7899064778.4300537</v>
      </c>
      <c r="J78" s="282">
        <f>'Resultater - Vestdanmark'!J78+'Resultater - Østdanmark'!J78</f>
        <v>-7562379380.4703741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-606647.28855816624</v>
      </c>
      <c r="J79" s="282">
        <f>'Resultater - Vestdanmark'!J79+'Resultater - Østdanmark'!J79</f>
        <v>-580789.88777736633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1034388.9484922757</v>
      </c>
      <c r="J80" s="282">
        <f>'Resultater - Vestdanmark'!J80+'Resultater - Østdanmark'!J80</f>
        <v>990299.72216775955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286226.56294538995</v>
      </c>
      <c r="J81" s="282">
        <f>'Resultater - Vestdanmark'!J81+'Resultater - Østdanmark'!J81</f>
        <v>472240.56206711137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310246.95545695163</v>
      </c>
      <c r="J83" s="282">
        <f>'Resultater - Vestdanmark'!J83+'Resultater - Østdanmark'!J83</f>
        <v>511871.41793179489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9488.6186867232918</v>
      </c>
      <c r="J84" s="282">
        <f>'Resultater - Vestdanmark'!J84+'Resultater - Østdanmark'!J84</f>
        <v>15655.11801472329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-518070170.56194645</v>
      </c>
      <c r="J85" s="282">
        <f>'Resultater - Vestdanmark'!J85+'Resultater - Østdanmark'!J85</f>
        <v>-854755568.52162635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-34973.233836315019</v>
      </c>
      <c r="J86" s="282">
        <f>'Resultater - Vestdanmark'!J86+'Resultater - Østdanmark'!J86</f>
        <v>-57701.771052315009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74625.88058269133</v>
      </c>
      <c r="J87" s="282">
        <f>'Resultater - Vestdanmark'!J87+'Resultater - Østdanmark'!J87</f>
        <v>123124.02953965908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343504.41336069477</v>
      </c>
      <c r="J88" s="282">
        <f>'Resultater - Vestdanmark'!J88+'Resultater - Østdanmark'!J88</f>
        <v>326908.83007308323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9967942.9800798073</v>
      </c>
      <c r="J89" s="282">
        <f>'Resultater - Vestdanmark'!J89+'Resultater - Østdanmark'!J89</f>
        <v>9486365.9711743183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195343.77170144278</v>
      </c>
      <c r="J90" s="282">
        <f>'Resultater - Vestdanmark'!J90+'Resultater - Østdanmark'!J90</f>
        <v>185906.21076511967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3731303.0466279737</v>
      </c>
      <c r="J91" s="282">
        <f>'Resultater - Vestdanmark'!J91+'Resultater - Østdanmark'!J91</f>
        <v>3551034.1823190562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42507.033653433064</v>
      </c>
      <c r="J92" s="282">
        <f>'Resultater - Vestdanmark'!J92+'Resultater - Østdanmark'!J92</f>
        <v>40453.409333433068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-2586204586.6692138</v>
      </c>
      <c r="J93" s="282">
        <f>'Resultater - Vestdanmark'!J93+'Resultater - Østdanmark'!J93</f>
        <v>-2461258379.4372134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-10817.013072585138</v>
      </c>
      <c r="J94" s="282">
        <f>'Resultater - Vestdanmark'!J94+'Resultater - Østdanmark'!J94</f>
        <v>-10294.415299785136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2797326.9329336165</v>
      </c>
      <c r="J95" s="282">
        <f>'Resultater - Vestdanmark'!J95+'Resultater - Østdanmark'!J95</f>
        <v>2662180.8611728661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21412.262565954799</v>
      </c>
      <c r="J96" s="282">
        <f>'Resultater - Vestdanmark'!J96+'Resultater - Østdanmark'!J96</f>
        <v>26390.173140597766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1157085.7271217881</v>
      </c>
      <c r="J97" s="282">
        <f>'Resultater - Vestdanmark'!J97+'Resultater - Østdanmark'!J97</f>
        <v>1426084.3562515329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9553.1632986567565</v>
      </c>
      <c r="J98" s="282">
        <f>'Resultater - Vestdanmark'!J98+'Resultater - Østdanmark'!J98</f>
        <v>11774.077247343617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441971.06065624644</v>
      </c>
      <c r="J99" s="282">
        <f>'Resultater - Vestdanmark'!J99+'Resultater - Østdanmark'!J99</f>
        <v>544720.24046618456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8833.5743465669384</v>
      </c>
      <c r="J100" s="282">
        <f>'Resultater - Vestdanmark'!J100+'Resultater - Østdanmark'!J100</f>
        <v>10887.198666566937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-537450594.13078606</v>
      </c>
      <c r="J101" s="282">
        <f>'Resultater - Vestdanmark'!J101+'Resultater - Østdanmark'!J101</f>
        <v>-662396801.36278594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-2709.8349283905177</v>
      </c>
      <c r="J102" s="282">
        <f>'Resultater - Vestdanmark'!J102+'Resultater - Østdanmark'!J102</f>
        <v>-3339.8158051905179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486132.10955144238</v>
      </c>
      <c r="J103" s="282">
        <f>'Resultater - Vestdanmark'!J103+'Resultater - Østdanmark'!J103</f>
        <v>599147.82479198219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82323881.005690798</v>
      </c>
      <c r="J104" s="282">
        <f>'Resultater - Vestdanmark'!J104+'Resultater - Østdanmark'!J104</f>
        <v>78386096.171160832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5239.8247641809012</v>
      </c>
      <c r="J105" s="282">
        <f>'Resultater - Vestdanmark'!J105+'Resultater - Østdanmark'!J105</f>
        <v>4989.1890769425909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116133.63423732575</v>
      </c>
      <c r="J106" s="282">
        <f>'Resultater - Vestdanmark'!J106+'Resultater - Østdanmark'!J106</f>
        <v>110578.63296561723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171561.69845929107</v>
      </c>
      <c r="J107" s="282">
        <f>'Resultater - Vestdanmark'!J107+'Resultater - Østdanmark'!J107</f>
        <v>163355.41559062383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7245.7392422613466</v>
      </c>
      <c r="J108" s="282">
        <f>'Resultater - Vestdanmark'!J108+'Resultater - Østdanmark'!J108</f>
        <v>6899.1549734613482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-285090575.83192879</v>
      </c>
      <c r="J109" s="282">
        <f>'Resultater - Vestdanmark'!J109+'Resultater - Østdanmark'!J109</f>
        <v>-271453884.60376883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-6757.0168947177917</v>
      </c>
      <c r="J110" s="282">
        <f>'Resultater - Vestdanmark'!J110+'Resultater - Østdanmark'!J110</f>
        <v>-6433.8096026217927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11008.392730152173</v>
      </c>
      <c r="J111" s="282">
        <f>'Resultater - Vestdanmark'!J111+'Resultater - Østdanmark'!J111</f>
        <v>10481.830067947913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1128905.9256907196</v>
      </c>
      <c r="J112" s="282">
        <f>'Resultater - Vestdanmark'!J112+'Resultater - Østdanmark'!J112</f>
        <v>1404661.7950289082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1994.5176843777681</v>
      </c>
      <c r="J113" s="282">
        <f>'Resultater - Vestdanmark'!J113+'Resultater - Østdanmark'!J113</f>
        <v>2481.7150189381882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7510.1592646289591</v>
      </c>
      <c r="J114" s="282">
        <f>'Resultater - Vestdanmark'!J114+'Resultater - Østdanmark'!J114</f>
        <v>9344.6526885330713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13826.644973337128</v>
      </c>
      <c r="J115" s="282">
        <f>'Resultater - Vestdanmark'!J115+'Resultater - Østdanmark'!J115</f>
        <v>17204.05527643234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1418.8674777386532</v>
      </c>
      <c r="J116" s="282">
        <f>'Resultater - Vestdanmark'!J116+'Resultater - Østdanmark'!J116</f>
        <v>1765.451746538653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-55826704.872071199</v>
      </c>
      <c r="J117" s="282">
        <f>'Resultater - Vestdanmark'!J117+'Resultater - Østdanmark'!J117</f>
        <v>-69463396.1002312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-2492.2636103603218</v>
      </c>
      <c r="J118" s="282">
        <f>'Resultater - Vestdanmark'!J118+'Resultater - Østdanmark'!J118</f>
        <v>-3101.0444687603213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2371.2412074498138</v>
      </c>
      <c r="J119" s="282">
        <f>'Resultater - Vestdanmark'!J119+'Resultater - Østdanmark'!J119</f>
        <v>2950.4601358745017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2679978.7351939101</v>
      </c>
      <c r="J404" s="282">
        <f>'Resultater - Vestdanmark'!J404+'Resultater - Østdanmark'!J404</f>
        <v>2630197.4122624523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104331.85268210551</v>
      </c>
      <c r="J405" s="282">
        <f>'Resultater - Vestdanmark'!J405+'Resultater - Østdanmark'!J405</f>
        <v>102393.86056963103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13709.205442428665</v>
      </c>
      <c r="J406" s="282">
        <f>'Resultater - Vestdanmark'!J406+'Resultater - Østdanmark'!J406</f>
        <v>13454.553278849517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1388963.5194082048</v>
      </c>
      <c r="J407" s="282">
        <f>'Resultater - Vestdanmark'!J407+'Resultater - Østdanmark'!J407</f>
        <v>1363163.1499531572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1262146.510248078</v>
      </c>
      <c r="J408" s="282">
        <f>'Resultater - Vestdanmark'!J408+'Resultater - Østdanmark'!J408</f>
        <v>1227467.8963796864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24180.745341776219</v>
      </c>
      <c r="J409" s="282">
        <f>'Resultater - Vestdanmark'!J409+'Resultater - Østdanmark'!J409</f>
        <v>23516.35755165149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112563.08046776136</v>
      </c>
      <c r="J410" s="282">
        <f>'Resultater - Vestdanmark'!J410+'Resultater - Østdanmark'!J410</f>
        <v>109470.30829616069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111066.04139884243</v>
      </c>
      <c r="J411" s="282">
        <f>'Resultater - Vestdanmark'!J411+'Resultater - Østdanmark'!J411</f>
        <v>108014.40172604074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90971.147089593054</v>
      </c>
      <c r="J412" s="282">
        <f>'Resultater - Vestdanmark'!J412+'Resultater - Østdanmark'!J412</f>
        <v>88074.943427410559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44121.743543858545</v>
      </c>
      <c r="J413" s="282">
        <f>'Resultater - Vestdanmark'!J413+'Resultater - Østdanmark'!J413</f>
        <v>42717.06129765416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5823.9227067081456</v>
      </c>
      <c r="J414" s="282">
        <f>'Resultater - Vestdanmark'!J414+'Resultater - Østdanmark'!J414</f>
        <v>5638.5093442183434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59861.078960088766</v>
      </c>
      <c r="J415" s="282">
        <f>'Resultater - Vestdanmark'!J415+'Resultater - Østdanmark'!J415</f>
        <v>57955.311234244218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157498.34817848625</v>
      </c>
      <c r="J416" s="282">
        <f>'Resultater - Vestdanmark'!J416+'Resultater - Østdanmark'!J416</f>
        <v>150587.0929141927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580.93006043583182</v>
      </c>
      <c r="J417" s="285">
        <f>'Resultater - Vestdanmark'!J417+'Resultater - Østdanmark'!J417</f>
        <v>555.43800934572437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4752039274.4896984</v>
      </c>
      <c r="J418" s="279">
        <f>'Resultater - Vestdanmark'!J418+'Resultater - Østdanmark'!J418</f>
        <v>4752039274.4896984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131956390.2838318</v>
      </c>
      <c r="J419" s="282">
        <f>'Resultater - Vestdanmark'!J419+'Resultater - Østdanmark'!J419</f>
        <v>131956390.2838318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62759746.598407798</v>
      </c>
      <c r="J421" s="282">
        <f>'Resultater - Vestdanmark'!J421+'Resultater - Østdanmark'!J421</f>
        <v>62759746.598407805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115059535.4304143</v>
      </c>
      <c r="J422" s="282">
        <f>'Resultater - Vestdanmark'!J422+'Resultater - Østdanmark'!J422</f>
        <v>115059535.4304143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1346116103.3222597</v>
      </c>
      <c r="J423" s="282">
        <f>'Resultater - Vestdanmark'!J423+'Resultater - Østdanmark'!J423</f>
        <v>1346116103.3222597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193911524.74636257</v>
      </c>
      <c r="J424" s="282">
        <f>'Resultater - Vestdanmark'!J424+'Resultater - Østdanmark'!J424</f>
        <v>193911524.74636257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1828078772.7125964</v>
      </c>
      <c r="J427" s="282">
        <f>'Resultater - Vestdanmark'!J427+'Resultater - Østdanmark'!J427</f>
        <v>1828078772.7125964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131151778.14795476</v>
      </c>
      <c r="J428" s="282">
        <f>'Resultater - Vestdanmark'!J428+'Resultater - Østdanmark'!J428</f>
        <v>131151778.14795476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97358068.441119805</v>
      </c>
      <c r="J431" s="282">
        <f>'Resultater - Vestdanmark'!J431+'Resultater - Østdanmark'!J431</f>
        <v>97358068.441119805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3223276216.3233547</v>
      </c>
      <c r="J432" s="282">
        <f>'Resultater - Vestdanmark'!J432+'Resultater - Østdanmark'!J432</f>
        <v>3223276216.3233547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12195000.4</v>
      </c>
      <c r="J433" s="282">
        <f>'Resultater - Vestdanmark'!J433+'Resultater - Østdanmark'!J433</f>
        <v>12195000.400000002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87814468.774844885</v>
      </c>
      <c r="J436" s="282">
        <f>'Resultater - Vestdanmark'!J436+'Resultater - Østdanmark'!J436</f>
        <v>84071513.096495241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-93138.953061874388</v>
      </c>
      <c r="J437" s="288">
        <f>'Resultater - Vestdanmark'!J437+'Resultater - Østdanmark'!J437</f>
        <v>-89169.049490148347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119215807.62637229</v>
      </c>
      <c r="J438" s="282">
        <f>'Resultater - Vestdanmark'!J438+'Resultater - Østdanmark'!J438</f>
        <v>116937817.70869543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-248800.47137658359</v>
      </c>
      <c r="J439" s="288">
        <f>'Resultater - Vestdanmark'!J439+'Resultater - Østdanmark'!J439</f>
        <v>-244046.3621976618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47384.943038059275</v>
      </c>
      <c r="J440" s="282">
        <f>'Resultater - Vestdanmark'!J440+'Resultater - Østdanmark'!J440</f>
        <v>48934.421828019105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72263542.273224667</v>
      </c>
      <c r="J441" s="282">
        <f>'Resultater - Vestdanmark'!J441+'Resultater - Østdanmark'!J441</f>
        <v>75720860.032909796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74480686.960000008</v>
      </c>
      <c r="J445" s="282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38439586.355437025</v>
      </c>
      <c r="J451" s="282">
        <f>'Resultater - Vestdanmark'!J451+'Resultater - Østdanmark'!J451</f>
        <v>40045479.800409868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19767884.980272148</v>
      </c>
      <c r="J452" s="288">
        <f ca="1">'Resultater - Vestdanmark'!J452+'Resultater - Østdanmark'!J452</f>
        <v>19494527.084190909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34394000.270147577</v>
      </c>
      <c r="J453" s="288">
        <f>'Resultater - Vestdanmark'!J453+'Resultater - Østdanmark'!J453</f>
        <v>32928009.296127297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14151036.51556043</v>
      </c>
      <c r="J454" s="288">
        <f>'Resultater - Vestdanmark'!J454+'Resultater - Østdanmark'!J454</f>
        <v>13880636.816485681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19171.007488680472</v>
      </c>
      <c r="J455" s="288">
        <f>'Resultater - Vestdanmark'!J455+'Resultater - Østdanmark'!J455</f>
        <v>19797.895854084065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6383279.5674681785</v>
      </c>
      <c r="J456" s="288">
        <f>'Resultater - Vestdanmark'!J456+'Resultater - Østdanmark'!J456</f>
        <v>6688675.969573698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117737235.03762516</v>
      </c>
      <c r="J457" s="288">
        <f ca="1">'Resultater - Vestdanmark'!J457+'Resultater - Østdanmark'!J457</f>
        <v>114841624.75445332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200095693.57772002</v>
      </c>
      <c r="J458" s="288">
        <f ca="1">'Resultater - Vestdanmark'!J458+'Resultater - Østdanmark'!J458</f>
        <v>193790064.98892063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22.141657384641213</v>
      </c>
      <c r="J459" s="292">
        <f>'Resultater - Vestdanmark'!J459+'Resultater - Østdanmark'!J459</f>
        <v>21.083253543160303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19.350563058967378</v>
      </c>
      <c r="J467" s="295">
        <f ca="1">'Resultater - Vestdanmark'!J467+'Resultater - Østdanmark'!J467</f>
        <v>19.325434207055558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171033.55988230981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138453.77532930995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218519.66268109329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436104134.24282026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436104134.24282026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436104134.24282026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16654690.164173149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14170727.436337013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2483962.7278361358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2122340.654767077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659441.56058834167</v>
      </c>
      <c r="O57" s="195">
        <f t="shared" si="1"/>
        <v>659441.56058834167</v>
      </c>
      <c r="P57" s="205">
        <f t="shared" si="10"/>
        <v>1061170.3273835385</v>
      </c>
      <c r="Q57" s="192">
        <f>IFERROR(VLOOKUP(A57,[1]Energiindhold!$A$2:$C$11,3,FALSE),IFERROR(VLOOKUP(A57,[1]Biogasudbytte!$A$2:$B$18,2,FALSE)*[1]Energiindhold!$C$10,0))*O57</f>
        <v>1.420437121507288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92">
        <f>IFERROR(VLOOKUP(A57,[1]Biogasudbytte!$A$2:$B$18,2,FALSE)*[1]Energiindhold!$C$10,0)*J57*IFERROR(VLOOKUP(A57,Biogasanlæg!$F$3:$G$8,2,FALSE),1)</f>
        <v>2.2857608851841418</v>
      </c>
      <c r="T57" s="193">
        <f t="shared" si="11"/>
        <v>1.420437121507288</v>
      </c>
      <c r="U57" s="191">
        <f>O57*IFERROR(VLOOKUP(A57,[1]Tørstofindhold!A$2:B$24,2,FALSE),0)</f>
        <v>197832.4681765025</v>
      </c>
      <c r="V57" s="192">
        <f>IF(D57=År1,P57,SUM(O57,P57))*IFERROR(VLOOKUP(A57,[1]Tørstofindhold!A$2:B$24,2,FALSE),0)</f>
        <v>516183.56639156403</v>
      </c>
      <c r="W57" s="192">
        <f>J57*IFERROR(VLOOKUP(A57,[1]Tørstofindhold!A$2:B$24,2,FALSE),0)</f>
        <v>318351.09821506153</v>
      </c>
      <c r="X57" s="193">
        <f t="shared" si="12"/>
        <v>197832.4681765025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6674.1809084363849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3337.0904542181925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2526.6542010509174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810.43625316727503</v>
      </c>
      <c r="O59" s="195">
        <f t="shared" si="1"/>
        <v>810.43625316727503</v>
      </c>
      <c r="P59" s="205">
        <f t="shared" si="10"/>
        <v>3337.0904542181925</v>
      </c>
      <c r="Q59" s="192">
        <f>IFERROR(VLOOKUP(A59,[1]Energiindhold!$A$2:$C$11,3,FALSE),IFERROR(VLOOKUP(A59,[1]Biogasudbytte!$A$2:$B$18,2,FALSE)*[1]Energiindhold!$C$10,0))*O59</f>
        <v>3.8114006550203779E-4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1.9505403352163115E-3</v>
      </c>
      <c r="S59" s="192">
        <f>IFERROR(VLOOKUP(A59,[1]Biogasudbytte!$A$2:$B$18,2,FALSE)*[1]Energiindhold!$C$10,0)*J59*IFERROR(VLOOKUP(A59,Biogasanlæg!$F$3:$G$8,2,FALSE),1)</f>
        <v>1.5694002697142738E-3</v>
      </c>
      <c r="T59" s="193">
        <f t="shared" si="11"/>
        <v>3.8114006550203769E-4</v>
      </c>
      <c r="U59" s="191">
        <f>O59*IFERROR(VLOOKUP(A59,[1]Tørstofindhold!A$2:B$24,2,FALSE),0)</f>
        <v>51.05748394953833</v>
      </c>
      <c r="V59" s="192">
        <f>IF(D59=År1,P59,SUM(O59,P59))*IFERROR(VLOOKUP(A59,[1]Tørstofindhold!A$2:B$24,2,FALSE),0)</f>
        <v>261.29418256528447</v>
      </c>
      <c r="W59" s="192">
        <f>J59*IFERROR(VLOOKUP(A59,[1]Tørstofindhold!A$2:B$24,2,FALSE),0)</f>
        <v>210.23669861574612</v>
      </c>
      <c r="X59" s="193">
        <f t="shared" si="12"/>
        <v>51.057483949538351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145303.11165081069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110008.34505172751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6597597.615337275</v>
      </c>
      <c r="O64" s="195">
        <f t="shared" si="1"/>
        <v>6597597.615337275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12.138754912518669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12.277875330355212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12.138754912518669</v>
      </c>
      <c r="U64" s="191">
        <f>O64*IFERROR(VLOOKUP(A64,[1]Tørstofindhold!A$2:B$24,2,FALSE),0)</f>
        <v>1847327.3322944371</v>
      </c>
      <c r="V64" s="192">
        <f>IF(D64=År1,P64,SUM(O64,P64))*IFERROR(VLOOKUP(A64,[1]Tørstofindhold!A$2:B$24,2,FALSE),0)</f>
        <v>1868499.2689717831</v>
      </c>
      <c r="W64" s="192">
        <f>J64*IFERROR(VLOOKUP(A64,[1]Tørstofindhold!A$2:B$24,2,FALSE),0)</f>
        <v>21171.936677345977</v>
      </c>
      <c r="X64" s="193">
        <f t="shared" si="12"/>
        <v>1847327.3322944371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581579.9632190367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53644.580306161413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1385491.0293729189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1439135.6096790803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14.629456937744798</v>
      </c>
      <c r="S67" s="192">
        <f>IFERROR(VLOOKUP(A67,[1]Biogasudbytte!$A$2:$B$18,2,FALSE)*[1]Energiindhold!$C$10,0)*J67*IFERROR(VLOOKUP(A67,Biogasanlæg!$F$3:$G$8,2,FALSE),1)</f>
        <v>0.30928997353838589</v>
      </c>
      <c r="T67" s="193">
        <f t="shared" si="11"/>
        <v>14.320166964206413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1223265.2682272182</v>
      </c>
      <c r="W67" s="192">
        <f>J67*IFERROR(VLOOKUP(A67,[1]Tørstofindhold!A$2:B$24,2,FALSE),0)</f>
        <v>45597.893260237201</v>
      </c>
      <c r="X67" s="193">
        <f t="shared" si="12"/>
        <v>1177667.3749669809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-3862742.0312364982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456500.14494289405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-51961.836502145103</v>
      </c>
      <c r="O70" s="195">
        <f t="shared" si="20"/>
        <v>0</v>
      </c>
      <c r="P70" s="205">
        <f t="shared" si="10"/>
        <v>508461.98144503916</v>
      </c>
      <c r="Q70" s="192">
        <f>IFERROR(VLOOKUP(A70,[1]Energiindhold!$A$2:$C$11,3,FALSE),IFERROR(VLOOKUP(A70,[1]Biogasudbytte!$A$2:$B$18,2,FALSE)*[1]Energiindhold!$C$10,0))*O70</f>
        <v>0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92">
        <f>IFERROR(VLOOKUP(A70,[1]Biogasudbytte!$A$2:$B$18,2,FALSE)*[1]Energiindhold!$C$10,0)*J70*IFERROR(VLOOKUP(A70,Biogasanlæg!$F$3:$G$8,2,FALSE),1)</f>
        <v>1.8727470858101014</v>
      </c>
      <c r="T70" s="193">
        <f t="shared" si="11"/>
        <v>0</v>
      </c>
      <c r="U70" s="191">
        <f>O70*IFERROR(VLOOKUP(A70,[1]Tørstofindhold!A$2:B$24,2,FALSE),0)</f>
        <v>0</v>
      </c>
      <c r="V70" s="192">
        <f>IF(D70=År1,P70,SUM(O70,P70))*IFERROR(VLOOKUP(A70,[1]Tørstofindhold!A$2:B$24,2,FALSE),0)</f>
        <v>213554.03220691642</v>
      </c>
      <c r="W70" s="192">
        <f>J70*IFERROR(VLOOKUP(A70,[1]Tørstofindhold!A$2:B$24,2,FALSE),0)</f>
        <v>213554.03220691642</v>
      </c>
      <c r="X70" s="193">
        <f t="shared" si="12"/>
        <v>0</v>
      </c>
      <c r="Y70" s="171">
        <f t="shared" si="21"/>
        <v>1</v>
      </c>
      <c r="Z70" s="103">
        <f t="shared" si="22"/>
        <v>0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2169017.6219496708</v>
      </c>
      <c r="O73" s="195">
        <f t="shared" si="20"/>
        <v>2169017.6219496708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7.4285816927105506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7.438287517751343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7.4285816927105506</v>
      </c>
      <c r="U73" s="191">
        <f>O73*IFERROR(VLOOKUP(A73,[1]Tørstofindhold!A$2:B$24,2,FALSE),0)</f>
        <v>672395.46280439792</v>
      </c>
      <c r="V73" s="192">
        <f>IF(D73=År1,P73,SUM(O73,P73))*IFERROR(VLOOKUP(A73,[1]Tørstofindhold!A$2:B$24,2,FALSE),0)</f>
        <v>673273.98214902682</v>
      </c>
      <c r="W73" s="192">
        <f>J73*IFERROR(VLOOKUP(A73,[1]Tørstofindhold!A$2:B$24,2,FALSE),0)</f>
        <v>878.51934462886106</v>
      </c>
      <c r="X73" s="193">
        <f t="shared" si="12"/>
        <v>672395.46280439792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851831.85374033672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-851831.85374033672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10386797.369068628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1651500.7816819118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841330.58689455874</v>
      </c>
      <c r="O75" s="195">
        <f t="shared" si="20"/>
        <v>841330.58689455874</v>
      </c>
      <c r="P75" s="205">
        <f t="shared" si="10"/>
        <v>7893966.0004921574</v>
      </c>
      <c r="Q75" s="192">
        <f>IFERROR(VLOOKUP(A75,[1]Energiindhold!$A$2:$C$11,3,FALSE),IFERROR(VLOOKUP(A75,[1]Biogasudbytte!$A$2:$B$18,2,FALSE)*[1]Energiindhold!$C$10,0))*O75</f>
        <v>0.42587312978015673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4.4217197795692824</v>
      </c>
      <c r="S75" s="192">
        <f>IFERROR(VLOOKUP(A75,[1]Biogasudbytte!$A$2:$B$18,2,FALSE)*[1]Energiindhold!$C$10,0)*J75*IFERROR(VLOOKUP(A75,Biogasanlæg!$F$3:$G$8,2,FALSE),1)</f>
        <v>3.9958466497891258</v>
      </c>
      <c r="T75" s="193">
        <f t="shared" si="11"/>
        <v>0.42587312978015657</v>
      </c>
      <c r="U75" s="191">
        <f>O75*IFERROR(VLOOKUP(A75,[1]Tørstofindhold!A$2:B$24,2,FALSE),0)</f>
        <v>63941.124603986464</v>
      </c>
      <c r="V75" s="192">
        <f>IF(D75=År1,P75,SUM(O75,P75))*IFERROR(VLOOKUP(A75,[1]Tørstofindhold!A$2:B$24,2,FALSE),0)</f>
        <v>663882.54064139037</v>
      </c>
      <c r="W75" s="192">
        <f>J75*IFERROR(VLOOKUP(A75,[1]Tørstofindhold!A$2:B$24,2,FALSE),0)</f>
        <v>599941.41603740398</v>
      </c>
      <c r="X75" s="193">
        <f t="shared" si="12"/>
        <v>63941.124603986391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1296795.0922933305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84223.753359721275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3142972.4098101053</v>
      </c>
      <c r="O77" s="195">
        <f t="shared" si="20"/>
        <v>2961150.4845719668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10.630530239613362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11.760275645091257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10.630530239613362</v>
      </c>
      <c r="U77" s="191">
        <f>O77*IFERROR(VLOOKUP(A77,[1]Tørstofindhold!A$2:B$24,2,FALSE),0)</f>
        <v>888345.14537159004</v>
      </c>
      <c r="V77" s="192">
        <f>IF(D77=År1,P77,SUM(O77,P77))*IFERROR(VLOOKUP(A77,[1]Tørstofindhold!A$2:B$24,2,FALSE),0)</f>
        <v>982752.83942266752</v>
      </c>
      <c r="W77" s="192">
        <f>J77*IFERROR(VLOOKUP(A77,[1]Tørstofindhold!A$2:B$24,2,FALSE),0)</f>
        <v>94407.694051077502</v>
      </c>
      <c r="X77" s="193">
        <f t="shared" si="12"/>
        <v>888345.14537159004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2502141.5052936058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2029734.6292751078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84934.510833187902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24906.257794285637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1</v>
      </c>
      <c r="Z80" s="103">
        <f t="shared" si="22"/>
        <v>0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73669.333557261241</v>
      </c>
      <c r="W82" s="192">
        <f>J82*IFERROR(VLOOKUP(A82,[1]Tørstofindhold!A$2:B$24,2,FALSE),0)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3896345.2282942934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3896345.2282942934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82616.067703844164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-281910.65780216159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O89*IFERROR(VLOOKUP(A89,[1]Tørstofindhold!A$2:B$24,2,FALSE),0)</f>
        <v>0</v>
      </c>
      <c r="V89" s="192">
        <f>IF(D89=År1,P89,SUM(O89,P89))*IFERROR(VLOOKUP(A89,[1]Tørstofindhold!A$2:B$24,2,FALSE),0)</f>
        <v>815.14415665471631</v>
      </c>
      <c r="W89" s="192">
        <f>J89*IFERROR(VLOOKUP(A89,[1]Tørstofindhold!A$2:B$24,2,FALSE),0)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152898.46172507474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152898.46172507474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103754.66217102103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72222.074160927164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3949558.8398278607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2451693.2150962139</v>
      </c>
      <c r="O92" s="195">
        <f t="shared" si="20"/>
        <v>2451693.2150962139</v>
      </c>
      <c r="P92" s="205">
        <f t="shared" si="24"/>
        <v>1497865.6247316466</v>
      </c>
      <c r="Q92" s="192">
        <f>IFERROR(VLOOKUP(A92,[1]Energiindhold!$A$2:$C$11,3,FALSE),IFERROR(VLOOKUP(A92,[1]Biogasudbytte!$A$2:$B$18,2,FALSE)*[1]Energiindhold!$C$10,0))*O92</f>
        <v>1.2234194312651618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92">
        <f>IFERROR(VLOOKUP(A92,[1]Biogasudbytte!$A$2:$B$18,2,FALSE)*[1]Energiindhold!$C$10,0)*J92*IFERROR(VLOOKUP(A92,Biogasanlæg!$F$3:$G$8,2,FALSE),1)</f>
        <v>0.74744992539733912</v>
      </c>
      <c r="T92" s="193">
        <f t="shared" si="25"/>
        <v>1.2234194312651616</v>
      </c>
      <c r="U92" s="191">
        <f>O92*IFERROR(VLOOKUP(A92,[1]Tørstofindhold!A$2:B$24,2,FALSE),0)</f>
        <v>147101.59290577282</v>
      </c>
      <c r="V92" s="192">
        <f>IF(D92=År1,P92,SUM(O92,P92))*IFERROR(VLOOKUP(A92,[1]Tørstofindhold!A$2:B$24,2,FALSE),0)</f>
        <v>236973.53038967162</v>
      </c>
      <c r="W92" s="192">
        <f>J92*IFERROR(VLOOKUP(A92,[1]Tørstofindhold!A$2:B$24,2,FALSE),0)</f>
        <v>89871.937483898801</v>
      </c>
      <c r="X92" s="193">
        <f t="shared" si="26"/>
        <v>147101.59290577282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12059866.540704856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6391729.2665735735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92">
        <f>IFERROR(VLOOKUP(A93,[1]Biogasudbytte!$A$2:$B$18,2,FALSE)*[1]Energiindhold!$C$10,0)*J93*IFERROR(VLOOKUP(A93,Biogasanlæg!$F$3:$G$8,2,FALSE),1)</f>
        <v>2.7535569680398959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319586.46332867868</v>
      </c>
      <c r="W93" s="192">
        <f>J93*IFERROR(VLOOKUP(A93,[1]Tørstofindhold!A$2:B$24,2,FALSE),0)</f>
        <v>319586.46332867868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1102410.4206254377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980534.87657675741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1089920.7111703621</v>
      </c>
      <c r="W97" s="192">
        <f>J97*IFERROR(VLOOKUP(A97,[1]Tørstofindhold!A$2:B$24,2,FALSE),0)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166578.5911943354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132728.62230789059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208864.25233337711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434305248.86575383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434305248.86575383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434305248.86575383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16361961.782417906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13769683.498114759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2592278.2843031473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2222382.1821508599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690525.89231115999</v>
      </c>
      <c r="O105" s="195">
        <f t="shared" si="20"/>
        <v>690525.89231115999</v>
      </c>
      <c r="P105" s="205">
        <f t="shared" si="24"/>
        <v>1111191.0910754299</v>
      </c>
      <c r="Q105" s="192">
        <f>IFERROR(VLOOKUP(A105,[1]Energiindhold!$A$2:$C$11,3,FALSE),IFERROR(VLOOKUP(A105,[1]Biogasudbytte!$A$2:$B$18,2,FALSE)*[1]Energiindhold!$C$10,0))*O105</f>
        <v>1.4873927720382387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92">
        <f>IFERROR(VLOOKUP(A105,[1]Biogasudbytte!$A$2:$B$18,2,FALSE)*[1]Energiindhold!$C$10,0)*J105*IFERROR(VLOOKUP(A105,Biogasanlæg!$F$3:$G$8,2,FALSE),1)</f>
        <v>2.3935056101764762</v>
      </c>
      <c r="T105" s="193">
        <f t="shared" si="25"/>
        <v>1.4873927720382389</v>
      </c>
      <c r="U105" s="191">
        <f>O105*IFERROR(VLOOKUP(A105,[1]Tørstofindhold!A$2:B$24,2,FALSE),0)</f>
        <v>207157.767693348</v>
      </c>
      <c r="V105" s="192">
        <f>IF(D105=År1,P105,SUM(O105,P105))*IFERROR(VLOOKUP(A105,[1]Tørstofindhold!A$2:B$24,2,FALSE),0)</f>
        <v>540515.09501597693</v>
      </c>
      <c r="W105" s="192">
        <f>J105*IFERROR(VLOOKUP(A105,[1]Tørstofindhold!A$2:B$24,2,FALSE),0)</f>
        <v>333357.32732262899</v>
      </c>
      <c r="X105" s="193">
        <f t="shared" si="26"/>
        <v>207157.76769334794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6892.4253779859373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2609.2753216661044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836.93736732686375</v>
      </c>
      <c r="O107" s="195">
        <f t="shared" si="20"/>
        <v>836.93736732686375</v>
      </c>
      <c r="P107" s="205">
        <f t="shared" si="24"/>
        <v>3446.2126889929687</v>
      </c>
      <c r="Q107" s="192">
        <f>IFERROR(VLOOKUP(A107,[1]Energiindhold!$A$2:$C$11,3,FALSE),IFERROR(VLOOKUP(A107,[1]Biogasudbytte!$A$2:$B$18,2,FALSE)*[1]Energiindhold!$C$10,0))*O107</f>
        <v>3.9360327448015076E-4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2.0143226399866538E-3</v>
      </c>
      <c r="S107" s="192">
        <f>IFERROR(VLOOKUP(A107,[1]Biogasudbytte!$A$2:$B$18,2,FALSE)*[1]Energiindhold!$C$10,0)*J107*IFERROR(VLOOKUP(A107,Biogasanlæg!$F$3:$G$8,2,FALSE),1)</f>
        <v>1.6207193655065032E-3</v>
      </c>
      <c r="T107" s="193">
        <f t="shared" si="25"/>
        <v>3.936032744801506E-4</v>
      </c>
      <c r="U107" s="191">
        <f>O107*IFERROR(VLOOKUP(A107,[1]Tørstofindhold!A$2:B$24,2,FALSE),0)</f>
        <v>52.727054141592419</v>
      </c>
      <c r="V107" s="192">
        <f>IF(D107=År1,P107,SUM(O107,P107))*IFERROR(VLOOKUP(A107,[1]Tørstofindhold!A$2:B$24,2,FALSE),0)</f>
        <v>269.83845354814946</v>
      </c>
      <c r="W107" s="192">
        <f>J107*IFERROR(VLOOKUP(A107,[1]Tørstofindhold!A$2:B$24,2,FALSE),0)</f>
        <v>217.11139940655701</v>
      </c>
      <c r="X107" s="193">
        <f t="shared" si="26"/>
        <v>52.727054141592447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138927.00099994309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102256.20137296121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6234320.5706386827</v>
      </c>
      <c r="O112" s="195">
        <f t="shared" si="20"/>
        <v>6234320.5706386827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11.470370559903847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11.609330897790654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11.470370559903847</v>
      </c>
      <c r="U112" s="191">
        <f>O112*IFERROR(VLOOKUP(A112,[1]Tørstofindhold!A$2:B$24,2,FALSE),0)</f>
        <v>1745609.7597788314</v>
      </c>
      <c r="V112" s="192">
        <f>IF(D112=År1,P112,SUM(O112,P112))*IFERROR(VLOOKUP(A112,[1]Tørstofindhold!A$2:B$24,2,FALSE),0)</f>
        <v>1766757.3348088232</v>
      </c>
      <c r="W112" s="192">
        <f>J112*IFERROR(VLOOKUP(A112,[1]Tørstofindhold!A$2:B$24,2,FALSE),0)</f>
        <v>21147.575029991774</v>
      </c>
      <c r="X112" s="193">
        <f t="shared" si="26"/>
        <v>1745609.7597788314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579210.80448009283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53363.755309158871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1303036.156330572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1356399.9116397309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13.775600230507971</v>
      </c>
      <c r="S115" s="192">
        <f>IFERROR(VLOOKUP(A115,[1]Biogasudbytte!$A$2:$B$18,2,FALSE)*[1]Energiindhold!$C$10,0)*J115*IFERROR(VLOOKUP(A115,Biogasanlæg!$F$3:$G$8,2,FALSE),1)</f>
        <v>0.30767086578516784</v>
      </c>
      <c r="T115" s="193">
        <f t="shared" si="25"/>
        <v>13.467929364722803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1152939.9248937713</v>
      </c>
      <c r="W115" s="192">
        <f>J115*IFERROR(VLOOKUP(A115,[1]Tørstofindhold!A$2:B$24,2,FALSE),0)</f>
        <v>45359.192012785039</v>
      </c>
      <c r="X115" s="193">
        <f t="shared" si="26"/>
        <v>1107580.7328809863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-3862742.0312364982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453678.05576738477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-51417.493458536803</v>
      </c>
      <c r="O118" s="195">
        <f t="shared" si="20"/>
        <v>0</v>
      </c>
      <c r="P118" s="205">
        <f t="shared" si="24"/>
        <v>505095.54922592157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92">
        <f>IFERROR(VLOOKUP(A118,[1]Biogasudbytte!$A$2:$B$18,2,FALSE)*[1]Energiindhold!$C$10,0)*J118*IFERROR(VLOOKUP(A118,Biogasanlæg!$F$3:$G$8,2,FALSE),1)</f>
        <v>1.8603479756347201</v>
      </c>
      <c r="T118" s="193">
        <f t="shared" si="25"/>
        <v>0</v>
      </c>
      <c r="U118" s="191">
        <f>O118*IFERROR(VLOOKUP(A118,[1]Tørstofindhold!A$2:B$24,2,FALSE),0)</f>
        <v>0</v>
      </c>
      <c r="V118" s="192">
        <f>IF(D118=År1,P118,SUM(O118,P118))*IFERROR(VLOOKUP(A118,[1]Tørstofindhold!A$2:B$24,2,FALSE),0)</f>
        <v>212140.13067488704</v>
      </c>
      <c r="W118" s="192">
        <f>J118*IFERROR(VLOOKUP(A118,[1]Tørstofindhold!A$2:B$24,2,FALSE),0)</f>
        <v>212140.13067488704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1931921.2106545279</v>
      </c>
      <c r="O121" s="195">
        <f t="shared" si="20"/>
        <v>1931921.2106545279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6.6165596775222673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6.6262374962907611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6.6165596775222673</v>
      </c>
      <c r="U121" s="191">
        <f>O121*IFERROR(VLOOKUP(A121,[1]Tørstofindhold!A$2:B$24,2,FALSE),0)</f>
        <v>598895.57530290366</v>
      </c>
      <c r="V121" s="192">
        <f>IF(D121=År1,P121,SUM(O121,P121))*IFERROR(VLOOKUP(A121,[1]Tørstofindhold!A$2:B$24,2,FALSE),0)</f>
        <v>599771.55966963188</v>
      </c>
      <c r="W121" s="192">
        <f>J121*IFERROR(VLOOKUP(A121,[1]Tørstofindhold!A$2:B$24,2,FALSE),0)</f>
        <v>875.9843667282845</v>
      </c>
      <c r="X121" s="193">
        <f t="shared" si="26"/>
        <v>598895.57530290354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822588.45729733328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-822588.45729733328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10188325.202039858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1619943.7071243373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825254.34136522934</v>
      </c>
      <c r="O123" s="195">
        <f t="shared" si="20"/>
        <v>825254.34136522934</v>
      </c>
      <c r="P123" s="205">
        <f t="shared" si="24"/>
        <v>7743127.1535502924</v>
      </c>
      <c r="Q123" s="192">
        <f>IFERROR(VLOOKUP(A123,[1]Energiindhold!$A$2:$C$11,3,FALSE),IFERROR(VLOOKUP(A123,[1]Biogasudbytte!$A$2:$B$18,2,FALSE)*[1]Energiindhold!$C$10,0))*O123</f>
        <v>0.41773549505566548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4.3372290289112883</v>
      </c>
      <c r="S123" s="192">
        <f>IFERROR(VLOOKUP(A123,[1]Biogasudbytte!$A$2:$B$18,2,FALSE)*[1]Energiindhold!$C$10,0)*J123*IFERROR(VLOOKUP(A123,Biogasanlæg!$F$3:$G$8,2,FALSE),1)</f>
        <v>3.9194935338556229</v>
      </c>
      <c r="T123" s="193">
        <f t="shared" si="25"/>
        <v>0.41773549505566532</v>
      </c>
      <c r="U123" s="191">
        <f>O123*IFERROR(VLOOKUP(A123,[1]Tørstofindhold!A$2:B$24,2,FALSE),0)</f>
        <v>62719.329943757431</v>
      </c>
      <c r="V123" s="192">
        <f>IF(D123=År1,P123,SUM(O123,P123))*IFERROR(VLOOKUP(A123,[1]Tørstofindhold!A$2:B$24,2,FALSE),0)</f>
        <v>651196.99361357966</v>
      </c>
      <c r="W123" s="192">
        <f>J123*IFERROR(VLOOKUP(A123,[1]Tørstofindhold!A$2:B$24,2,FALSE),0)</f>
        <v>588477.66366982216</v>
      </c>
      <c r="X123" s="193">
        <f t="shared" si="26"/>
        <v>62719.329943757504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1272706.7760624508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60135.437128841644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2946382.2533553997</v>
      </c>
      <c r="O125" s="195">
        <f t="shared" si="20"/>
        <v>2759146.6428546174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9.905336447848077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11.034481645088372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9.905336447848077</v>
      </c>
      <c r="U125" s="191">
        <f>O125*IFERROR(VLOOKUP(A125,[1]Tørstofindhold!A$2:B$24,2,FALSE),0)</f>
        <v>827743.99285638519</v>
      </c>
      <c r="V125" s="192">
        <f>IF(D125=År1,P125,SUM(O125,P125))*IFERROR(VLOOKUP(A125,[1]Tørstofindhold!A$2:B$24,2,FALSE),0)</f>
        <v>922101.530230226</v>
      </c>
      <c r="W125" s="192">
        <f>J125*IFERROR(VLOOKUP(A125,[1]Tørstofindhold!A$2:B$24,2,FALSE),0)</f>
        <v>94357.537373840722</v>
      </c>
      <c r="X125" s="193">
        <f t="shared" si="26"/>
        <v>827743.9928563853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2455663.5565474145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1964839.0076939645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82230.492590145455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19861.924916870877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71286.674420262352</v>
      </c>
      <c r="W130" s="192">
        <f>J130*IFERROR(VLOOKUP(A130,[1]Tørstofindhold!A$2:B$24,2,FALSE),0)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3823969.5719075543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3823969.5719075543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73240.693697966664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-296257.42264590901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O137*IFERROR(VLOOKUP(A137,[1]Tørstofindhold!A$2:B$24,2,FALSE),0)</f>
        <v>0</v>
      </c>
      <c r="V137" s="192">
        <f>IF(D137=År1,P137,SUM(O137,P137))*IFERROR(VLOOKUP(A137,[1]Tørstofindhold!A$2:B$24,2,FALSE),0)</f>
        <v>806.81415512585409</v>
      </c>
      <c r="W137" s="192">
        <f>J137*IFERROR(VLOOKUP(A137,[1]Tørstofindhold!A$2:B$24,2,FALSE),0)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148453.72937457461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148453.72937457461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100880.19861397019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69347.610603876325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4097932.7879593684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2543796.5149034681</v>
      </c>
      <c r="O140" s="195">
        <f t="shared" si="39"/>
        <v>2543796.5149034681</v>
      </c>
      <c r="P140" s="205">
        <f t="shared" si="24"/>
        <v>1554136.2730559006</v>
      </c>
      <c r="Q140" s="192">
        <f>IFERROR(VLOOKUP(A140,[1]Energiindhold!$A$2:$C$11,3,FALSE),IFERROR(VLOOKUP(A140,[1]Biogasudbytte!$A$2:$B$18,2,FALSE)*[1]Energiindhold!$C$10,0))*O140</f>
        <v>1.2693798989019798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92">
        <f>IFERROR(VLOOKUP(A140,[1]Biogasudbytte!$A$2:$B$18,2,FALSE)*[1]Energiindhold!$C$10,0)*J140*IFERROR(VLOOKUP(A140,Biogasanlæg!$F$3:$G$8,2,FALSE),1)</f>
        <v>0.77552954161762511</v>
      </c>
      <c r="T140" s="193">
        <f t="shared" si="25"/>
        <v>1.2693798989019798</v>
      </c>
      <c r="U140" s="191">
        <f>O140*IFERROR(VLOOKUP(A140,[1]Tørstofindhold!A$2:B$24,2,FALSE),0)</f>
        <v>152627.79089420807</v>
      </c>
      <c r="V140" s="192">
        <f>IF(D140=År1,P140,SUM(O140,P140))*IFERROR(VLOOKUP(A140,[1]Tørstofindhold!A$2:B$24,2,FALSE),0)</f>
        <v>245875.96727756213</v>
      </c>
      <c r="W140" s="192">
        <f>J140*IFERROR(VLOOKUP(A140,[1]Tørstofindhold!A$2:B$24,2,FALSE),0)</f>
        <v>93248.176383354032</v>
      </c>
      <c r="X140" s="193">
        <f t="shared" si="26"/>
        <v>152627.7908942081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11545833.414063649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6119291.7094537346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92">
        <f>IFERROR(VLOOKUP(A141,[1]Biogasudbytte!$A$2:$B$18,2,FALSE)*[1]Energiindhold!$C$10,0)*J141*IFERROR(VLOOKUP(A141,Biogasanlæg!$F$3:$G$8,2,FALSE),1)</f>
        <v>2.6361908684326694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305964.58547268674</v>
      </c>
      <c r="W141" s="192">
        <f>J141*IFERROR(VLOOKUP(A141,[1]Tørstofindhold!A$2:B$24,2,FALSE),0)</f>
        <v>305964.58547268674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1072120.6999068451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945493.60796413617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989728.33693918446</v>
      </c>
      <c r="W145" s="192">
        <f>J145*IFERROR(VLOOKUP(A145,[1]Tørstofindhold!A$2:B$24,2,FALSE),0)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14354.783550318367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-13854.556574310172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22219.132039015061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103250703.76009664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103250703.76009664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103250703.76009664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3113194.8160989988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2648877.5690380111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464317.24706098763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286444.08767374518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89002.270098627952</v>
      </c>
      <c r="O201" s="195">
        <f t="shared" si="59"/>
        <v>89002.270098627952</v>
      </c>
      <c r="P201" s="205">
        <f t="shared" si="49"/>
        <v>143222.04383687259</v>
      </c>
      <c r="Q201" s="192">
        <f>IFERROR(VLOOKUP(A201,[1]Energiindhold!$A$2:$C$11,3,FALSE),IFERROR(VLOOKUP(A201,[1]Biogasudbytte!$A$2:$B$18,2,FALSE)*[1]Energiindhold!$C$10,0))*O201</f>
        <v>0.19171088979244461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92">
        <f>IFERROR(VLOOKUP(A201,[1]Biogasudbytte!$A$2:$B$18,2,FALSE)*[1]Energiindhold!$C$10,0)*J201*IFERROR(VLOOKUP(A201,Biogasanlæg!$F$3:$G$8,2,FALSE),1)</f>
        <v>0.30850028242462357</v>
      </c>
      <c r="T201" s="193">
        <f t="shared" si="50"/>
        <v>0.19171088979244455</v>
      </c>
      <c r="U201" s="191">
        <f>O201*IFERROR(VLOOKUP(A201,[1]Tørstofindhold!A$2:B$24,2,FALSE),0)</f>
        <v>26700.681029588384</v>
      </c>
      <c r="V201" s="192">
        <f>IF(D201=År1,P201,SUM(O201,P201))*IFERROR(VLOOKUP(A201,[1]Tørstofindhold!A$2:B$24,2,FALSE),0)</f>
        <v>69667.294180650162</v>
      </c>
      <c r="W201" s="192">
        <f>J201*IFERROR(VLOOKUP(A201,[1]Tørstofindhold!A$2:B$24,2,FALSE),0)</f>
        <v>42966.613151061778</v>
      </c>
      <c r="X201" s="193">
        <f t="shared" si="51"/>
        <v>26700.681029588384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560.16154012228367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280.08077006114183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212.06115447486451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68.019615586277325</v>
      </c>
      <c r="O203" s="195">
        <f t="shared" si="59"/>
        <v>68.019615586277325</v>
      </c>
      <c r="P203" s="205">
        <f t="shared" si="49"/>
        <v>280.08077006114183</v>
      </c>
      <c r="Q203" s="192">
        <f>IFERROR(VLOOKUP(A203,[1]Energiindhold!$A$2:$C$11,3,FALSE),IFERROR(VLOOKUP(A203,[1]Biogasudbytte!$A$2:$B$18,2,FALSE)*[1]Energiindhold!$C$10,0))*O203</f>
        <v>3.1988945014070367E-5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1.6370813036612478E-4</v>
      </c>
      <c r="S203" s="192">
        <f>IFERROR(VLOOKUP(A203,[1]Biogasudbytte!$A$2:$B$18,2,FALSE)*[1]Energiindhold!$C$10,0)*J203*IFERROR(VLOOKUP(A203,Biogasanlæg!$F$3:$G$8,2,FALSE),1)</f>
        <v>1.317191853520544E-4</v>
      </c>
      <c r="T203" s="193">
        <f t="shared" si="50"/>
        <v>3.198894501407038E-5</v>
      </c>
      <c r="U203" s="191">
        <f>O203*IFERROR(VLOOKUP(A203,[1]Tørstofindhold!A$2:B$24,2,FALSE),0)</f>
        <v>4.2852357819354712</v>
      </c>
      <c r="V203" s="192">
        <f>IF(D203=År1,P203,SUM(O203,P203))*IFERROR(VLOOKUP(A203,[1]Tørstofindhold!A$2:B$24,2,FALSE),0)</f>
        <v>21.930324295787408</v>
      </c>
      <c r="W203" s="192">
        <f>J203*IFERROR(VLOOKUP(A203,[1]Tørstofindhold!A$2:B$24,2,FALSE),0)</f>
        <v>17.645088513851935</v>
      </c>
      <c r="X203" s="193">
        <f t="shared" si="51"/>
        <v>4.2852357819354729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12195.236527675561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-18364.881940672021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979275.23027812573</v>
      </c>
      <c r="O208" s="195">
        <f t="shared" si="59"/>
        <v>979275.23027812573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1.8017440143079666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1.820258566846424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1.8017440143079666</v>
      </c>
      <c r="U208" s="191">
        <f>O208*IFERROR(VLOOKUP(A208,[1]Tørstofindhold!A$2:B$24,2,FALSE),0)</f>
        <v>274197.06447787525</v>
      </c>
      <c r="V208" s="192">
        <f>IF(D208=År1,P208,SUM(O208,P208))*IFERROR(VLOOKUP(A208,[1]Tørstofindhold!A$2:B$24,2,FALSE),0)</f>
        <v>277014.68780052924</v>
      </c>
      <c r="W208" s="192">
        <f>J208*IFERROR(VLOOKUP(A208,[1]Tørstofindhold!A$2:B$24,2,FALSE),0)</f>
        <v>2817.623322654033</v>
      </c>
      <c r="X208" s="193">
        <f t="shared" si="51"/>
        <v>274197.06447787519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82816.687681498166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22289.419693838598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756737.32303016982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779026.74272400839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7.9500009612564133</v>
      </c>
      <c r="S211" s="192">
        <f>IFERROR(VLOOKUP(A211,[1]Biogasudbytte!$A$2:$B$18,2,FALSE)*[1]Energiindhold!$C$10,0)*J211*IFERROR(VLOOKUP(A211,Biogasanlæg!$F$3:$G$8,2,FALSE),1)</f>
        <v>0.1285105408216142</v>
      </c>
      <c r="T211" s="193">
        <f t="shared" si="50"/>
        <v>7.8214904204347988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662172.73131540709</v>
      </c>
      <c r="W211" s="192">
        <f>J211*IFERROR(VLOOKUP(A211,[1]Tørstofindhold!A$2:B$24,2,FALSE),0)</f>
        <v>18946.006739762808</v>
      </c>
      <c r="X211" s="193">
        <f t="shared" si="51"/>
        <v>643226.72457564424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-474117.38114065683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195278.17736560528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-22227.841189355648</v>
      </c>
      <c r="O214" s="195">
        <f t="shared" si="59"/>
        <v>0</v>
      </c>
      <c r="P214" s="205">
        <f t="shared" si="49"/>
        <v>217506.01855496093</v>
      </c>
      <c r="Q214" s="192">
        <f>IFERROR(VLOOKUP(A214,[1]Energiindhold!$A$2:$C$11,3,FALSE),IFERROR(VLOOKUP(A214,[1]Biogasudbytte!$A$2:$B$18,2,FALSE)*[1]Energiindhold!$C$10,0))*O214</f>
        <v>0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92">
        <f>IFERROR(VLOOKUP(A214,[1]Biogasudbytte!$A$2:$B$18,2,FALSE)*[1]Energiindhold!$C$10,0)*J214*IFERROR(VLOOKUP(A214,Biogasanlæg!$F$3:$G$8,2,FALSE),1)</f>
        <v>0.80110957605389932</v>
      </c>
      <c r="T214" s="193">
        <f t="shared" si="50"/>
        <v>0</v>
      </c>
      <c r="U214" s="191">
        <f>O214*IFERROR(VLOOKUP(A214,[1]Tørstofindhold!A$2:B$24,2,FALSE),0)</f>
        <v>0</v>
      </c>
      <c r="V214" s="192">
        <f>IF(D214=År1,P214,SUM(O214,P214))*IFERROR(VLOOKUP(A214,[1]Tørstofindhold!A$2:B$24,2,FALSE),0)</f>
        <v>91352.527793083587</v>
      </c>
      <c r="W214" s="192">
        <f>J214*IFERROR(VLOOKUP(A214,[1]Tørstofindhold!A$2:B$24,2,FALSE),0)</f>
        <v>91352.527793083587</v>
      </c>
      <c r="X214" s="193">
        <f t="shared" si="51"/>
        <v>0</v>
      </c>
      <c r="Y214" s="171">
        <f t="shared" si="60"/>
        <v>1</v>
      </c>
      <c r="Z214" s="103">
        <f t="shared" si="61"/>
        <v>0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1574682.9124116749</v>
      </c>
      <c r="O217" s="195">
        <f t="shared" si="59"/>
        <v>1574682.9124116749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5.3930685194022496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5.3963292143214572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5.3930685194022496</v>
      </c>
      <c r="U217" s="191">
        <f>O217*IFERROR(VLOOKUP(A217,[1]Tørstofindhold!A$2:B$24,2,FALSE),0)</f>
        <v>488151.70284761919</v>
      </c>
      <c r="V217" s="192">
        <f>IF(D217=År1,P217,SUM(O217,P217))*IFERROR(VLOOKUP(A217,[1]Tørstofindhold!A$2:B$24,2,FALSE),0)</f>
        <v>488446.84350299038</v>
      </c>
      <c r="W217" s="192">
        <f>J217*IFERROR(VLOOKUP(A217,[1]Tørstofindhold!A$2:B$24,2,FALSE),0)</f>
        <v>295.14065537113913</v>
      </c>
      <c r="X217" s="193">
        <f t="shared" si="65"/>
        <v>488151.70284761925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398766.23112041334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-398766.23112041334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738231.33813296724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117378.78276314179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59796.738388770376</v>
      </c>
      <c r="O219" s="195">
        <f t="shared" si="59"/>
        <v>59796.738388770376</v>
      </c>
      <c r="P219" s="205">
        <f t="shared" si="63"/>
        <v>561055.81698105508</v>
      </c>
      <c r="Q219" s="192">
        <f>IFERROR(VLOOKUP(A219,[1]Energiindhold!$A$2:$C$11,3,FALSE),IFERROR(VLOOKUP(A219,[1]Biogasudbytte!$A$2:$B$18,2,FALSE)*[1]Energiindhold!$C$10,0))*O219</f>
        <v>3.026851100501168E-2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0.31426935500265196</v>
      </c>
      <c r="S219" s="192">
        <f>IFERROR(VLOOKUP(A219,[1]Biogasudbytte!$A$2:$B$18,2,FALSE)*[1]Energiindhold!$C$10,0)*J219*IFERROR(VLOOKUP(A219,Biogasanlæg!$F$3:$G$8,2,FALSE),1)</f>
        <v>0.28400084399764031</v>
      </c>
      <c r="T219" s="193">
        <f t="shared" si="64"/>
        <v>3.0268511005011656E-2</v>
      </c>
      <c r="U219" s="191">
        <f>O219*IFERROR(VLOOKUP(A219,[1]Tørstofindhold!A$2:B$24,2,FALSE),0)</f>
        <v>4544.5521175465483</v>
      </c>
      <c r="V219" s="192">
        <f>IF(D219=År1,P219,SUM(O219,P219))*IFERROR(VLOOKUP(A219,[1]Tørstofindhold!A$2:B$24,2,FALSE),0)</f>
        <v>47184.79420810673</v>
      </c>
      <c r="W219" s="192">
        <f>J219*IFERROR(VLOOKUP(A219,[1]Tørstofindhold!A$2:B$24,2,FALSE),0)</f>
        <v>42640.242090560183</v>
      </c>
      <c r="X219" s="193">
        <f t="shared" si="65"/>
        <v>4544.5521175465474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92168.427114874314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-56663.967855439478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-181821.92523813841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O221*IFERROR(VLOOKUP(A221,[1]Tørstofindhold!A$2:B$24,2,FALSE),0)</f>
        <v>0</v>
      </c>
      <c r="V221" s="192">
        <f>IF(D221=År1,P221,SUM(O221,P221))*IFERROR(VLOOKUP(A221,[1]Tørstofindhold!A$2:B$24,2,FALSE),0)</f>
        <v>4600.1059489224999</v>
      </c>
      <c r="W221" s="192">
        <f>J221*IFERROR(VLOOKUP(A221,[1]Tørstofindhold!A$2:B$24,2,FALSE),0)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177837.22990030446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-231198.20190680941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6036.6362564051497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-45939.072923222928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1</v>
      </c>
      <c r="Z224" s="103">
        <f t="shared" si="61"/>
        <v>0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16359.166056774371</v>
      </c>
      <c r="W226" s="192">
        <f>J226*IFERROR(VLOOKUP(A226,[1]Tørstofindhold!A$2:B$24,2,FALSE),0)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276928.87898992695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276928.87898992695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81180.880041585086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2274572.6185528086</v>
      </c>
      <c r="O233" s="195">
        <f t="shared" si="59"/>
        <v>1992661.9607506471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5.4081642679556863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5.4748462745210507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5.4081642679556863</v>
      </c>
      <c r="U233" s="191">
        <f>O233*IFERROR(VLOOKUP(A233,[1]Tørstofindhold!A$2:B$24,2,FALSE),0)</f>
        <v>398532.39215012942</v>
      </c>
      <c r="V233" s="192">
        <f>IF(D233=År1,P233,SUM(O233,P233))*IFERROR(VLOOKUP(A233,[1]Tørstofindhold!A$2:B$24,2,FALSE),0)</f>
        <v>403446.24799347471</v>
      </c>
      <c r="W233" s="192">
        <f>J233*IFERROR(VLOOKUP(A233,[1]Tørstofindhold!A$2:B$24,2,FALSE),0)</f>
        <v>4913.8558433452836</v>
      </c>
      <c r="X233" s="193">
        <f t="shared" si="65"/>
        <v>398532.39215012942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18028.658633856463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18028.658633856463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14632.341003448482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10761.995034953325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3342323.2852705466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2074751.0427045652</v>
      </c>
      <c r="O236" s="195">
        <f t="shared" si="59"/>
        <v>2074751.0427045652</v>
      </c>
      <c r="P236" s="205">
        <f t="shared" si="63"/>
        <v>1267572.2425659813</v>
      </c>
      <c r="Q236" s="192">
        <f>IFERROR(VLOOKUP(A236,[1]Energiindhold!$A$2:$C$11,3,FALSE),IFERROR(VLOOKUP(A236,[1]Biogasudbytte!$A$2:$B$18,2,FALSE)*[1]Energiindhold!$C$10,0))*O236</f>
        <v>1.0353215178200053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92">
        <f>IFERROR(VLOOKUP(A236,[1]Biogasudbytte!$A$2:$B$18,2,FALSE)*[1]Energiindhold!$C$10,0)*J236*IFERROR(VLOOKUP(A236,Biogasanlæg!$F$3:$G$8,2,FALSE),1)</f>
        <v>0.6325312247628504</v>
      </c>
      <c r="T236" s="193">
        <f t="shared" si="64"/>
        <v>1.0353215178200053</v>
      </c>
      <c r="U236" s="191">
        <f>O236*IFERROR(VLOOKUP(A236,[1]Tørstofindhold!A$2:B$24,2,FALSE),0)</f>
        <v>124485.0625622739</v>
      </c>
      <c r="V236" s="192">
        <f>IF(D236=År1,P236,SUM(O236,P236))*IFERROR(VLOOKUP(A236,[1]Tørstofindhold!A$2:B$24,2,FALSE),0)</f>
        <v>200539.39711623278</v>
      </c>
      <c r="W236" s="192">
        <f>J236*IFERROR(VLOOKUP(A236,[1]Tørstofindhold!A$2:B$24,2,FALSE),0)</f>
        <v>76054.334553958877</v>
      </c>
      <c r="X236" s="193">
        <f t="shared" si="65"/>
        <v>124485.0625622739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1747439.8704342765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926143.13133016659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92">
        <f>IFERROR(VLOOKUP(A237,[1]Biogasudbytte!$A$2:$B$18,2,FALSE)*[1]Energiindhold!$C$10,0)*J237*IFERROR(VLOOKUP(A237,Biogasanlæg!$F$3:$G$8,2,FALSE),1)</f>
        <v>0.39898246097703582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46307.156566508333</v>
      </c>
      <c r="W237" s="192">
        <f>J237*IFERROR(VLOOKUP(A237,[1]Tørstofindhold!A$2:B$24,2,FALSE),0)</f>
        <v>46307.156566508333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159736.08962264023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54209.6497730923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319025.0352732077</v>
      </c>
      <c r="W241" s="192">
        <f>J241*IFERROR(VLOOKUP(A241,[1]Tørstofindhold!A$2:B$24,2,FALSE),0)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13980.879672720754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-15551.122347381201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21513.506854886218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104340897.10458454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104340897.10458454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104340897.10458454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3132565.3017730014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2636262.8953785724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496302.40639442904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301646.48561279988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93725.872315405693</v>
      </c>
      <c r="O249" s="195">
        <f t="shared" si="59"/>
        <v>93725.872315405693</v>
      </c>
      <c r="P249" s="205">
        <f t="shared" si="63"/>
        <v>150823.24280639994</v>
      </c>
      <c r="Q249" s="192">
        <f>IFERROR(VLOOKUP(A249,[1]Energiindhold!$A$2:$C$11,3,FALSE),IFERROR(VLOOKUP(A249,[1]Biogasudbytte!$A$2:$B$18,2,FALSE)*[1]Energiindhold!$C$10,0))*O249</f>
        <v>0.20188552896738388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92">
        <f>IFERROR(VLOOKUP(A249,[1]Biogasudbytte!$A$2:$B$18,2,FALSE)*[1]Energiindhold!$C$10,0)*J249*IFERROR(VLOOKUP(A249,Biogasanlæg!$F$3:$G$8,2,FALSE),1)</f>
        <v>0.32487326500498548</v>
      </c>
      <c r="T249" s="193">
        <f t="shared" si="64"/>
        <v>0.20188552896738388</v>
      </c>
      <c r="U249" s="191">
        <f>O249*IFERROR(VLOOKUP(A249,[1]Tørstofindhold!A$2:B$24,2,FALSE),0)</f>
        <v>28117.761694621706</v>
      </c>
      <c r="V249" s="192">
        <f>IF(D249=År1,P249,SUM(O249,P249))*IFERROR(VLOOKUP(A249,[1]Tørstofindhold!A$2:B$24,2,FALSE),0)</f>
        <v>73364.734536541684</v>
      </c>
      <c r="W249" s="192">
        <f>J249*IFERROR(VLOOKUP(A249,[1]Tørstofindhold!A$2:B$24,2,FALSE),0)</f>
        <v>45246.972841919982</v>
      </c>
      <c r="X249" s="193">
        <f t="shared" si="65"/>
        <v>28117.761694621702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578.47871789484248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218.99551463161893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70.243844315802335</v>
      </c>
      <c r="O251" s="195">
        <f t="shared" si="59"/>
        <v>70.243844315802335</v>
      </c>
      <c r="P251" s="205">
        <f t="shared" si="63"/>
        <v>289.23935894742124</v>
      </c>
      <c r="Q251" s="192">
        <f>IFERROR(VLOOKUP(A251,[1]Energiindhold!$A$2:$C$11,3,FALSE),IFERROR(VLOOKUP(A251,[1]Biogasudbytte!$A$2:$B$18,2,FALSE)*[1]Energiindhold!$C$10,0))*O251</f>
        <v>3.3034977543278681E-5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1.690613556626614E-4</v>
      </c>
      <c r="S251" s="192">
        <f>IFERROR(VLOOKUP(A251,[1]Biogasudbytte!$A$2:$B$18,2,FALSE)*[1]Energiindhold!$C$10,0)*J251*IFERROR(VLOOKUP(A251,Biogasanlæg!$F$3:$G$8,2,FALSE),1)</f>
        <v>1.3602637811938273E-4</v>
      </c>
      <c r="T251" s="193">
        <f t="shared" si="64"/>
        <v>3.3034977543278674E-5</v>
      </c>
      <c r="U251" s="191">
        <f>O251*IFERROR(VLOOKUP(A251,[1]Tørstofindhold!A$2:B$24,2,FALSE),0)</f>
        <v>4.4253621918955472</v>
      </c>
      <c r="V251" s="192">
        <f>IF(D251=År1,P251,SUM(O251,P251))*IFERROR(VLOOKUP(A251,[1]Tørstofindhold!A$2:B$24,2,FALSE),0)</f>
        <v>22.647441805583085</v>
      </c>
      <c r="W251" s="192">
        <f>J251*IFERROR(VLOOKUP(A251,[1]Tørstofindhold!A$2:B$24,2,FALSE),0)</f>
        <v>18.222079613687537</v>
      </c>
      <c r="X251" s="193">
        <f t="shared" si="65"/>
        <v>4.4253621918955481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11660.091914249606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-20332.910274194179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951845.8779844488</v>
      </c>
      <c r="O256" s="195">
        <f t="shared" si="59"/>
        <v>951845.8779844488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1.7512774347566378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1.7699520672448303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1.7512774347566378</v>
      </c>
      <c r="U256" s="191">
        <f>O256*IFERROR(VLOOKUP(A256,[1]Tørstofindhold!A$2:B$24,2,FALSE),0)</f>
        <v>266516.84583564568</v>
      </c>
      <c r="V256" s="192">
        <f>IF(D256=År1,P256,SUM(O256,P256))*IFERROR(VLOOKUP(A256,[1]Tørstofindhold!A$2:B$24,2,FALSE),0)</f>
        <v>269358.83080565394</v>
      </c>
      <c r="W256" s="192">
        <f>J256*IFERROR(VLOOKUP(A256,[1]Tørstofindhold!A$2:B$24,2,FALSE),0)</f>
        <v>2841.9849700082286</v>
      </c>
      <c r="X256" s="193">
        <f t="shared" si="65"/>
        <v>266516.84583564568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82449.939525946174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22570.244690841144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736790.52495436871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759360.76964520989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7.7454538270123328</v>
      </c>
      <c r="S259" s="192">
        <f>IFERROR(VLOOKUP(A259,[1]Biogasudbytte!$A$2:$B$18,2,FALSE)*[1]Energiindhold!$C$10,0)*J259*IFERROR(VLOOKUP(A259,Biogasanlæg!$F$3:$G$8,2,FALSE),1)</f>
        <v>0.13012964857483225</v>
      </c>
      <c r="T259" s="193">
        <f t="shared" si="64"/>
        <v>7.6153241784375005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645456.65419842838</v>
      </c>
      <c r="W259" s="192">
        <f>J259*IFERROR(VLOOKUP(A259,[1]Tørstofindhold!A$2:B$24,2,FALSE),0)</f>
        <v>19184.707987214973</v>
      </c>
      <c r="X259" s="193">
        <f t="shared" si="65"/>
        <v>626271.94621121336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-474117.381140657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195751.05229011617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-22185.398483962403</v>
      </c>
      <c r="O262" s="195">
        <f t="shared" si="75"/>
        <v>0</v>
      </c>
      <c r="P262" s="205">
        <f t="shared" si="63"/>
        <v>217936.45077407858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92">
        <f>IFERROR(VLOOKUP(A262,[1]Biogasudbytte!$A$2:$B$18,2,FALSE)*[1]Energiindhold!$C$10,0)*J262*IFERROR(VLOOKUP(A262,Biogasanlæg!$F$3:$G$8,2,FALSE),1)</f>
        <v>0.80269492700128076</v>
      </c>
      <c r="T262" s="193">
        <f t="shared" si="64"/>
        <v>0</v>
      </c>
      <c r="U262" s="191">
        <f>O262*IFERROR(VLOOKUP(A262,[1]Tørstofindhold!A$2:B$24,2,FALSE),0)</f>
        <v>0</v>
      </c>
      <c r="V262" s="192">
        <f>IF(D262=År1,P262,SUM(O262,P262))*IFERROR(VLOOKUP(A262,[1]Tørstofindhold!A$2:B$24,2,FALSE),0)</f>
        <v>91533.309325113005</v>
      </c>
      <c r="W262" s="192">
        <f>J262*IFERROR(VLOOKUP(A262,[1]Tørstofindhold!A$2:B$24,2,FALSE),0)</f>
        <v>91533.309325113005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1513732.8400958194</v>
      </c>
      <c r="O265" s="195">
        <f t="shared" si="75"/>
        <v>1513732.8400958194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5.1843230547305694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5.1876117559220756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5.1843230547305694</v>
      </c>
      <c r="U265" s="191">
        <f>O265*IFERROR(VLOOKUP(A265,[1]Tørstofindhold!A$2:B$24,2,FALSE),0)</f>
        <v>469257.18042970402</v>
      </c>
      <c r="V265" s="192">
        <f>IF(D265=År1,P265,SUM(O265,P265))*IFERROR(VLOOKUP(A265,[1]Tørstofindhold!A$2:B$24,2,FALSE),0)</f>
        <v>469554.85606297577</v>
      </c>
      <c r="W265" s="192">
        <f>J265*IFERROR(VLOOKUP(A265,[1]Tørstofindhold!A$2:B$24,2,FALSE),0)</f>
        <v>297.67563327171547</v>
      </c>
      <c r="X265" s="193">
        <f t="shared" si="65"/>
        <v>469257.18042970408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388599.4488834205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-388599.4488834205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724125.12538599269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115135.89493637283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58654.135156265344</v>
      </c>
      <c r="O267" s="195">
        <f t="shared" si="75"/>
        <v>58654.135156265344</v>
      </c>
      <c r="P267" s="205">
        <f t="shared" si="63"/>
        <v>550335.09529335448</v>
      </c>
      <c r="Q267" s="192">
        <f>IFERROR(VLOOKUP(A267,[1]Energiindhold!$A$2:$C$11,3,FALSE),IFERROR(VLOOKUP(A267,[1]Biogasudbytte!$A$2:$B$18,2,FALSE)*[1]Energiindhold!$C$10,0))*O267</f>
        <v>2.9690136674749956E-2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0.30826425856129308</v>
      </c>
      <c r="S267" s="192">
        <f>IFERROR(VLOOKUP(A267,[1]Biogasudbytte!$A$2:$B$18,2,FALSE)*[1]Energiindhold!$C$10,0)*J267*IFERROR(VLOOKUP(A267,Biogasanlæg!$F$3:$G$8,2,FALSE),1)</f>
        <v>0.27857412188654312</v>
      </c>
      <c r="T267" s="193">
        <f t="shared" si="64"/>
        <v>2.9690136674749956E-2</v>
      </c>
      <c r="U267" s="191">
        <f>O267*IFERROR(VLOOKUP(A267,[1]Tørstofindhold!A$2:B$24,2,FALSE),0)</f>
        <v>4457.7142718761661</v>
      </c>
      <c r="V267" s="192">
        <f>IF(D267=År1,P267,SUM(O267,P267))*IFERROR(VLOOKUP(A267,[1]Tørstofindhold!A$2:B$24,2,FALSE),0)</f>
        <v>46283.181514171105</v>
      </c>
      <c r="W267" s="192">
        <f>J267*IFERROR(VLOOKUP(A267,[1]Tørstofindhold!A$2:B$24,2,FALSE),0)</f>
        <v>41825.467242294937</v>
      </c>
      <c r="X267" s="193">
        <f t="shared" si="65"/>
        <v>4457.7142718761679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90456.37389070644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-58376.021079607381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-187235.61050078244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O269*IFERROR(VLOOKUP(A269,[1]Tørstofindhold!A$2:B$24,2,FALSE),0)</f>
        <v>0</v>
      </c>
      <c r="V269" s="192">
        <f>IF(D269=År1,P269,SUM(O269,P269))*IFERROR(VLOOKUP(A269,[1]Tørstofindhold!A$2:B$24,2,FALSE),0)</f>
        <v>4650.2626261592668</v>
      </c>
      <c r="W269" s="192">
        <f>J269*IFERROR(VLOOKUP(A269,[1]Tørstofindhold!A$2:B$24,2,FALSE),0)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174533.85571503793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-253680.1735764404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5844.4508372651044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-48568.262884772746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15965.064109898862</v>
      </c>
      <c r="W274" s="192">
        <f>J274*IFERROR(VLOOKUP(A274,[1]Tørstofindhold!A$2:B$24,2,FALSE),0)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271784.85087768652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271784.85087768652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78558.573618925613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2215420.2193682976</v>
      </c>
      <c r="O281" s="195">
        <f t="shared" si="89"/>
        <v>1919162.7967223886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5.2086845968164317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5.2754796431685431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5.2086845968164317</v>
      </c>
      <c r="U281" s="191">
        <f>O281*IFERROR(VLOOKUP(A281,[1]Tørstofindhold!A$2:B$24,2,FALSE),0)</f>
        <v>383832.55934447772</v>
      </c>
      <c r="V281" s="192">
        <f>IF(D281=År1,P281,SUM(O281,P281))*IFERROR(VLOOKUP(A281,[1]Tørstofindhold!A$2:B$24,2,FALSE),0)</f>
        <v>388754.7451893519</v>
      </c>
      <c r="W281" s="192">
        <f>J281*IFERROR(VLOOKUP(A281,[1]Tørstofindhold!A$2:B$24,2,FALSE),0)</f>
        <v>4922.1858448741459</v>
      </c>
      <c r="X281" s="193">
        <f t="shared" si="65"/>
        <v>383832.55934447778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17515.983585710339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17515.983585710339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14228.619026408833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10358.273057913673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3498582.8365199142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2171749.3397621554</v>
      </c>
      <c r="O284" s="195">
        <f t="shared" si="89"/>
        <v>2171749.3397621554</v>
      </c>
      <c r="P284" s="205">
        <f t="shared" si="94"/>
        <v>1326833.4967577588</v>
      </c>
      <c r="Q284" s="192">
        <f>IFERROR(VLOOKUP(A284,[1]Energiindhold!$A$2:$C$11,3,FALSE),IFERROR(VLOOKUP(A284,[1]Biogasudbytte!$A$2:$B$18,2,FALSE)*[1]Energiindhold!$C$10,0))*O284</f>
        <v>1.0837246380347134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92">
        <f>IFERROR(VLOOKUP(A284,[1]Biogasudbytte!$A$2:$B$18,2,FALSE)*[1]Energiindhold!$C$10,0)*J284*IFERROR(VLOOKUP(A284,Biogasanlæg!$F$3:$G$8,2,FALSE),1)</f>
        <v>0.66210318321708928</v>
      </c>
      <c r="T284" s="193">
        <f t="shared" si="95"/>
        <v>1.0837246380347136</v>
      </c>
      <c r="U284" s="191">
        <f>O284*IFERROR(VLOOKUP(A284,[1]Tørstofindhold!A$2:B$24,2,FALSE),0)</f>
        <v>130304.96038572933</v>
      </c>
      <c r="V284" s="192">
        <f>IF(D284=År1,P284,SUM(O284,P284))*IFERROR(VLOOKUP(A284,[1]Tørstofindhold!A$2:B$24,2,FALSE),0)</f>
        <v>209914.97019119485</v>
      </c>
      <c r="W284" s="192">
        <f>J284*IFERROR(VLOOKUP(A284,[1]Tørstofindhold!A$2:B$24,2,FALSE),0)</f>
        <v>79610.009805465525</v>
      </c>
      <c r="X284" s="193">
        <f t="shared" si="96"/>
        <v>130304.96038572933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1672957.9533098161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886667.7152542026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92">
        <f>IFERROR(VLOOKUP(A285,[1]Biogasudbytte!$A$2:$B$18,2,FALSE)*[1]Energiindhold!$C$10,0)*J285*IFERROR(VLOOKUP(A285,Biogasanlæg!$F$3:$G$8,2,FALSE),1)</f>
        <v>0.38197645173151057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44333.385762710132</v>
      </c>
      <c r="W285" s="192">
        <f>J285*IFERROR(VLOOKUP(A285,[1]Tørstofindhold!A$2:B$24,2,FALSE),0)</f>
        <v>44333.385762710132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155347.1964728414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44872.898915976679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289386.06118651538</v>
      </c>
      <c r="W289" s="192">
        <f>J289*IFERROR(VLOOKUP(A289,[1]Tørstofindhold!A$2:B$24,2,FALSE),0)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Raps"/>
        <filter val="Rapskage"/>
        <filter val="Rapsolie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282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25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3223493.7051022411</v>
      </c>
      <c r="F5" s="242"/>
      <c r="G5" s="242">
        <v>11794.123272219724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11358</v>
      </c>
      <c r="S5" s="242">
        <v>21101993.732983526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8315241.6371112876</v>
      </c>
      <c r="AB5" s="242">
        <v>17238701.15594501</v>
      </c>
      <c r="AC5" s="242"/>
      <c r="AD5" s="242"/>
      <c r="AE5" s="242"/>
      <c r="AF5" s="242"/>
      <c r="AG5" s="242"/>
      <c r="AH5" s="242"/>
      <c r="AI5" s="242"/>
      <c r="AJ5" s="242">
        <v>55799448.354414292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1204392.371220411</v>
      </c>
      <c r="F7" s="242"/>
      <c r="G7" s="242">
        <v>3617.1712242793342</v>
      </c>
      <c r="H7" s="242"/>
      <c r="I7" s="242"/>
      <c r="J7" s="242">
        <v>142742</v>
      </c>
      <c r="K7" s="242">
        <v>85677.000000000029</v>
      </c>
      <c r="L7" s="242"/>
      <c r="M7" s="242">
        <v>75934.000000000015</v>
      </c>
      <c r="N7" s="242">
        <v>78</v>
      </c>
      <c r="O7" s="242"/>
      <c r="P7" s="242">
        <v>725968.00000000012</v>
      </c>
      <c r="Q7" s="242"/>
      <c r="R7" s="242">
        <v>3786.0000000000009</v>
      </c>
      <c r="S7" s="242">
        <v>8455021.8174732123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2765437.867297628</v>
      </c>
      <c r="AB7" s="242">
        <v>7317872.3979037404</v>
      </c>
      <c r="AC7" s="242"/>
      <c r="AD7" s="242"/>
      <c r="AE7" s="242"/>
      <c r="AF7" s="242"/>
      <c r="AG7" s="242"/>
      <c r="AH7" s="242"/>
      <c r="AI7" s="242"/>
      <c r="AJ7" s="242">
        <v>21503192.625119273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1262014.3338818299</v>
      </c>
      <c r="F8" s="242"/>
      <c r="G8" s="242">
        <v>3735.45204794039</v>
      </c>
      <c r="H8" s="242"/>
      <c r="I8" s="242"/>
      <c r="J8" s="242">
        <v>142742</v>
      </c>
      <c r="K8" s="242">
        <v>85677</v>
      </c>
      <c r="L8" s="242"/>
      <c r="M8" s="242">
        <v>75934.000000000015</v>
      </c>
      <c r="N8" s="242">
        <v>78</v>
      </c>
      <c r="O8" s="242"/>
      <c r="P8" s="242">
        <v>723032.00000000012</v>
      </c>
      <c r="Q8" s="242"/>
      <c r="R8" s="242">
        <v>3786</v>
      </c>
      <c r="S8" s="242">
        <v>8293462.2488436466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2880969.7698136596</v>
      </c>
      <c r="AB8" s="242">
        <v>7005959.4247079371</v>
      </c>
      <c r="AC8" s="242"/>
      <c r="AD8" s="242"/>
      <c r="AE8" s="242"/>
      <c r="AF8" s="242"/>
      <c r="AG8" s="242"/>
      <c r="AH8" s="242"/>
      <c r="AI8" s="242"/>
      <c r="AJ8" s="242">
        <v>21205838.229295015</v>
      </c>
    </row>
    <row r="9" spans="1:36" x14ac:dyDescent="0.25">
      <c r="A9" s="78" t="s">
        <v>113</v>
      </c>
      <c r="B9" s="242"/>
      <c r="C9" s="242">
        <v>188279.23979522343</v>
      </c>
      <c r="D9" s="242"/>
      <c r="E9" s="242"/>
      <c r="F9" s="242"/>
      <c r="G9" s="242"/>
      <c r="H9" s="242"/>
      <c r="I9" s="242"/>
      <c r="J9" s="242"/>
      <c r="K9" s="242">
        <v>35723370.761702038</v>
      </c>
      <c r="L9" s="242"/>
      <c r="M9" s="242">
        <v>2256735.8881010804</v>
      </c>
      <c r="N9" s="242"/>
      <c r="O9" s="242">
        <v>14094793.090225756</v>
      </c>
      <c r="P9" s="242"/>
      <c r="Q9" s="242">
        <v>0</v>
      </c>
      <c r="R9" s="242">
        <v>17162175.705222934</v>
      </c>
      <c r="S9" s="242"/>
      <c r="T9" s="242">
        <v>4424562.1351877507</v>
      </c>
      <c r="U9" s="242">
        <v>16513658.323706053</v>
      </c>
      <c r="V9" s="242"/>
      <c r="W9" s="242"/>
      <c r="X9" s="242"/>
      <c r="Y9" s="242">
        <v>2455475.0856627058</v>
      </c>
      <c r="Z9" s="242">
        <v>115059.53543041431</v>
      </c>
      <c r="AA9" s="242"/>
      <c r="AB9" s="242"/>
      <c r="AC9" s="242"/>
      <c r="AD9" s="242"/>
      <c r="AE9" s="242"/>
      <c r="AF9" s="242">
        <v>624982.47654247773</v>
      </c>
      <c r="AG9" s="242"/>
      <c r="AH9" s="242"/>
      <c r="AI9" s="242"/>
      <c r="AJ9" s="242">
        <v>93559092.241576418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57932.073783145664</v>
      </c>
      <c r="D11" s="242"/>
      <c r="E11" s="242"/>
      <c r="F11" s="242"/>
      <c r="G11" s="242"/>
      <c r="H11" s="242"/>
      <c r="I11" s="242"/>
      <c r="J11" s="242"/>
      <c r="K11" s="242">
        <v>10991806.388216011</v>
      </c>
      <c r="L11" s="242"/>
      <c r="M11" s="242">
        <v>694380.27326187096</v>
      </c>
      <c r="N11" s="242"/>
      <c r="O11" s="242">
        <v>4336859.4123771554</v>
      </c>
      <c r="P11" s="242"/>
      <c r="Q11" s="242">
        <v>0</v>
      </c>
      <c r="R11" s="242">
        <v>5280669.4477609023</v>
      </c>
      <c r="S11" s="242"/>
      <c r="T11" s="242">
        <v>1361403.7339039231</v>
      </c>
      <c r="U11" s="242">
        <v>5081125.638063401</v>
      </c>
      <c r="V11" s="242"/>
      <c r="W11" s="242"/>
      <c r="X11" s="242"/>
      <c r="Y11" s="242">
        <v>755530.79558852478</v>
      </c>
      <c r="Z11" s="242">
        <v>35402.933978589019</v>
      </c>
      <c r="AA11" s="242"/>
      <c r="AB11" s="242"/>
      <c r="AC11" s="242"/>
      <c r="AD11" s="242"/>
      <c r="AE11" s="242"/>
      <c r="AF11" s="242">
        <v>192302.30047460849</v>
      </c>
      <c r="AG11" s="242"/>
      <c r="AH11" s="242"/>
      <c r="AI11" s="242"/>
      <c r="AJ11" s="242">
        <v>28787412.997408129</v>
      </c>
    </row>
    <row r="12" spans="1:36" x14ac:dyDescent="0.25">
      <c r="A12" s="79">
        <v>2050</v>
      </c>
      <c r="B12" s="242"/>
      <c r="C12" s="242">
        <v>57932.073783145672</v>
      </c>
      <c r="D12" s="242"/>
      <c r="E12" s="242"/>
      <c r="F12" s="242"/>
      <c r="G12" s="242"/>
      <c r="H12" s="242"/>
      <c r="I12" s="242"/>
      <c r="J12" s="242"/>
      <c r="K12" s="242">
        <v>10991806.388216011</v>
      </c>
      <c r="L12" s="242"/>
      <c r="M12" s="242">
        <v>694380.27326187096</v>
      </c>
      <c r="N12" s="242"/>
      <c r="O12" s="242">
        <v>4336859.4123771554</v>
      </c>
      <c r="P12" s="242"/>
      <c r="Q12" s="242">
        <v>0</v>
      </c>
      <c r="R12" s="242">
        <v>5280669.4477609023</v>
      </c>
      <c r="S12" s="242"/>
      <c r="T12" s="242">
        <v>1361403.7339039231</v>
      </c>
      <c r="U12" s="242">
        <v>5081125.638063401</v>
      </c>
      <c r="V12" s="242"/>
      <c r="W12" s="242"/>
      <c r="X12" s="242"/>
      <c r="Y12" s="242">
        <v>755530.79558852478</v>
      </c>
      <c r="Z12" s="242">
        <v>35402.933978589019</v>
      </c>
      <c r="AA12" s="242"/>
      <c r="AB12" s="242"/>
      <c r="AC12" s="242"/>
      <c r="AD12" s="242"/>
      <c r="AE12" s="242"/>
      <c r="AF12" s="242">
        <v>192302.30047460849</v>
      </c>
      <c r="AG12" s="242"/>
      <c r="AH12" s="242"/>
      <c r="AI12" s="242"/>
      <c r="AJ12" s="242">
        <v>28787412.997408129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6075820.2462235913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18667230.455563992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2142228.3524030885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6418551.9984543715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2039826.6812849408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6039274.3040592428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1757476.1026458484</v>
      </c>
      <c r="F25" s="242"/>
      <c r="G25" s="242">
        <v>8929.8361918235059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9927884.0123390965</v>
      </c>
      <c r="T25" s="242"/>
      <c r="U25" s="242"/>
      <c r="V25" s="242"/>
      <c r="W25" s="242"/>
      <c r="X25" s="242"/>
      <c r="Y25" s="242"/>
      <c r="Z25" s="242"/>
      <c r="AA25" s="242"/>
      <c r="AB25" s="242">
        <v>27444396.622567583</v>
      </c>
      <c r="AC25" s="242"/>
      <c r="AD25" s="242"/>
      <c r="AE25" s="242"/>
      <c r="AF25" s="242"/>
      <c r="AG25" s="242"/>
      <c r="AH25" s="242">
        <v>42029043.134376839</v>
      </c>
      <c r="AI25" s="242">
        <v>3570276.5450340863</v>
      </c>
      <c r="AJ25" s="242">
        <v>84738006.253155291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455948.54053344129</v>
      </c>
      <c r="F27" s="242"/>
      <c r="G27" s="242">
        <v>2738.7153555257819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1768879.5644450537</v>
      </c>
      <c r="T27" s="242"/>
      <c r="U27" s="242"/>
      <c r="V27" s="242"/>
      <c r="W27" s="242"/>
      <c r="X27" s="242"/>
      <c r="Y27" s="242"/>
      <c r="Z27" s="242"/>
      <c r="AA27" s="242"/>
      <c r="AB27" s="242">
        <v>6489434.013235392</v>
      </c>
      <c r="AC27" s="242"/>
      <c r="AD27" s="242"/>
      <c r="AE27" s="242"/>
      <c r="AF27" s="242"/>
      <c r="AG27" s="242"/>
      <c r="AH27" s="242">
        <v>16819605.005375024</v>
      </c>
      <c r="AI27" s="242">
        <v>1250598.08486075</v>
      </c>
      <c r="AJ27" s="242">
        <v>26787203.923805185</v>
      </c>
    </row>
    <row r="28" spans="1:36" x14ac:dyDescent="0.25">
      <c r="A28" s="79">
        <v>2050</v>
      </c>
      <c r="B28" s="242"/>
      <c r="C28" s="242"/>
      <c r="D28" s="242"/>
      <c r="E28" s="242">
        <v>477762.56925526413</v>
      </c>
      <c r="F28" s="242"/>
      <c r="G28" s="242">
        <v>2828.2708362977232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1735079.6020607101</v>
      </c>
      <c r="T28" s="242"/>
      <c r="U28" s="242"/>
      <c r="V28" s="242"/>
      <c r="W28" s="242"/>
      <c r="X28" s="242"/>
      <c r="Y28" s="242"/>
      <c r="Z28" s="242"/>
      <c r="AA28" s="242"/>
      <c r="AB28" s="242">
        <v>6212831.9426655285</v>
      </c>
      <c r="AC28" s="242"/>
      <c r="AD28" s="242"/>
      <c r="AE28" s="242"/>
      <c r="AF28" s="242"/>
      <c r="AG28" s="242"/>
      <c r="AH28" s="242">
        <v>16405946.393493332</v>
      </c>
      <c r="AI28" s="242">
        <v>1211187.9061807538</v>
      </c>
      <c r="AJ28" s="242">
        <v>26045636.684491888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188279.23979522343</v>
      </c>
      <c r="D33" s="242">
        <v>1462906</v>
      </c>
      <c r="E33" s="242">
        <v>4980969.8077480895</v>
      </c>
      <c r="F33" s="242">
        <v>281468.55244752642</v>
      </c>
      <c r="G33" s="242">
        <v>20723.95946404323</v>
      </c>
      <c r="H33" s="242">
        <v>197788.71253069426</v>
      </c>
      <c r="I33" s="242">
        <v>1445379.0531089196</v>
      </c>
      <c r="J33" s="242">
        <v>428226</v>
      </c>
      <c r="K33" s="242">
        <v>35980401.761702038</v>
      </c>
      <c r="L33" s="242">
        <v>1513844.376677237</v>
      </c>
      <c r="M33" s="242">
        <v>8560358.1343246717</v>
      </c>
      <c r="N33" s="242">
        <v>2948427</v>
      </c>
      <c r="O33" s="242">
        <v>14094793.090225756</v>
      </c>
      <c r="P33" s="242">
        <v>2444654</v>
      </c>
      <c r="Q33" s="242">
        <v>692260.49385742994</v>
      </c>
      <c r="R33" s="242">
        <v>18831915.987211064</v>
      </c>
      <c r="S33" s="242">
        <v>31029877.745322619</v>
      </c>
      <c r="T33" s="242">
        <v>4424562.1351877507</v>
      </c>
      <c r="U33" s="242">
        <v>17503736.323706053</v>
      </c>
      <c r="V33" s="242">
        <v>2647325.8446415998</v>
      </c>
      <c r="W33" s="242">
        <v>336392.95646566537</v>
      </c>
      <c r="X33" s="242">
        <v>2078809.4493015073</v>
      </c>
      <c r="Y33" s="242">
        <v>2541410.0856627058</v>
      </c>
      <c r="Z33" s="242">
        <v>115059.53543041431</v>
      </c>
      <c r="AA33" s="242">
        <v>8315241.6371112876</v>
      </c>
      <c r="AB33" s="242">
        <v>44683097.778512597</v>
      </c>
      <c r="AC33" s="242">
        <v>682979.63888483576</v>
      </c>
      <c r="AD33" s="242">
        <v>636963.68412800436</v>
      </c>
      <c r="AE33" s="242">
        <v>8445237.9421698824</v>
      </c>
      <c r="AF33" s="242">
        <v>624982.47654247773</v>
      </c>
      <c r="AG33" s="242">
        <v>665219.02377648233</v>
      </c>
      <c r="AH33" s="242">
        <v>42029043.134376839</v>
      </c>
      <c r="AI33" s="242">
        <v>3570276.5450340863</v>
      </c>
      <c r="AJ33" s="242">
        <v>264585186.30152971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288</v>
      </c>
      <c r="B2" s="78">
        <v>1</v>
      </c>
    </row>
    <row r="4" spans="1:10" x14ac:dyDescent="0.25">
      <c r="A4" s="77" t="s">
        <v>315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7949378.1351335607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74189.67769150075</v>
      </c>
      <c r="E7" s="76">
        <v>1250598.08486075</v>
      </c>
      <c r="F7" s="76">
        <v>21032.815128937291</v>
      </c>
      <c r="G7" s="76">
        <v>142742</v>
      </c>
      <c r="H7" s="76">
        <v>437443.77822737186</v>
      </c>
      <c r="I7" s="76">
        <v>4336859.4123771554</v>
      </c>
      <c r="J7" s="76">
        <v>6473831.1549278479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73602.891942499205</v>
      </c>
      <c r="E8" s="76">
        <v>1211187.9061807538</v>
      </c>
      <c r="F8" s="76">
        <v>28706.337967901869</v>
      </c>
      <c r="G8" s="76">
        <v>142742</v>
      </c>
      <c r="H8" s="76">
        <v>459349.41813660081</v>
      </c>
      <c r="I8" s="76">
        <v>4336859.4123771554</v>
      </c>
      <c r="J8" s="76">
        <v>6494401.8928307109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430124.59997510223</v>
      </c>
      <c r="E9" s="76">
        <v>3570276.5450340863</v>
      </c>
      <c r="F9" s="76">
        <v>49739.15309683916</v>
      </c>
      <c r="G9" s="76">
        <v>428226</v>
      </c>
      <c r="H9" s="76">
        <v>1317423.1862054006</v>
      </c>
      <c r="I9" s="76">
        <v>14094793.090225754</v>
      </c>
      <c r="J9" s="76">
        <v>20917611.182892121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10" width="9.85546875" style="171" bestFit="1" customWidth="1"/>
    <col min="11" max="11" width="13.85546875" style="171" bestFit="1" customWidth="1"/>
    <col min="12" max="12" width="9.85546875" style="171" bestFit="1" customWidth="1"/>
    <col min="13" max="13" width="16" style="171" bestFit="1" customWidth="1"/>
    <col min="14" max="14" width="10" style="171" bestFit="1" customWidth="1"/>
    <col min="15" max="15" width="8.7109375" style="171" bestFit="1" customWidth="1"/>
    <col min="16" max="16" width="11" style="171" bestFit="1" customWidth="1"/>
    <col min="17" max="17" width="9.85546875" style="171" bestFit="1" customWidth="1"/>
    <col min="18" max="18" width="21" style="171" bestFit="1" customWidth="1"/>
    <col min="19" max="19" width="20.7109375" style="171" bestFit="1" customWidth="1"/>
    <col min="20" max="20" width="9.85546875" style="171" bestFit="1" customWidth="1"/>
    <col min="21" max="21" width="7.140625" style="171" bestFit="1" customWidth="1"/>
    <col min="22" max="22" width="13.85546875" style="171" bestFit="1" customWidth="1"/>
    <col min="23" max="23" width="10.140625" style="171" bestFit="1" customWidth="1"/>
    <col min="24" max="24" width="12.140625" style="171" bestFit="1" customWidth="1"/>
    <col min="25" max="25" width="16" style="171" bestFit="1" customWidth="1"/>
    <col min="26" max="27" width="9.85546875" style="171" bestFit="1" customWidth="1"/>
    <col min="28" max="28" width="9.28515625" style="171" bestFit="1" customWidth="1"/>
    <col min="29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240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38726531.363933533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240738.79472010836</v>
      </c>
      <c r="D7" s="98">
        <v>2948279.9748971234</v>
      </c>
      <c r="E7" s="98">
        <v>748443.83068696968</v>
      </c>
      <c r="F7" s="98">
        <v>91643.463111055491</v>
      </c>
      <c r="G7" s="98">
        <v>1570157.2016349281</v>
      </c>
      <c r="H7" s="98">
        <v>7576872.8456154009</v>
      </c>
      <c r="I7" s="98">
        <v>2134206.5118205468</v>
      </c>
      <c r="J7" s="98">
        <v>3743700.5343613457</v>
      </c>
      <c r="K7" s="98">
        <v>27559.785504281797</v>
      </c>
      <c r="L7" s="98">
        <v>2961150.4845719668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1992661.9607506471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783291.25515859458</v>
      </c>
      <c r="W7" s="98">
        <v>901127.32528332912</v>
      </c>
      <c r="X7" s="98">
        <v>878.45586875355229</v>
      </c>
      <c r="Y7" s="98">
        <v>4526444.2578007793</v>
      </c>
      <c r="Z7" s="98">
        <v>954977.96501922607</v>
      </c>
      <c r="AA7" s="98">
        <v>2101303.8465657956</v>
      </c>
      <c r="AB7" s="98">
        <v>163796.94774542924</v>
      </c>
      <c r="AC7" s="98">
        <v>41014933.584390819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230377.75918826333</v>
      </c>
      <c r="D8" s="98">
        <v>3088580.6906975764</v>
      </c>
      <c r="E8" s="98">
        <v>784251.76462656562</v>
      </c>
      <c r="F8" s="98">
        <v>81923.291098767033</v>
      </c>
      <c r="G8" s="98">
        <v>1522723.6559768345</v>
      </c>
      <c r="H8" s="98">
        <v>7186166.448623132</v>
      </c>
      <c r="I8" s="98">
        <v>2041999.0273120813</v>
      </c>
      <c r="J8" s="98">
        <v>3445654.0507503473</v>
      </c>
      <c r="K8" s="98">
        <v>1759.4160492342635</v>
      </c>
      <c r="L8" s="98">
        <v>2759146.6428546174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1919162.7967223886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712825.86568798381</v>
      </c>
      <c r="W8" s="98">
        <v>883908.47652149468</v>
      </c>
      <c r="X8" s="98">
        <v>907.18121164266609</v>
      </c>
      <c r="Y8" s="98">
        <v>4715545.854665624</v>
      </c>
      <c r="Z8" s="98">
        <v>922616.4144434646</v>
      </c>
      <c r="AA8" s="98">
        <v>2030965.6070747143</v>
      </c>
      <c r="AB8" s="98">
        <v>151799.26731689228</v>
      </c>
      <c r="AC8" s="98">
        <v>39901858.897224739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683827.56366411853</v>
      </c>
      <c r="D9" s="98">
        <v>9267389.7378362119</v>
      </c>
      <c r="E9" s="98">
        <v>2884913.6024563927</v>
      </c>
      <c r="F9" s="98">
        <v>311842.03423872165</v>
      </c>
      <c r="G9" s="98">
        <v>4595438.8932199776</v>
      </c>
      <c r="H9" s="98">
        <v>18881043.0045387</v>
      </c>
      <c r="I9" s="98">
        <v>6217079.2899987623</v>
      </c>
      <c r="J9" s="98">
        <v>9164024.9144231118</v>
      </c>
      <c r="K9" s="98">
        <v>81211.334173612384</v>
      </c>
      <c r="L9" s="98">
        <v>6986559.3736940771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5568189.3989739502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2323810.3257687828</v>
      </c>
      <c r="W9" s="98">
        <v>5057601.2893048245</v>
      </c>
      <c r="X9" s="98">
        <v>2864.2870803962182</v>
      </c>
      <c r="Y9" s="98">
        <v>13610314.014145063</v>
      </c>
      <c r="Z9" s="98">
        <v>2789169.0219477573</v>
      </c>
      <c r="AA9" s="98">
        <v>6137371.6250412865</v>
      </c>
      <c r="AB9" s="98">
        <v>414422.24810827605</v>
      </c>
      <c r="AC9" s="98">
        <v>119643323.84554909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19.802671473587463</v>
      </c>
      <c r="C7" s="240">
        <v>0</v>
      </c>
      <c r="D7" s="240">
        <v>29.979193434395683</v>
      </c>
      <c r="E7" s="240">
        <v>34.963307596754014</v>
      </c>
      <c r="F7" s="240">
        <v>0.14596282488120896</v>
      </c>
      <c r="G7" s="240">
        <v>2.0687027810954168</v>
      </c>
      <c r="H7" s="240">
        <v>7.9766231601288453</v>
      </c>
      <c r="I7" s="240">
        <v>45.280222691386172</v>
      </c>
      <c r="J7" s="240">
        <v>0</v>
      </c>
      <c r="K7" s="240">
        <v>140.21668396222879</v>
      </c>
    </row>
    <row r="8" spans="1:11" x14ac:dyDescent="0.25">
      <c r="A8" s="79">
        <v>2050</v>
      </c>
      <c r="B8" s="240">
        <v>19.897035061438991</v>
      </c>
      <c r="C8" s="240">
        <v>0</v>
      </c>
      <c r="D8" s="240">
        <v>28.335669039324991</v>
      </c>
      <c r="E8" s="240">
        <v>32.884136275413141</v>
      </c>
      <c r="F8" s="240">
        <v>0.23461711386879117</v>
      </c>
      <c r="G8" s="240">
        <v>2.1371305709880617</v>
      </c>
      <c r="H8" s="240">
        <v>7.7078751185296177</v>
      </c>
      <c r="I8" s="240">
        <v>41.352452170508407</v>
      </c>
      <c r="J8" s="240">
        <v>0</v>
      </c>
      <c r="K8" s="240">
        <v>132.54891535007201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5.2940684669341902</v>
      </c>
      <c r="C11" s="240">
        <v>2.1694819870080004</v>
      </c>
      <c r="D11" s="240">
        <v>1.4201719861750004</v>
      </c>
      <c r="E11" s="240">
        <v>0.45076703432000004</v>
      </c>
      <c r="F11" s="240">
        <v>0</v>
      </c>
      <c r="G11" s="240">
        <v>10.028349209867528</v>
      </c>
      <c r="H11" s="240">
        <v>0</v>
      </c>
      <c r="I11" s="240">
        <v>0</v>
      </c>
      <c r="J11" s="240">
        <v>0</v>
      </c>
      <c r="K11" s="240">
        <v>19.36283868430472</v>
      </c>
    </row>
    <row r="12" spans="1:11" x14ac:dyDescent="0.25">
      <c r="A12" s="79">
        <v>2050</v>
      </c>
      <c r="B12" s="240">
        <v>5.3606050360007158</v>
      </c>
      <c r="C12" s="240">
        <v>2.1694819870080004</v>
      </c>
      <c r="D12" s="240">
        <v>1.4201719861750002</v>
      </c>
      <c r="E12" s="240">
        <v>0.45076703432000009</v>
      </c>
      <c r="F12" s="240">
        <v>0</v>
      </c>
      <c r="G12" s="240">
        <v>9.9363705968314342</v>
      </c>
      <c r="H12" s="240">
        <v>0</v>
      </c>
      <c r="I12" s="240">
        <v>0</v>
      </c>
      <c r="J12" s="240">
        <v>0</v>
      </c>
      <c r="K12" s="240">
        <v>19.33739664033515</v>
      </c>
    </row>
    <row r="13" spans="1:11" x14ac:dyDescent="0.25">
      <c r="A13" s="78" t="s">
        <v>296</v>
      </c>
      <c r="B13" s="240">
        <v>57.243637059528758</v>
      </c>
      <c r="C13" s="240">
        <v>0</v>
      </c>
      <c r="D13" s="240">
        <v>58.314862473720673</v>
      </c>
      <c r="E13" s="240">
        <v>87.421034360724349</v>
      </c>
      <c r="F13" s="240">
        <v>0.38057993875000012</v>
      </c>
      <c r="G13" s="240">
        <v>4.205833352083479</v>
      </c>
      <c r="H13" s="240">
        <v>19.635545406488042</v>
      </c>
      <c r="I13" s="240">
        <v>134.12176978623643</v>
      </c>
      <c r="J13" s="240">
        <v>0</v>
      </c>
      <c r="K13" s="240">
        <v>361.32326237753171</v>
      </c>
    </row>
    <row r="14" spans="1:11" x14ac:dyDescent="0.25">
      <c r="A14" s="78" t="s">
        <v>248</v>
      </c>
      <c r="B14" s="240">
        <v>18.137828207141908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25.057002764703967</v>
      </c>
      <c r="H14" s="240">
        <v>0</v>
      </c>
      <c r="I14" s="240">
        <v>0</v>
      </c>
      <c r="J14" s="240">
        <v>0</v>
      </c>
      <c r="K14" s="240">
        <v>55.316093994354873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1139180.7875059044</v>
      </c>
      <c r="C4" s="241">
        <v>128467.8</v>
      </c>
      <c r="D4" s="241">
        <v>3537128.2942940318</v>
      </c>
      <c r="E4" s="241">
        <v>3047158.8251946424</v>
      </c>
      <c r="F4" s="241">
        <v>24394.90109435247</v>
      </c>
      <c r="G4" s="241">
        <v>1663095.0398237593</v>
      </c>
      <c r="H4" s="241">
        <v>1498974.2460576054</v>
      </c>
      <c r="I4" s="241">
        <v>11038399.893970296</v>
      </c>
    </row>
    <row r="5" spans="1:9" x14ac:dyDescent="0.25">
      <c r="A5" s="78">
        <v>2050</v>
      </c>
      <c r="B5" s="241">
        <v>1157844.6374687571</v>
      </c>
      <c r="C5" s="241">
        <v>128467.8</v>
      </c>
      <c r="D5" s="241">
        <v>3352429.5178153403</v>
      </c>
      <c r="E5" s="241">
        <v>2867722.9948248072</v>
      </c>
      <c r="F5" s="241">
        <v>39211.773905647548</v>
      </c>
      <c r="G5" s="241">
        <v>1661950.46181102</v>
      </c>
      <c r="H5" s="241">
        <v>1366366.1366558613</v>
      </c>
      <c r="I5" s="241">
        <v>10573993.322481433</v>
      </c>
    </row>
    <row r="6" spans="1:9" x14ac:dyDescent="0.25">
      <c r="A6" s="78" t="s">
        <v>61</v>
      </c>
      <c r="B6" s="241">
        <v>3374330.3649746617</v>
      </c>
      <c r="C6" s="241">
        <v>385403.4</v>
      </c>
      <c r="D6" s="241">
        <v>7018284.172109372</v>
      </c>
      <c r="E6" s="241">
        <v>7590299.8106746767</v>
      </c>
      <c r="F6" s="241">
        <v>63606.675000000017</v>
      </c>
      <c r="G6" s="241">
        <v>4029061.6174681131</v>
      </c>
      <c r="H6" s="241">
        <v>4441213.8611446423</v>
      </c>
      <c r="I6" s="241">
        <v>26902199.901371464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12662850.806285977</v>
      </c>
      <c r="C4" s="98">
        <v>-24610.813181900667</v>
      </c>
      <c r="D4" s="98">
        <v>4405853.505497627</v>
      </c>
      <c r="E4" s="98">
        <v>9296833.4976137169</v>
      </c>
      <c r="F4" s="98">
        <v>-673285.95920501021</v>
      </c>
      <c r="G4" s="98">
        <v>-341939.42443845799</v>
      </c>
      <c r="H4" s="98">
        <v>0</v>
      </c>
      <c r="I4" s="98">
        <v>25325701.612571955</v>
      </c>
    </row>
    <row r="5" spans="1:9" x14ac:dyDescent="0.25">
      <c r="A5" s="78">
        <v>2050</v>
      </c>
      <c r="B5" s="98">
        <v>11673273.753400896</v>
      </c>
      <c r="C5" s="98">
        <v>-40179.115818099352</v>
      </c>
      <c r="D5" s="98">
        <v>4388184.7278760895</v>
      </c>
      <c r="E5" s="98">
        <v>9211339.4377100542</v>
      </c>
      <c r="F5" s="98">
        <v>-1552855.8846793412</v>
      </c>
      <c r="G5" s="98">
        <v>-333215.41168781015</v>
      </c>
      <c r="H5" s="98">
        <v>0</v>
      </c>
      <c r="I5" s="98">
        <v>23346547.506801788</v>
      </c>
    </row>
    <row r="6" spans="1:9" x14ac:dyDescent="0.25">
      <c r="A6" s="78" t="s">
        <v>61</v>
      </c>
      <c r="B6" s="98">
        <v>38853587.002062723</v>
      </c>
      <c r="C6" s="98">
        <v>-64948.366200000019</v>
      </c>
      <c r="D6" s="98">
        <v>14313300.134110432</v>
      </c>
      <c r="E6" s="98">
        <v>28233639.125057951</v>
      </c>
      <c r="F6" s="98">
        <v>-2788041.8438843517</v>
      </c>
      <c r="G6" s="98">
        <v>-840362.04702132777</v>
      </c>
      <c r="H6" s="98">
        <v>0</v>
      </c>
      <c r="I6" s="98">
        <v>77707174.004125416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10853893.509390926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4046578.8260529838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-313642.01757617836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10029238.357747888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4029816.5016583097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-305735.90389246412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1808957.2968950507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359274.67944464367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-28297.406862279633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1644035.3956530073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358368.22621777962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-27479.507795346046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2021-09-10T12:20:26Z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345688581466674</vt:r8>
  </property>
</Properties>
</file>