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EACE54E-AE7C-4300-84E4-D5EE5C291EFF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04" r:id="rId37"/>
    <pivotCache cacheId="408" r:id="rId38"/>
    <pivotCache cacheId="413" r:id="rId39"/>
    <pivotCache cacheId="418" r:id="rId40"/>
    <pivotCache cacheId="424" r:id="rId41"/>
    <pivotCache cacheId="429" r:id="rId42"/>
    <pivotCache cacheId="434" r:id="rId43"/>
    <pivotCache cacheId="43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D41" i="17"/>
  <c r="D39" i="17"/>
  <c r="D38" i="17"/>
  <c r="D34" i="17"/>
  <c r="D32" i="17"/>
  <c r="E35" i="17"/>
  <c r="E25" i="17" l="1"/>
  <c r="E24" i="17"/>
  <c r="D25" i="17"/>
  <c r="D24" i="17"/>
  <c r="D17" i="17"/>
  <c r="E17" i="17" s="1"/>
  <c r="C5" i="9"/>
  <c r="D5" i="9" s="1"/>
  <c r="C33" i="17" l="1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E38" i="17" s="1"/>
  <c r="C39" i="17"/>
  <c r="E39" i="17" s="1"/>
  <c r="C40" i="17"/>
  <c r="D40" i="17" s="1"/>
  <c r="E40" i="17" s="1"/>
  <c r="C41" i="17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113" i="58" l="1"/>
  <c r="I115" i="58"/>
  <c r="I118" i="58"/>
  <c r="I112" i="58"/>
  <c r="I117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8" i="17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D6" i="39" l="1"/>
  <c r="L42" i="39"/>
  <c r="E157" i="38" s="1"/>
  <c r="J236" i="66" s="1"/>
  <c r="D42" i="39"/>
  <c r="E106" i="38" s="1"/>
  <c r="J92" i="66" s="1"/>
  <c r="D15" i="39"/>
  <c r="AB3" i="39" s="1"/>
  <c r="Q10" i="9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S92" i="66"/>
  <c r="P92" i="66"/>
  <c r="N236" i="66"/>
  <c r="O236" i="66" s="1"/>
  <c r="Q236" i="66" s="1"/>
  <c r="R236" i="66" s="1"/>
  <c r="T236" i="66" s="1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Y92" i="66" l="1"/>
  <c r="Y236" i="66"/>
  <c r="O92" i="66"/>
  <c r="Q92" i="66" s="1"/>
  <c r="R92" i="66" s="1"/>
  <c r="T92" i="66" s="1"/>
  <c r="Z92" i="66"/>
  <c r="Z236" i="66"/>
  <c r="N284" i="66"/>
  <c r="O284" i="66" s="1"/>
  <c r="Q284" i="66" s="1"/>
  <c r="R284" i="66" s="1"/>
  <c r="T284" i="66" s="1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Y140" i="66" l="1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H49" i="35" s="1" a="1"/>
  <c r="H49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G64" i="18" l="1" a="1"/>
  <c r="G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1" i="37"/>
  <c r="J21" i="58"/>
  <c r="J18" i="58"/>
  <c r="J18" i="37"/>
  <c r="J15" i="37"/>
  <c r="J15" i="58"/>
  <c r="J24" i="58" l="1"/>
  <c r="H40" i="58"/>
  <c r="J26" i="37"/>
  <c r="G12" i="39"/>
  <c r="H45" i="37"/>
  <c r="I66" i="58"/>
  <c r="J34" i="37"/>
  <c r="H69" i="58"/>
  <c r="H40" i="37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J23" i="41" l="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84" i="66" l="1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37"/>
  <c r="J4" i="58"/>
  <c r="H4" i="37" l="1"/>
  <c r="H4" i="58"/>
  <c r="O4" i="58"/>
  <c r="F245" i="66"/>
  <c r="E37" i="53"/>
  <c r="F101" i="66"/>
  <c r="J4" i="41"/>
  <c r="E45" i="39" s="1"/>
  <c r="E31" i="53"/>
  <c r="F53" i="66"/>
  <c r="E19" i="53"/>
  <c r="I4" i="41"/>
  <c r="D45" i="39" s="1"/>
  <c r="E25" i="53"/>
  <c r="N4" i="58"/>
  <c r="F197" i="66"/>
  <c r="L45" i="39" l="1"/>
  <c r="E158" i="38" s="1"/>
  <c r="E107" i="38"/>
  <c r="D59" i="39"/>
  <c r="D60" i="39" s="1"/>
  <c r="D56" i="39"/>
  <c r="E7" i="53"/>
  <c r="F5" i="66"/>
  <c r="H4" i="41"/>
  <c r="K45" i="39" s="1"/>
  <c r="C45" i="39"/>
  <c r="E59" i="39"/>
  <c r="E60" i="39" s="1"/>
  <c r="E124" i="38"/>
  <c r="E56" i="39"/>
  <c r="M45" i="39"/>
  <c r="M4" i="58"/>
  <c r="F149" i="66"/>
  <c r="E13" i="53"/>
  <c r="L59" i="39" l="1"/>
  <c r="L60" i="39" s="1"/>
  <c r="L56" i="39"/>
  <c r="L58" i="39" s="1"/>
  <c r="D19" i="53"/>
  <c r="F19" i="53" s="1"/>
  <c r="H25" i="53" s="1"/>
  <c r="I452" i="37"/>
  <c r="I444" i="37"/>
  <c r="J53" i="66"/>
  <c r="E58" i="39"/>
  <c r="E57" i="39"/>
  <c r="K56" i="39"/>
  <c r="K59" i="39"/>
  <c r="K60" i="39" s="1"/>
  <c r="E141" i="38"/>
  <c r="C59" i="39"/>
  <c r="C60" i="39" s="1"/>
  <c r="E90" i="38"/>
  <c r="C56" i="39"/>
  <c r="J197" i="66"/>
  <c r="D25" i="53"/>
  <c r="F25" i="53" s="1"/>
  <c r="I444" i="58"/>
  <c r="I452" i="58"/>
  <c r="M56" i="39"/>
  <c r="E175" i="38"/>
  <c r="M59" i="39"/>
  <c r="M60" i="39" s="1"/>
  <c r="D57" i="39"/>
  <c r="D58" i="39"/>
  <c r="D31" i="53"/>
  <c r="F31" i="53" s="1"/>
  <c r="H37" i="53" s="1"/>
  <c r="J452" i="37"/>
  <c r="J101" i="66"/>
  <c r="J444" i="37"/>
  <c r="L57" i="39" l="1"/>
  <c r="F103" i="66"/>
  <c r="J457" i="37"/>
  <c r="W197" i="66"/>
  <c r="S197" i="66"/>
  <c r="F102" i="66"/>
  <c r="J467" i="37"/>
  <c r="H452" i="37"/>
  <c r="H444" i="37"/>
  <c r="J5" i="66"/>
  <c r="D7" i="53"/>
  <c r="F7" i="53" s="1"/>
  <c r="H452" i="58"/>
  <c r="D13" i="53"/>
  <c r="F13" i="53" s="1"/>
  <c r="H7" i="53" s="1"/>
  <c r="H444" i="58"/>
  <c r="J149" i="66"/>
  <c r="W101" i="66"/>
  <c r="S101" i="66"/>
  <c r="H19" i="53"/>
  <c r="G19" i="53" s="1"/>
  <c r="G25" i="53"/>
  <c r="D37" i="53"/>
  <c r="F37" i="53" s="1"/>
  <c r="J444" i="58"/>
  <c r="J444" i="41" s="1"/>
  <c r="J245" i="66"/>
  <c r="J452" i="58"/>
  <c r="M57" i="39"/>
  <c r="M58" i="39"/>
  <c r="K57" i="39"/>
  <c r="K58" i="39"/>
  <c r="I457" i="58"/>
  <c r="F199" i="66"/>
  <c r="F198" i="66"/>
  <c r="I467" i="58"/>
  <c r="W53" i="66"/>
  <c r="S53" i="66"/>
  <c r="F54" i="66"/>
  <c r="I467" i="37"/>
  <c r="I444" i="41"/>
  <c r="C58" i="39"/>
  <c r="C57" i="39"/>
  <c r="F55" i="66"/>
  <c r="I457" i="37"/>
  <c r="I452" i="41"/>
  <c r="I467" i="41" l="1"/>
  <c r="E319" i="38"/>
  <c r="E325" i="38"/>
  <c r="M197" i="66" s="1"/>
  <c r="H467" i="37"/>
  <c r="H444" i="41"/>
  <c r="F6" i="66"/>
  <c r="E378" i="38"/>
  <c r="K199" i="66" s="1"/>
  <c r="N199" i="66" s="1"/>
  <c r="I458" i="58"/>
  <c r="E379" i="38" s="1"/>
  <c r="K218" i="66" s="1"/>
  <c r="N218" i="66" s="1"/>
  <c r="L102" i="66"/>
  <c r="P102" i="66" s="1"/>
  <c r="L198" i="66"/>
  <c r="P198" i="66" s="1"/>
  <c r="E313" i="38"/>
  <c r="E307" i="38"/>
  <c r="G37" i="53"/>
  <c r="H31" i="53"/>
  <c r="G31" i="53" s="1"/>
  <c r="I457" i="41"/>
  <c r="E360" i="38"/>
  <c r="K55" i="66" s="1"/>
  <c r="N55" i="66" s="1"/>
  <c r="I458" i="37"/>
  <c r="F7" i="66"/>
  <c r="H452" i="41"/>
  <c r="H457" i="37"/>
  <c r="S149" i="66"/>
  <c r="W149" i="66"/>
  <c r="L54" i="66"/>
  <c r="P54" i="66" s="1"/>
  <c r="H467" i="58"/>
  <c r="F150" i="66"/>
  <c r="J457" i="58"/>
  <c r="F247" i="66"/>
  <c r="S245" i="66"/>
  <c r="W245" i="66"/>
  <c r="F151" i="66"/>
  <c r="H457" i="58"/>
  <c r="J452" i="41"/>
  <c r="F246" i="66"/>
  <c r="J467" i="58"/>
  <c r="J467" i="41" s="1"/>
  <c r="O3" i="41" s="1"/>
  <c r="G7" i="53"/>
  <c r="H13" i="53"/>
  <c r="G13" i="53" s="1"/>
  <c r="E366" i="38"/>
  <c r="K103" i="66" s="1"/>
  <c r="N103" i="66" s="1"/>
  <c r="J458" i="37"/>
  <c r="S5" i="66"/>
  <c r="W5" i="66"/>
  <c r="N198" i="66" l="1"/>
  <c r="N54" i="66"/>
  <c r="E372" i="38"/>
  <c r="K151" i="66" s="1"/>
  <c r="N151" i="66" s="1"/>
  <c r="H458" i="58"/>
  <c r="E373" i="38" s="1"/>
  <c r="K170" i="66" s="1"/>
  <c r="N170" i="66" s="1"/>
  <c r="J458" i="58"/>
  <c r="E385" i="38" s="1"/>
  <c r="K266" i="66" s="1"/>
  <c r="N266" i="66" s="1"/>
  <c r="E384" i="38"/>
  <c r="K247" i="66" s="1"/>
  <c r="N247" i="66" s="1"/>
  <c r="Y103" i="66" s="1"/>
  <c r="E337" i="38"/>
  <c r="E331" i="38"/>
  <c r="E367" i="38"/>
  <c r="K122" i="66" s="1"/>
  <c r="N122" i="66" s="1"/>
  <c r="E349" i="38"/>
  <c r="M245" i="66" s="1"/>
  <c r="E343" i="38"/>
  <c r="Z55" i="66"/>
  <c r="Y199" i="66"/>
  <c r="Y55" i="66"/>
  <c r="Z199" i="66"/>
  <c r="L53" i="66"/>
  <c r="I464" i="37"/>
  <c r="J457" i="41"/>
  <c r="E301" i="38"/>
  <c r="M149" i="66" s="1"/>
  <c r="E295" i="38"/>
  <c r="E289" i="38"/>
  <c r="E283" i="38"/>
  <c r="M53" i="66"/>
  <c r="F18" i="39" s="1"/>
  <c r="C22" i="8"/>
  <c r="L6" i="66"/>
  <c r="P6" i="66" s="1"/>
  <c r="V6" i="66" s="1"/>
  <c r="X6" i="66" s="1"/>
  <c r="L246" i="66"/>
  <c r="P246" i="66" s="1"/>
  <c r="E354" i="38"/>
  <c r="K7" i="66" s="1"/>
  <c r="N7" i="66" s="1"/>
  <c r="H458" i="37"/>
  <c r="H457" i="41"/>
  <c r="L150" i="66"/>
  <c r="P150" i="66" s="1"/>
  <c r="V150" i="66" s="1"/>
  <c r="X150" i="66" s="1"/>
  <c r="N102" i="66"/>
  <c r="H467" i="41"/>
  <c r="M3" i="41" s="1"/>
  <c r="I458" i="41"/>
  <c r="E361" i="38"/>
  <c r="K74" i="66" s="1"/>
  <c r="N74" i="66" s="1"/>
  <c r="I464" i="58"/>
  <c r="L197" i="66"/>
  <c r="Y54" i="66" l="1"/>
  <c r="O54" i="66"/>
  <c r="Z198" i="66"/>
  <c r="Y198" i="66"/>
  <c r="Z54" i="66"/>
  <c r="Y247" i="66"/>
  <c r="N6" i="66"/>
  <c r="N246" i="66"/>
  <c r="O246" i="66" s="1"/>
  <c r="U246" i="66" s="1"/>
  <c r="J458" i="41"/>
  <c r="O198" i="66"/>
  <c r="Z103" i="66"/>
  <c r="Z247" i="66"/>
  <c r="N53" i="66"/>
  <c r="P53" i="66"/>
  <c r="P197" i="66"/>
  <c r="N197" i="66"/>
  <c r="N150" i="66"/>
  <c r="L5" i="66"/>
  <c r="H464" i="37"/>
  <c r="B22" i="8"/>
  <c r="M5" i="66"/>
  <c r="H464" i="58"/>
  <c r="L149" i="66"/>
  <c r="L101" i="66"/>
  <c r="J464" i="37"/>
  <c r="Y218" i="66"/>
  <c r="Y74" i="66"/>
  <c r="Z74" i="66"/>
  <c r="Z218" i="66"/>
  <c r="D22" i="8"/>
  <c r="M101" i="66"/>
  <c r="G18" i="39" s="1"/>
  <c r="V54" i="66"/>
  <c r="X54" i="66" s="1"/>
  <c r="U54" i="66"/>
  <c r="Q54" i="66"/>
  <c r="H458" i="41"/>
  <c r="E355" i="38"/>
  <c r="K26" i="66" s="1"/>
  <c r="N26" i="66" s="1"/>
  <c r="Z7" i="66"/>
  <c r="Y7" i="66"/>
  <c r="Y151" i="66"/>
  <c r="Z151" i="66"/>
  <c r="I464" i="41"/>
  <c r="L245" i="66"/>
  <c r="J464" i="58"/>
  <c r="Y266" i="66"/>
  <c r="Y122" i="66"/>
  <c r="Z266" i="66"/>
  <c r="Z122" i="66"/>
  <c r="Q246" i="66" l="1"/>
  <c r="V246" i="66"/>
  <c r="X246" i="66" s="1"/>
  <c r="O102" i="66"/>
  <c r="Z102" i="66"/>
  <c r="Y102" i="66"/>
  <c r="O150" i="66"/>
  <c r="U150" i="66" s="1"/>
  <c r="Y246" i="66"/>
  <c r="Z246" i="66"/>
  <c r="O197" i="66"/>
  <c r="V197" i="66" s="1"/>
  <c r="X197" i="66" s="1"/>
  <c r="O6" i="66"/>
  <c r="U6" i="66" s="1"/>
  <c r="Y150" i="66"/>
  <c r="Z6" i="66"/>
  <c r="Z150" i="66"/>
  <c r="V198" i="66"/>
  <c r="X198" i="66" s="1"/>
  <c r="Q198" i="66"/>
  <c r="U198" i="66"/>
  <c r="Y6" i="66"/>
  <c r="R149" i="66"/>
  <c r="T149" i="66" s="1"/>
  <c r="N149" i="66"/>
  <c r="P149" i="66"/>
  <c r="V149" i="66" s="1"/>
  <c r="X149" i="66" s="1"/>
  <c r="R5" i="66"/>
  <c r="T5" i="66" s="1"/>
  <c r="P5" i="66"/>
  <c r="V5" i="66" s="1"/>
  <c r="X5" i="66" s="1"/>
  <c r="N5" i="66"/>
  <c r="P101" i="66"/>
  <c r="N101" i="66"/>
  <c r="Z53" i="66"/>
  <c r="Y53" i="66"/>
  <c r="Z197" i="66"/>
  <c r="O53" i="66"/>
  <c r="Y197" i="66"/>
  <c r="P245" i="66"/>
  <c r="N245" i="66"/>
  <c r="J464" i="41"/>
  <c r="U102" i="66"/>
  <c r="Q102" i="66"/>
  <c r="V102" i="66"/>
  <c r="X102" i="66" s="1"/>
  <c r="H464" i="41"/>
  <c r="Y170" i="66"/>
  <c r="Y26" i="66"/>
  <c r="Z170" i="66"/>
  <c r="Z26" i="66"/>
  <c r="Q150" i="66" l="1"/>
  <c r="Q6" i="66"/>
  <c r="Q197" i="66"/>
  <c r="R197" i="66" s="1"/>
  <c r="T197" i="66" s="1"/>
  <c r="U197" i="66"/>
  <c r="O149" i="66"/>
  <c r="U149" i="66" s="1"/>
  <c r="O245" i="66"/>
  <c r="V245" i="66" s="1"/>
  <c r="X245" i="66" s="1"/>
  <c r="Y245" i="66"/>
  <c r="Y101" i="66"/>
  <c r="Z245" i="66"/>
  <c r="Z101" i="66"/>
  <c r="O101" i="66"/>
  <c r="Y5" i="66"/>
  <c r="Z5" i="66"/>
  <c r="Y149" i="66"/>
  <c r="O5" i="66"/>
  <c r="Z149" i="66"/>
  <c r="U53" i="66"/>
  <c r="V53" i="66"/>
  <c r="X53" i="66" s="1"/>
  <c r="Q53" i="66"/>
  <c r="R53" i="66" s="1"/>
  <c r="T53" i="66" s="1"/>
  <c r="Q149" i="66" l="1"/>
  <c r="U245" i="66"/>
  <c r="Q245" i="66"/>
  <c r="R245" i="66" s="1"/>
  <c r="T245" i="66" s="1"/>
  <c r="Q5" i="66"/>
  <c r="U5" i="66"/>
  <c r="U101" i="66"/>
  <c r="Q101" i="66"/>
  <c r="R101" i="66" s="1"/>
  <c r="T101" i="66" s="1"/>
  <c r="V101" i="66"/>
  <c r="X101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<sst xmlns="http://schemas.openxmlformats.org/spreadsheetml/2006/main" count="4031" uniqueCount="338">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</sst>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12061659.217710676</c:v>
                </c:pt>
                <c:pt idx="2">
                  <c:v>11381001.09678873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63.719282873772414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20.039498044815318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2.2528620676195708</c:v>
                </c:pt>
                <c:pt idx="2">
                  <c:v>2.3447387190129585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8321598.9393502567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1714475.0703735081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2496360.7088010199</c:v>
                </c:pt>
                <c:pt idx="2">
                  <c:v>2479453.136644504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684.67883888144547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1930172.8654460763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6423924.8458333323</c:v>
                </c:pt>
                <c:pt idx="16">
                  <c:v>921291.4398151316</c:v>
                </c:pt>
                <c:pt idx="17">
                  <c:v>903687.29273995303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855956.11724253604</c:v>
                </c:pt>
                <c:pt idx="17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855956.11724253604</c:v>
                </c:pt>
                <c:pt idx="2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D-4917-B46D-A4F9FAE14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226110.4756866793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23911523.721627589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2">
                  <c:v>26163.144336591125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1243684.2219918412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5622703.3534848932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469337.14858506783</c:v>
                </c:pt>
                <c:pt idx="2">
                  <c:v>460368.99818827701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219.61396718838785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6705.9786119636192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12061659.217710676</c:v>
                </c:pt>
                <c:pt idx="2">
                  <c:v>11381001.09678873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78924.795388364349</c:v>
                </c:pt>
                <c:pt idx="2">
                  <c:v>173770.20047568402</c:v>
                </c:pt>
                <c:pt idx="3">
                  <c:v>0</c:v>
                </c:pt>
                <c:pt idx="4">
                  <c:v>12818.566214461987</c:v>
                </c:pt>
                <c:pt idx="5">
                  <c:v>30297.171474632443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218475.89285786889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226110.4756866793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3362.8500000000004</c:v>
                </c:pt>
                <c:pt idx="16">
                  <c:v>684.67883888144547</c:v>
                </c:pt>
                <c:pt idx="17">
                  <c:v>707.0677090744307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1930172.8654460763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6423924.8458333323</c:v>
                </c:pt>
                <c:pt idx="16">
                  <c:v>921291.4398151316</c:v>
                </c:pt>
                <c:pt idx="17">
                  <c:v>903687.29273995303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855956.11724253604</c:v>
                </c:pt>
                <c:pt idx="17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1108490.5539925825</c:v>
                </c:pt>
                <c:pt idx="1">
                  <c:v>855956.11724253604</c:v>
                </c:pt>
                <c:pt idx="2">
                  <c:v>805860.03783459379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E87-A0A8-E14845D56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226110.4756866793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23911523.721627589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2">
                  <c:v>26163.144336591125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1243684.2219918412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5622703.3534848932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469337.14858506783</c:v>
                </c:pt>
                <c:pt idx="2">
                  <c:v>460368.99818827701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219.61396718838785</c:v>
                </c:pt>
                <c:pt idx="2">
                  <c:v>226.79530291066658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6705.9786119636192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63.719282873772414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20.039498044815318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2.2528620676195708</c:v>
                </c:pt>
                <c:pt idx="2">
                  <c:v>2.3447387190129585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8321598.9393502567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1714475.0703735081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2496360.7088010199</c:v>
                </c:pt>
                <c:pt idx="2">
                  <c:v>2479453.136644504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36574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46759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46759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481481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7099815.405951377"/>
    </cacheField>
    <cacheField name="Potentiale til energi [ton]" numFmtId="3">
      <sharedItems containsSemiMixedTypes="0" containsString="0" containsNumber="1" minValue="0" maxValue="17099815.405951377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1.4615228700247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787948.3136663856"/>
    </cacheField>
    <cacheField name="Forbrug/potentiale [Ton TS]" numFmtId="0">
      <sharedItems containsSemiMixedTypes="0" containsString="0" containsNumber="1" minValue="0" maxValue="4806640.7409119802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787948.313666386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04629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16203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39351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221574074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</r>
  <r>
    <x v="4"/>
    <x v="10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</r>
  <r>
    <x v="23"/>
    <x v="10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</r>
  <r>
    <x v="4"/>
    <x v="10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</r>
  <r>
    <x v="23"/>
    <x v="10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0369071.834223954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516531.08471977338"/>
    <s v="Biogasanlæg"/>
    <x v="5"/>
  </r>
  <r>
    <s v="Vestdanmark"/>
    <x v="1"/>
    <n v="0"/>
    <s v="Pyrolyseproces"/>
    <x v="6"/>
  </r>
  <r>
    <s v="Vestdanmark"/>
    <x v="2"/>
    <n v="9802558.8435188979"/>
    <s v="CO2 - atmosfære"/>
    <x v="0"/>
  </r>
  <r>
    <s v="Vestdanmark"/>
    <x v="2"/>
    <n v="5037270.6270728866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502600.52422498411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692587.3834867217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49459.694640183312"/>
    <s v="Biogasanlæg"/>
    <x v="5"/>
  </r>
  <r>
    <s v="Østdanmark"/>
    <x v="1"/>
    <n v="0"/>
    <s v="Pyrolyseproces"/>
    <x v="6"/>
  </r>
  <r>
    <s v="Østdanmark"/>
    <x v="2"/>
    <n v="1578442.2532698335"/>
    <s v="CO2 - atmosfære"/>
    <x v="0"/>
  </r>
  <r>
    <s v="Østdanmark"/>
    <x v="2"/>
    <n v="447960.28277222451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47926.24035900968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  <n v="0"/>
    <x v="1"/>
  </r>
  <r>
    <x v="4"/>
    <s v="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  <n v="0"/>
    <x v="0"/>
  </r>
  <r>
    <x v="23"/>
    <s v="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  <n v="0"/>
    <x v="1"/>
  </r>
  <r>
    <x v="4"/>
    <s v="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  <n v="0"/>
    <x v="0"/>
  </r>
  <r>
    <x v="23"/>
    <s v="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631.66355026272936"/>
    <n v="0"/>
    <n v="0"/>
    <n v="202.60906329181853"/>
    <n v="202.60906329181853"/>
    <n v="7508.4535219909349"/>
    <n v="9.528501637550934E-5"/>
    <n v="3.6264356232326264E-3"/>
    <n v="3.5311506068571169E-3"/>
    <n v="9.528501637550953E-5"/>
    <n v="12.764370987384567"/>
    <n v="485.79694287281347"/>
    <n v="473.03257188542892"/>
    <n v="12.76437098738455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530047.10760776233"/>
    <n v="0"/>
    <n v="0"/>
    <n v="-530047.1076077623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860156.65712599526"/>
    <n v="0"/>
    <n v="0"/>
    <n v="438193.01400758326"/>
    <n v="438193.01400758326"/>
    <n v="11685147.040202204"/>
    <n v="0.2218089217604986"/>
    <n v="6.1367135020404531"/>
    <n v="5.9149045802799547"/>
    <n v="0.22180892176049838"/>
    <n v="33302.66906457633"/>
    <n v="921373.84411994379"/>
    <n v="888071.17505536752"/>
    <n v="33302.669064576272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64498.475475191975"/>
    <n v="0"/>
    <n v="0"/>
    <n v="0"/>
    <n v="0"/>
    <n v="0"/>
    <n v="0"/>
    <n v="164942.162631483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772822.43758857"/>
    <n v="0"/>
    <n v="0"/>
    <n v="0"/>
    <n v="0"/>
    <n v="0"/>
    <n v="582772822.43758857"/>
    <n v="0"/>
    <n v="0"/>
    <n v="0"/>
    <n v="582772822.43758857"/>
    <n v="0"/>
    <n v="0"/>
    <n v="0"/>
    <n v="0"/>
    <n v="0"/>
    <n v="0"/>
    <n v="0"/>
    <n v="0"/>
    <x v="0"/>
  </r>
  <r>
    <x v="4"/>
    <s v=""/>
    <n v="0"/>
    <x v="2"/>
    <s v="Vestdanmark"/>
    <n v="26332104.996966466"/>
    <n v="0"/>
    <n v="0"/>
    <n v="0"/>
    <n v="0"/>
    <n v="23798796.499221969"/>
    <n v="0"/>
    <n v="0"/>
    <n v="2533308.497744496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652.318830416526"/>
    <n v="0"/>
    <n v="0"/>
    <n v="209.23434183171594"/>
    <n v="209.23434183171594"/>
    <n v="7753.9785502341792"/>
    <n v="9.840081862003769E-5"/>
    <n v="3.74501939100967E-3"/>
    <n v="3.6466185723896321E-3"/>
    <n v="9.8400818620037866E-5"/>
    <n v="13.181763535398105"/>
    <n v="501.68241220015142"/>
    <n v="488.50064866475327"/>
    <n v="13.181763535398147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12237689.909258299"/>
    <n v="0"/>
    <n v="0"/>
    <n v="66758.668734263701"/>
    <n v="0"/>
    <n v="0"/>
    <n v="0"/>
    <n v="17099815.405951377"/>
    <n v="17099815.405951377"/>
    <n v="66758.668734263701"/>
    <n v="31.46152287002479"/>
    <n v="31.584350475662244"/>
    <n v="0.12282760563745343"/>
    <n v="31.46152287002479"/>
    <n v="4787948.3136663856"/>
    <n v="4806640.7409119802"/>
    <n v="18692.427245593837"/>
    <n v="4787948.3136663865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773085.89354292606"/>
    <n v="724013.50560011622"/>
    <n v="0"/>
    <n v="55778.456419553964"/>
    <n v="0"/>
    <n v="1282335.7597468863"/>
    <n v="0"/>
    <n v="0"/>
    <n v="0"/>
    <n v="1338114.2161664404"/>
    <n v="0"/>
    <n v="13.575566996115745"/>
    <n v="0.3215929216251952"/>
    <n v="13.25397407449055"/>
    <n v="0"/>
    <n v="1137397.0837414742"/>
    <n v="47411.687956620866"/>
    <n v="1089985.395784853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5879215.2019956233"/>
    <n v="0"/>
    <n v="307470.55071854044"/>
    <n v="2901.770538547059"/>
    <n v="0"/>
    <n v="0"/>
    <n v="0"/>
    <n v="-666178.80354213156"/>
    <n v="0"/>
    <n v="2901.770538547059"/>
    <n v="0"/>
    <n v="9.9381578466482823E-3"/>
    <n v="9.9381578466482823E-3"/>
    <n v="0"/>
    <n v="0"/>
    <n v="899.54886694958827"/>
    <n v="899.54886694958827"/>
    <n v="0"/>
    <x v="0"/>
  </r>
  <r>
    <x v="23"/>
    <s v=""/>
    <n v="0"/>
    <x v="2"/>
    <s v="Vestdanmark"/>
    <n v="0"/>
    <n v="0"/>
    <n v="0"/>
    <n v="0"/>
    <n v="0"/>
    <n v="489943.23944018129"/>
    <n v="0"/>
    <n v="0"/>
    <n v="-489943.2394401812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843720.68079392554"/>
    <n v="0"/>
    <n v="0"/>
    <n v="429819.96946105547"/>
    <n v="429819.96946105547"/>
    <n v="11461865.852294842"/>
    <n v="0.21757057034149169"/>
    <n v="6.0194524461146184"/>
    <n v="5.8018818757731268"/>
    <n v="0.21757057034149163"/>
    <n v="32666.317679040214"/>
    <n v="903768.12245344813"/>
    <n v="871101.804774408"/>
    <n v="32666.31767904013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5657053.7864699624"/>
    <n v="0"/>
    <n v="0"/>
    <n v="254098.83749353027"/>
    <n v="0"/>
    <n v="0"/>
    <n v="0"/>
    <n v="190679.00505335722"/>
    <n v="190679.00505335722"/>
    <n v="254098.83749353027"/>
    <n v="0.6845376281415525"/>
    <n v="1.5967524547433263"/>
    <n v="0.91221482660177378"/>
    <n v="0.6845376281415525"/>
    <n v="57203.701516007168"/>
    <n v="133433.35276406622"/>
    <n v="76229.651248059075"/>
    <n v="57203.7015160071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214099.10609126225"/>
    <n v="0"/>
    <n v="0"/>
    <n v="0"/>
    <n v="0"/>
    <n v="0"/>
    <n v="0"/>
    <n v="-25058.70298511697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841167.61765562883"/>
    <n v="0"/>
    <n v="0"/>
    <n v="21821.426523041016"/>
    <n v="0"/>
    <n v="0"/>
    <n v="0"/>
    <n v="4161585.3153593498"/>
    <n v="4161585.3153593498"/>
    <n v="21821.426523041016"/>
    <n v="11.29470900929789"/>
    <n v="11.353933233738484"/>
    <n v="5.9224224440594241E-2"/>
    <n v="11.29470900929789"/>
    <n v="832317.06307187001"/>
    <n v="836681.34837647818"/>
    <n v="4364.2853046082037"/>
    <n v="832317.06307187001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53.01528861871612"/>
    <n v="0"/>
    <n v="0"/>
    <n v="17.004903896569317"/>
    <n v="17.004903896569317"/>
    <n v="630.18173263756921"/>
    <n v="7.997236253517585E-6"/>
    <n v="3.0436540329564001E-4"/>
    <n v="2.9636816704212241E-4"/>
    <n v="7.9972362535176019E-6"/>
    <n v="1.0713089454838669"/>
    <n v="40.77275810165073"/>
    <n v="39.701449156166859"/>
    <n v="1.0713089454838709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325909.00963477371"/>
    <n v="0"/>
    <n v="0"/>
    <n v="-325909.009634773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61134.782689136329"/>
    <n v="0"/>
    <n v="0"/>
    <n v="31144.134577484569"/>
    <n v="31144.134577484569"/>
    <n v="830510.25539958803"/>
    <n v="1.5764849481776914E-2"/>
    <n v="0.43616083566249442"/>
    <n v="0.4203959861807175"/>
    <n v="1.5764849481776921E-2"/>
    <n v="2366.9542278888271"/>
    <n v="65485.733638257516"/>
    <n v="63118.77941036869"/>
    <n v="2366.9542278888257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7916.616753740097"/>
    <n v="0"/>
    <n v="0"/>
    <n v="0"/>
    <n v="0"/>
    <n v="0"/>
    <n v="0"/>
    <n v="61168.31305519570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542746.35900024"/>
    <n v="0"/>
    <n v="0"/>
    <n v="0"/>
    <n v="0"/>
    <n v="0"/>
    <n v="125542746.35900024"/>
    <n v="0"/>
    <n v="0"/>
    <n v="0"/>
    <n v="125542746.35900024"/>
    <n v="0"/>
    <n v="0"/>
    <n v="0"/>
    <n v="0"/>
    <n v="0"/>
    <n v="0"/>
    <n v="0"/>
    <n v="0"/>
    <x v="0"/>
  </r>
  <r>
    <x v="4"/>
    <s v=""/>
    <n v="0"/>
    <x v="2"/>
    <s v="Østdanmark"/>
    <n v="4357755.2271491131"/>
    <n v="0"/>
    <n v="0"/>
    <n v="0"/>
    <n v="0"/>
    <n v="3938512.6960526006"/>
    <n v="0"/>
    <n v="0"/>
    <n v="419242.5310965124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54.748878657904719"/>
    <n v="0"/>
    <n v="0"/>
    <n v="17.560961078950641"/>
    <n v="17.560961078950641"/>
    <n v="650.78855763169781"/>
    <n v="8.2587443858196973E-6"/>
    <n v="3.1431809515443089E-4"/>
    <n v="3.0605935076861117E-4"/>
    <n v="8.2587443858197227E-6"/>
    <n v="1.1063405479738904"/>
    <n v="42.106019678770856"/>
    <n v="40.999679130796963"/>
    <n v="1.106340547973893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502068.0760117143"/>
    <n v="0"/>
    <n v="0"/>
    <n v="18918.331265736317"/>
    <n v="0"/>
    <n v="0"/>
    <n v="0"/>
    <n v="6811708.3156762123"/>
    <n v="6811708.3156762123"/>
    <n v="18918.331265736317"/>
    <n v="12.532691837304771"/>
    <n v="12.567499202042317"/>
    <n v="3.4807364737546607E-2"/>
    <n v="12.532691837304771"/>
    <n v="1907278.3283893396"/>
    <n v="1912575.4611437458"/>
    <n v="5297.1327544061696"/>
    <n v="1907278.32838933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94889.448034412548"/>
    <n v="103062.42440743271"/>
    <n v="0"/>
    <n v="20155.543580446039"/>
    <n v="0"/>
    <n v="647837.10569919006"/>
    <n v="0"/>
    <n v="0"/>
    <n v="0"/>
    <n v="667992.6492796361"/>
    <n v="0"/>
    <n v="6.8121264565469533"/>
    <n v="0.11620759273480487"/>
    <n v="6.6959188638121487"/>
    <n v="0"/>
    <n v="567793.75188769063"/>
    <n v="17132.212043379132"/>
    <n v="550661.5398443115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721621.60770550335"/>
    <n v="0"/>
    <n v="268249.01834925939"/>
    <n v="884.229461452941"/>
    <n v="0"/>
    <n v="0"/>
    <n v="0"/>
    <n v="692341.94787872268"/>
    <n v="26163.144336591125"/>
    <n v="884.229461452941"/>
    <n v="8.9605106512617494E-2"/>
    <n v="9.2633468625969217E-2"/>
    <n v="3.0283621133517201E-3"/>
    <n v="8.9605106512617494E-2"/>
    <n v="8110.5747443432492"/>
    <n v="8384.6858773936601"/>
    <n v="274.11113305041169"/>
    <n v="8110.5747443432483"/>
    <x v="0"/>
  </r>
  <r>
    <x v="23"/>
    <s v=""/>
    <n v="0"/>
    <x v="2"/>
    <s v="Østdanmark"/>
    <n v="0"/>
    <n v="0"/>
    <n v="0"/>
    <n v="0"/>
    <n v="0"/>
    <n v="315916.79839441256"/>
    <n v="0"/>
    <n v="0"/>
    <n v="-315916.7983944125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59966.611946027508"/>
    <n v="0"/>
    <n v="0"/>
    <n v="30549.028727221536"/>
    <n v="30549.028727221536"/>
    <n v="814640.76605924184"/>
    <n v="1.5463612851432272E-2"/>
    <n v="0.42782662222295997"/>
    <n v="0.4123630093715277"/>
    <n v="1.5463612851432273E-2"/>
    <n v="2321.7261832688368"/>
    <n v="64234.424403771212"/>
    <n v="61912.698220502381"/>
    <n v="2321.726183268830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694353.2611092875"/>
    <n v="0"/>
    <n v="0"/>
    <n v="75927.162506469729"/>
    <n v="0"/>
    <n v="0"/>
    <n v="0"/>
    <n v="1053005.216938484"/>
    <n v="1053005.216938484"/>
    <n v="75927.162506469729"/>
    <n v="3.780288728809158"/>
    <n v="4.0528672422073839"/>
    <n v="0.27257851339822636"/>
    <n v="3.7802887288091576"/>
    <n v="315901.56508154521"/>
    <n v="338679.71383348614"/>
    <n v="22778.148751940917"/>
    <n v="315901.56508154521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26278.769501998373"/>
    <n v="0"/>
    <n v="0"/>
    <n v="0"/>
    <n v="0"/>
    <n v="0"/>
    <n v="0"/>
    <n v="31764.68159708059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103245.87683002709"/>
    <n v="0"/>
    <n v="0"/>
    <n v="6823.5734769589817"/>
    <n v="0"/>
    <n v="0"/>
    <n v="0"/>
    <n v="1461118.0381255434"/>
    <n v="1461118.0381255434"/>
    <n v="6823.5734769589817"/>
    <n v="3.96553280019425"/>
    <n v="3.9840522515536558"/>
    <n v="1.8519451359405754E-2"/>
    <n v="3.96553280019425"/>
    <n v="292223.60762510868"/>
    <n v="293588.32232050051"/>
    <n v="1364.7146953917963"/>
    <n v="292223.6076251087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778.456419553964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155.543580446039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82335.7597468863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47837.10569919006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507483.3175881065"/>
  </r>
  <r>
    <x v="5"/>
    <s v="Vestdanmark"/>
    <x v="15"/>
    <x v="1"/>
    <n v="860156.65712599526"/>
  </r>
  <r>
    <x v="5"/>
    <s v="Vestdanmark"/>
    <x v="16"/>
    <x v="1"/>
    <n v="631.66355026272936"/>
  </r>
  <r>
    <x v="5"/>
    <s v="Vestdanmark"/>
    <x v="20"/>
    <x v="1"/>
    <n v="502160.95849399589"/>
  </r>
  <r>
    <x v="5"/>
    <s v="Vestdanmark"/>
    <x v="37"/>
    <x v="1"/>
    <n v="24535385.043044623"/>
  </r>
  <r>
    <x v="5"/>
    <s v="Vestdanmark"/>
    <x v="38"/>
    <x v="1"/>
    <n v="530047.10760776233"/>
  </r>
  <r>
    <x v="5"/>
    <s v="Vestdanmark"/>
    <x v="14"/>
    <x v="2"/>
    <n v="1443229.1767579557"/>
  </r>
  <r>
    <x v="5"/>
    <s v="Vestdanmark"/>
    <x v="15"/>
    <x v="2"/>
    <n v="843720.68079392554"/>
  </r>
  <r>
    <x v="5"/>
    <s v="Vestdanmark"/>
    <x v="16"/>
    <x v="2"/>
    <n v="652.318830416526"/>
  </r>
  <r>
    <x v="5"/>
    <s v="Vestdanmark"/>
    <x v="20"/>
    <x v="2"/>
    <n v="525831.49845533748"/>
  </r>
  <r>
    <x v="5"/>
    <s v="Vestdanmark"/>
    <x v="37"/>
    <x v="2"/>
    <n v="23798796.499221969"/>
  </r>
  <r>
    <x v="5"/>
    <s v="Vestdanmark"/>
    <x v="38"/>
    <x v="2"/>
    <n v="489943.23944018129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218429.98380428454"/>
  </r>
  <r>
    <x v="5"/>
    <s v="Østdanmark"/>
    <x v="15"/>
    <x v="1"/>
    <n v="61134.782689136329"/>
  </r>
  <r>
    <x v="5"/>
    <s v="Østdanmark"/>
    <x v="16"/>
    <x v="1"/>
    <n v="53.01528861871612"/>
  </r>
  <r>
    <x v="5"/>
    <s v="Østdanmark"/>
    <x v="20"/>
    <x v="1"/>
    <n v="67774.717172805787"/>
  </r>
  <r>
    <x v="5"/>
    <s v="Østdanmark"/>
    <x v="37"/>
    <x v="1"/>
    <n v="3986542.8719658842"/>
  </r>
  <r>
    <x v="5"/>
    <s v="Østdanmark"/>
    <x v="38"/>
    <x v="1"/>
    <n v="325909.00963477371"/>
  </r>
  <r>
    <x v="5"/>
    <s v="Østdanmark"/>
    <x v="14"/>
    <x v="2"/>
    <n v="209119.74416372692"/>
  </r>
  <r>
    <x v="5"/>
    <s v="Østdanmark"/>
    <x v="15"/>
    <x v="2"/>
    <n v="59966.611946027508"/>
  </r>
  <r>
    <x v="5"/>
    <s v="Østdanmark"/>
    <x v="16"/>
    <x v="2"/>
    <n v="54.748878657904719"/>
  </r>
  <r>
    <x v="5"/>
    <s v="Østdanmark"/>
    <x v="20"/>
    <x v="2"/>
    <n v="71371.713113742837"/>
  </r>
  <r>
    <x v="5"/>
    <s v="Østdanmark"/>
    <x v="37"/>
    <x v="2"/>
    <n v="3938512.6960526006"/>
  </r>
  <r>
    <x v="5"/>
    <s v="Østdanmark"/>
    <x v="38"/>
    <x v="2"/>
    <n v="315916.7983944125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1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2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1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0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5" sqref="B5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276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2276436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685100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1736252.1166384006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545883.48119174724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540183.88336159918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139216.51880825273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F43" sqref="F4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386630.63184269518</v>
      </c>
      <c r="K47" s="12"/>
    </row>
    <row r="48" spans="2:11" x14ac:dyDescent="0.25">
      <c r="B48" s="25" t="s">
        <v>245</v>
      </c>
      <c r="C48" s="109"/>
      <c r="D48" s="115">
        <f>1%*Arealanvendelse!M6</f>
        <v>23380.36</v>
      </c>
      <c r="E48" s="115">
        <f>1%*Arealanvendelse!P6</f>
        <v>22764.36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0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0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0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0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0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0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0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0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71749.813989422139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47422.702543659834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11653.242013147261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8739.3026300852289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7174.9813989422137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47422.702543659834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1165.324201314726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8739.3026300852289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71749.813989422139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11653.242013147261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7174.9813989422137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1165.324201314726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0</v>
      </c>
      <c r="D49" s="109">
        <f t="shared" si="0"/>
        <v>0</v>
      </c>
      <c r="E49" s="109">
        <f t="shared" si="0"/>
        <v>0</v>
      </c>
      <c r="F49" s="109">
        <f t="shared" si="0"/>
        <v>0</v>
      </c>
      <c r="G49" s="109">
        <f t="shared" si="0"/>
        <v>0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78924.795388364349</v>
      </c>
      <c r="D50" s="109">
        <f t="shared" si="0"/>
        <v>173770.20047568402</v>
      </c>
      <c r="E50" s="109">
        <f t="shared" si="0"/>
        <v>0</v>
      </c>
      <c r="F50" s="109">
        <f t="shared" si="0"/>
        <v>12818.566214461987</v>
      </c>
      <c r="G50" s="109">
        <f t="shared" si="0"/>
        <v>30297.171474632443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218475.89285786889</v>
      </c>
      <c r="J5" s="10">
        <f>SUMIFS('Resultat-Produktion &amp; forbrug'!$N$3:$N$1000,'Resultat-Produktion &amp; forbrug'!$A$3:$A$1000,Adfærd!$G5,'Resultat-Produktion &amp; forbrug'!$D$3:$D$1000,Adfærd!J$4)</f>
        <v>226110.4756866793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0.90998641975055194</v>
      </c>
      <c r="AC3" s="126">
        <f>SUM(E12:E14)/SUM(E12:E15)</f>
        <v>0.90379392387975288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>
        <f t="shared" ref="AA5:AC6" si="1">C12/C$29</f>
        <v>0.22267199142680771</v>
      </c>
      <c r="AB5" s="147">
        <f t="shared" si="1"/>
        <v>0.45559062484688517</v>
      </c>
      <c r="AC5" s="147">
        <f t="shared" si="1"/>
        <v>0.44545785374047597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f t="shared" ref="C6" si="2">B6</f>
        <v>0.37924884410556858</v>
      </c>
      <c r="D6" s="181">
        <f>C6</f>
        <v>0.37924884410556858</v>
      </c>
      <c r="E6" s="158"/>
      <c r="F6" s="174"/>
      <c r="G6" s="175"/>
      <c r="H6" s="128"/>
      <c r="Z6" s="129" t="s">
        <v>137</v>
      </c>
      <c r="AA6" s="147">
        <f t="shared" si="1"/>
        <v>0.33257225498473725</v>
      </c>
      <c r="AB6" s="147">
        <f t="shared" si="1"/>
        <v>0.36708526842458561</v>
      </c>
      <c r="AC6" s="147">
        <f t="shared" si="1"/>
        <v>0.36773685027684555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15533219.712531522</v>
      </c>
      <c r="E12" s="133">
        <f>SUMIFS('Resultater - Danmark'!J$3:J$482,'Resultater - Danmark'!$F$3:$F$482,$A12)*D3</f>
        <v>14871140.288295148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3">C12/C$29</f>
        <v>0.22267199142680771</v>
      </c>
      <c r="K12" s="134">
        <f t="shared" ref="K12:K28" si="4">D12/D$29</f>
        <v>0.45559062484688517</v>
      </c>
      <c r="L12" s="134">
        <f t="shared" ref="L12:L28" si="5">E12/E$29</f>
        <v>0.44545785374047597</v>
      </c>
      <c r="M12" s="125" t="s">
        <v>214</v>
      </c>
      <c r="N12" s="125">
        <f>S12+2/3*T12</f>
        <v>2914869.3333333335</v>
      </c>
      <c r="O12" s="152">
        <f t="shared" ref="O12:O16" si="6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12515657.295601794</v>
      </c>
      <c r="E13" s="136">
        <f>SUMIFS('Resultater - Danmark'!J$3:J$482,'Resultater - Danmark'!$F$3:$F$482,$A13)*D4</f>
        <v>12276506.618354082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3"/>
        <v>0.33257225498473725</v>
      </c>
      <c r="K13" s="137">
        <f t="shared" si="4"/>
        <v>0.36708526842458561</v>
      </c>
      <c r="L13" s="137">
        <f t="shared" si="5"/>
        <v>0.36773685027684555</v>
      </c>
      <c r="M13" s="125" t="s">
        <v>215</v>
      </c>
      <c r="N13" s="125">
        <f>S13+1/3*T13</f>
        <v>4353509.666666667</v>
      </c>
      <c r="O13" s="152">
        <f t="shared" si="6"/>
        <v>0</v>
      </c>
      <c r="P13" s="141">
        <f t="shared" ref="P13:P28" si="7">C13*I13</f>
        <v>61384486.300000004</v>
      </c>
      <c r="Q13" s="125">
        <f t="shared" ref="Q13:Q28" si="8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8138.6352546285043</v>
      </c>
      <c r="E14" s="136">
        <f>SUMIFS('Resultater - Danmark'!J$3:J$482,'Resultater - Danmark'!$F$3:$F$482,$A14)*D5</f>
        <v>8404.7671078658786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3"/>
        <v>3.3929399119623192E-4</v>
      </c>
      <c r="K14" s="137">
        <f t="shared" si="4"/>
        <v>2.3870684826956569E-4</v>
      </c>
      <c r="L14" s="137">
        <f t="shared" si="5"/>
        <v>2.5176075569708023E-4</v>
      </c>
      <c r="M14" s="129" t="s">
        <v>146</v>
      </c>
      <c r="N14" s="130">
        <v>11417</v>
      </c>
      <c r="O14" s="152">
        <f t="shared" si="6"/>
        <v>6975.5</v>
      </c>
      <c r="P14" s="141">
        <f t="shared" si="7"/>
        <v>58183.65</v>
      </c>
      <c r="Q14" s="125">
        <f t="shared" si="8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3"/>
        <v>0.20387691989197443</v>
      </c>
      <c r="K15" s="137">
        <f t="shared" si="4"/>
        <v>8.1400653667585435E-2</v>
      </c>
      <c r="L15" s="137">
        <f t="shared" si="5"/>
        <v>8.6588867707536155E-2</v>
      </c>
      <c r="M15" s="139" t="s">
        <v>301</v>
      </c>
      <c r="N15" s="140">
        <f>SUM(S15:Z15)</f>
        <v>2668834</v>
      </c>
      <c r="O15" s="152">
        <f t="shared" si="6"/>
        <v>0</v>
      </c>
      <c r="P15" s="141">
        <f>C15*I15</f>
        <v>37096792.600000001</v>
      </c>
      <c r="Q15" s="125">
        <f t="shared" si="8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3"/>
        <v>5.7835206554718369E-2</v>
      </c>
      <c r="K16" s="137">
        <f t="shared" si="4"/>
        <v>4.4156160403310794E-2</v>
      </c>
      <c r="L16" s="137">
        <f t="shared" si="5"/>
        <v>4.7253790366969639E-2</v>
      </c>
      <c r="M16" s="248" t="s">
        <v>157</v>
      </c>
      <c r="N16" s="249">
        <v>757087</v>
      </c>
      <c r="O16" s="152">
        <f t="shared" si="6"/>
        <v>0</v>
      </c>
      <c r="P16" s="141">
        <f t="shared" si="7"/>
        <v>45425220</v>
      </c>
      <c r="Q16" s="125">
        <f t="shared" si="8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3"/>
        <v>0</v>
      </c>
      <c r="K17" s="137">
        <f t="shared" si="4"/>
        <v>0</v>
      </c>
      <c r="L17" s="137">
        <f t="shared" si="5"/>
        <v>0</v>
      </c>
      <c r="M17" s="125" t="s">
        <v>150</v>
      </c>
      <c r="N17" s="141"/>
      <c r="O17" s="152"/>
      <c r="P17" s="141">
        <f t="shared" si="7"/>
        <v>0</v>
      </c>
      <c r="Q17" s="125">
        <f t="shared" si="8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3"/>
        <v>5.5699827755684647E-2</v>
      </c>
      <c r="K18" s="137">
        <f t="shared" si="4"/>
        <v>1.0676003594886088E-2</v>
      </c>
      <c r="L18" s="137">
        <f t="shared" si="5"/>
        <v>1.1076492157917487E-2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3"/>
        <v>7.6059758980185313E-2</v>
      </c>
      <c r="K19" s="137">
        <f t="shared" si="4"/>
        <v>2.1292701761761186E-2</v>
      </c>
      <c r="L19" s="137">
        <f t="shared" si="5"/>
        <v>2.1658075753557944E-2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2080333.6825619685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1930172.8654460767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3"/>
        <v>5.8007317184497744E-3</v>
      </c>
      <c r="K20" s="137">
        <f t="shared" si="4"/>
        <v>2.2271505294690318E-3</v>
      </c>
      <c r="L20" s="137">
        <f t="shared" si="5"/>
        <v>2.2745664428001373E-3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-166931.44861219416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26163.144336590194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3"/>
        <v>2.8921919411661239E-4</v>
      </c>
      <c r="K21" s="137">
        <f t="shared" si="4"/>
        <v>1.1104369458437267E-4</v>
      </c>
      <c r="L21" s="137">
        <f t="shared" si="5"/>
        <v>1.1340780878712197E-4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22498503.824004252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23911523.721627589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3"/>
        <v>6.5450166123425784E-3</v>
      </c>
      <c r="K22" s="137">
        <f t="shared" si="4"/>
        <v>2.512913529029397E-3</v>
      </c>
      <c r="L22" s="137">
        <f t="shared" si="5"/>
        <v>2.5664133210391575E-3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952519.6483321311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1243684.2219918407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3"/>
        <v>2.5211266180012976E-2</v>
      </c>
      <c r="K23" s="137">
        <f t="shared" si="4"/>
        <v>9.6796900023513391E-3</v>
      </c>
      <c r="L23" s="137">
        <f t="shared" si="5"/>
        <v>9.8857700746906273E-3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5458842.7210985618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5622703.3534848932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3"/>
        <v>2.1882418952642265E-3</v>
      </c>
      <c r="K24" s="137">
        <f t="shared" si="4"/>
        <v>8.4016023015566694E-4</v>
      </c>
      <c r="L24" s="137">
        <f t="shared" si="5"/>
        <v>8.5804719564371609E-4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3"/>
        <v>5.9585570895657067E-6</v>
      </c>
      <c r="K25" s="137">
        <f t="shared" si="4"/>
        <v>2.2877464811360454E-6</v>
      </c>
      <c r="L25" s="137">
        <f t="shared" si="5"/>
        <v>2.3364524789739869E-6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3"/>
        <v>1.090431225742036E-2</v>
      </c>
      <c r="K26" s="137">
        <f t="shared" si="4"/>
        <v>4.1866347206451458E-3</v>
      </c>
      <c r="L26" s="137">
        <f t="shared" si="5"/>
        <v>4.2757679455603182E-3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3"/>
        <v>0</v>
      </c>
      <c r="K27" s="137">
        <f t="shared" si="4"/>
        <v>0</v>
      </c>
      <c r="L27" s="137">
        <f t="shared" si="5"/>
        <v>0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3"/>
        <v>0</v>
      </c>
      <c r="K28" s="143">
        <f t="shared" si="4"/>
        <v>0</v>
      </c>
      <c r="L28" s="143">
        <f t="shared" si="5"/>
        <v>0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34094686.908344358</v>
      </c>
      <c r="E29" s="145">
        <f>SUM(E12:E28)</f>
        <v>33383944.549239181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0.99999999999999978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9.022786716436948E-2</v>
      </c>
      <c r="E30" s="149">
        <f>SUMPRODUCT(E12:E28,$H$12:$H$28)/E29</f>
        <v>9.1479399204206266E-2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1.3143807456120777E-2</v>
      </c>
      <c r="E31" s="149">
        <f>SUM(E21:E24)/E29</f>
        <v>1.3423638400160623E-2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713456580.64466953</v>
      </c>
      <c r="E32" s="125">
        <f>SUMPRODUCT(E12:E28,$I$12:$I$28)</f>
        <v>708315568.79658866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25.613091245143639</v>
      </c>
      <c r="E33" s="125">
        <f>E32*[1]Energiindhold!$C$10</f>
        <v>25.428528919797536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13567349.858292963</v>
      </c>
      <c r="E39" s="133">
        <f>SUMIFS('Resultater - Vestdanmark'!J$3:J$482,'Resultater - Vestdanmark'!$F$3:$F$482,$A39)*D3</f>
        <v>12989062.590821605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1965869.8542385614</v>
      </c>
      <c r="M39" s="133">
        <f>SUMIFS('Resultater - Østdanmark'!J$3:J$482,'Resultater - Østdanmark'!$F$3:$F$482,$A39)*D3</f>
        <v>1882077.6974735428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11685147.040202204</v>
      </c>
      <c r="E40" s="136">
        <f>SUMIFS('Resultater - Vestdanmark'!J$3:J$482,'Resultater - Vestdanmark'!$F$3:$F$482,$A40)*D4</f>
        <v>11461865.852294842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830510.25539958803</v>
      </c>
      <c r="M40" s="136">
        <f>SUMIFS('Resultater - Østdanmark'!J$3:J$482,'Resultater - Østdanmark'!$F$3:$F$482,$A40)*D4</f>
        <v>814640.76605924184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7508.4535219909349</v>
      </c>
      <c r="E41" s="136">
        <f>SUMIFS('Resultater - Vestdanmark'!J$3:J$482,'Resultater - Vestdanmark'!$F$3:$F$482,$A41)*D5</f>
        <v>7753.9785502341792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630.18173263756921</v>
      </c>
      <c r="M41" s="136">
        <f>SUMIFS('Resultater - Østdanmark'!J$3:J$482,'Resultater - Østdanmark'!$F$3:$F$482,$A41)*D5</f>
        <v>650.78855763169781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56224.531227026811</v>
      </c>
      <c r="E47" s="136">
        <f>SUMIFS('Resultater - Vestdanmark'!J$3:J$482,'Resultater - Vestdanmark'!$F$3:$F$482,$A47)/SUMIFS('Resultater - Danmark'!J$3:J$482,'Resultater - Danmark'!$F$3:$F$482,$A47)*E20</f>
        <v>55778.456419553964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19709.468772973203</v>
      </c>
      <c r="M47" s="136">
        <f>SUMIFS('Resultater - Østdanmark'!J$3:J$482,'Resultater - Østdanmark'!$F$3:$F$482,$A47)/SUMIFS('Resultater - Danmark'!J$3:J$482,'Resultater - Danmark'!$F$3:$F$482,$A47)*E20</f>
        <v>20155.543580446039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2914.9101192356643</v>
      </c>
      <c r="E48" s="136">
        <f>SUMIFS('Resultater - Vestdanmark'!J$3:J$482,'Resultater - Vestdanmark'!$F$3:$F$482,$A48)/SUMIFS('Resultater - Danmark'!J$3:J$482,'Resultater - Danmark'!$F$3:$F$482,$A48)*E21</f>
        <v>2901.770538547059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871.08988076433457</v>
      </c>
      <c r="M48" s="136">
        <f>SUMIFS('Resultater - Østdanmark'!J$3:J$482,'Resultater - Østdanmark'!$F$3:$F$482,$A48)/SUMIFS('Resultater - Danmark'!J$3:J$482,'Resultater - Danmark'!$F$3:$F$482,$A48)*E21</f>
        <v>884.229461452941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67006.096493213583</v>
      </c>
      <c r="E49" s="136">
        <f>SUMIFS('Resultater - Vestdanmark'!J$3:J$482,'Resultater - Vestdanmark'!$F$3:$F$482,$A49)/SUMIFS('Resultater - Danmark'!J$3:J$482,'Resultater - Danmark'!$F$3:$F$482,$A49)*E22</f>
        <v>66758.668734263701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18670.90350678641</v>
      </c>
      <c r="M49" s="136">
        <f>SUMIFS('Resultater - Østdanmark'!J$3:J$482,'Resultater - Østdanmark'!$F$3:$F$482,$A49)/SUMIFS('Resultater - Danmark'!J$3:J$482,'Resultater - Danmark'!$F$3:$F$482,$A49)*E22</f>
        <v>18918.331265736317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255215.75389295255</v>
      </c>
      <c r="E50" s="136">
        <f>SUMIFS('Resultater - Vestdanmark'!J$3:J$482,'Resultater - Vestdanmark'!$F$3:$F$482,$A50)/SUMIFS('Resultater - Danmark'!J$3:J$482,'Resultater - Danmark'!$F$3:$F$482,$A50)*E23</f>
        <v>254098.83749353027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74810.246107047482</v>
      </c>
      <c r="M50" s="136">
        <f>SUMIFS('Resultater - Østdanmark'!J$3:J$482,'Resultater - Østdanmark'!$F$3:$F$482,$A50)/SUMIFS('Resultater - Danmark'!J$3:J$482,'Resultater - Danmark'!$F$3:$F$482,$A50)*E23</f>
        <v>75927.162506469729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21927.581361856195</v>
      </c>
      <c r="E51" s="136">
        <f>SUMIFS('Resultater - Vestdanmark'!J$3:J$482,'Resultater - Vestdanmark'!$F$3:$F$482,$A51)/SUMIFS('Resultater - Danmark'!J$3:J$482,'Resultater - Danmark'!$F$3:$F$482,$A51)*E24</f>
        <v>21821.426523041016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6717.4186381438076</v>
      </c>
      <c r="M51" s="136">
        <f>SUMIFS('Resultater - Østdanmark'!J$3:J$482,'Resultater - Østdanmark'!$F$3:$F$482,$A51)/SUMIFS('Resultater - Danmark'!J$3:J$482,'Resultater - Danmark'!$F$3:$F$482,$A51)*E24</f>
        <v>6823.5734769589817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29329233.062749408</v>
      </c>
      <c r="E56" s="145">
        <f ca="1">SUM(E39:E55)</f>
        <v>28643647.337067842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4765453.8455949491</v>
      </c>
      <c r="M56" s="145">
        <f ca="1">SUM(M39:M55)</f>
        <v>4740297.2121713404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8.7993329514416949E-2</v>
      </c>
      <c r="E57" s="149">
        <f ca="1">SUMPRODUCT(E39:E55,$F$39:$F$55)/E56</f>
        <v>8.9216460680687573E-2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0.10398044512366024</v>
      </c>
      <c r="M57" s="149">
        <f ca="1">SUMPRODUCT(M39:M55,$N$39:$N$55)/M56</f>
        <v>0.10515339686973327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1.1833393022065035E-2</v>
      </c>
      <c r="E58" s="149">
        <f ca="1">SUM(E48:E51)/E56</f>
        <v>1.2064828868429927E-2</v>
      </c>
      <c r="I58" s="148" t="s">
        <v>161</v>
      </c>
      <c r="K58" s="149">
        <f ca="1">SUM(K48:K51)/K56</f>
        <v>1.8896340963997331E-2</v>
      </c>
      <c r="L58" s="149">
        <f ca="1">SUM(L48:L51)/L56</f>
        <v>2.1208821112844889E-2</v>
      </c>
      <c r="M58" s="149">
        <f ca="1">SUM(M48:M51)/M56</f>
        <v>2.1634360066558445E-2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588648048.8630029</v>
      </c>
      <c r="E59" s="125">
        <f ca="1">SUMPRODUCT(E39:E55,$I$12:$I$28)</f>
        <v>582772822.43758845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124808531.78166662</v>
      </c>
      <c r="M59" s="125">
        <f ca="1">SUMPRODUCT(M39:M55,$I$12:$I$28)</f>
        <v>125542746.35900025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21.132464954181806</v>
      </c>
      <c r="E60" s="125">
        <f ca="1">E59*[1]Energiindhold!$C$10</f>
        <v>20.921544325509426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4.4806262909618324</v>
      </c>
      <c r="M60" s="125">
        <f ca="1">M59*[1]Energiindhold!$C$10</f>
        <v>4.5069845942881095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576591.97905547544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44370.662327297228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64930.608396310665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359534.40705289674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7457.2400160431316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31365.844342236556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47938.272936646019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97058.944942455943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2908.0623604905873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25738.466902719567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57862.561202403813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10867.586324157863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4179.063908207143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101375.57782061782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122307.389496616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9411.9586754872907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13773.159356793169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76264.874223341743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1581.8387912818764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6653.3609210804825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10168.724562318854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20588.261048399749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616.86171283133672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5459.6747975465751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12273.876618691718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2305.2455839122736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886.46810174090911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21503.910446797723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179389.67006955924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13804.629208856637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20201.252949634338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111858.57764710314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2320.101344973416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9758.5618121573061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14914.586532918138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30197.041830253234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904.75824558759291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8007.7684974714139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18002.237527623009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3381.1304977511027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1300.1930705330769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31540.035447842853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38052.354257179235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2928.2546806665596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4285.1142620436467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23727.577076658243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492.14270953981543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2069.9979601545801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3163.7001736493021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6405.4331155082618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191.91841573070153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1698.6175600696938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3818.6564452533657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717.2094995229611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275.79853011307694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6690.3105495424243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0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0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0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0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0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0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71749.813989422139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47422.702543659834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7174.9813989422137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47422.702543659834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71749.813989422139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7174.9813989422137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0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0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0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0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0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0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11653.242013147261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8739.3026300852289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1165.324201314726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8739.3026300852289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11653.242013147261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1165.324201314726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56224.531227026811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55778.456419553964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2901.770538547059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66758.668734263701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254098.83749353027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21821.426523041016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19709.468772973203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20155.543580446039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884.229461452941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18918.331265736317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75927.162506469729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6823.5734769589817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1409958.4975683726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118556.88830175188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154484.73733408173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2216341.6308326661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670375.18499359523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35689.952707147801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42074.872472772768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647088.73530897219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1282335.7597468863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120985.85798793298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158491.06742829576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2235295.9759470159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647837.10569919006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37147.808703410541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43858.564110476924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624603.98534617631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1507483.3175881065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860156.65712599526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631.66355026272936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24535385.043044623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530047.10760776233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1443229.1767579557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843720.68079392554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652.318830416526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23798796.499221969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489943.23944018129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218429.98380428454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61134.782689136329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53.01528861871612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3986542.8719658842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325909.00963477371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209119.74416372692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59966.611946027508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54.748878657904719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3938512.6960526006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315916.79839441256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370490.27594297461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378080.80621229054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111531.10220983687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116086.90219815794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829310.42476995289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2239268.9223383255</v>
      </c>
      <c r="F14">
        <f>E14-D14</f>
        <v>1409958.4975683726</v>
      </c>
      <c r="G14">
        <f t="shared" si="3"/>
        <v>1409958.4975683726</v>
      </c>
      <c r="H14">
        <f t="shared" si="1"/>
        <v>670375.18499359523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2216341.6308326661</v>
      </c>
      <c r="F17">
        <f t="shared" si="2"/>
        <v>2216341.6308326661</v>
      </c>
      <c r="G17">
        <f t="shared" si="3"/>
        <v>2216341.6308326661</v>
      </c>
      <c r="H17">
        <f t="shared" si="1"/>
        <v>647088.73530897219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114598.91680738577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784974.10180098098</v>
      </c>
      <c r="F20">
        <f t="shared" si="2"/>
        <v>670375.18499359523</v>
      </c>
      <c r="G20">
        <f t="shared" si="3"/>
        <v>670375.18499359523</v>
      </c>
      <c r="H20">
        <f t="shared" si="1"/>
        <v>1409958.4975683726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647088.73530897219</v>
      </c>
      <c r="F23">
        <f t="shared" si="2"/>
        <v>647088.73530897219</v>
      </c>
      <c r="G23">
        <f t="shared" si="3"/>
        <v>647088.73530897219</v>
      </c>
      <c r="H23">
        <f t="shared" si="1"/>
        <v>2216341.6308326661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828864.34996248002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2111200.1097093662</v>
      </c>
      <c r="F26">
        <f t="shared" si="2"/>
        <v>1282335.7597468863</v>
      </c>
      <c r="G26">
        <f t="shared" si="3"/>
        <v>1282335.7597468863</v>
      </c>
      <c r="H26">
        <f t="shared" si="1"/>
        <v>647837.10569919006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120985.85798793298</v>
      </c>
      <c r="F27">
        <f t="shared" si="2"/>
        <v>120985.85798793298</v>
      </c>
      <c r="G27">
        <f t="shared" si="3"/>
        <v>120985.85798793298</v>
      </c>
      <c r="H27">
        <f t="shared" si="1"/>
        <v>37147.808703410541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158491.06742829576</v>
      </c>
      <c r="F28">
        <f t="shared" si="2"/>
        <v>158491.06742829576</v>
      </c>
      <c r="G28">
        <f t="shared" si="3"/>
        <v>158491.06742829576</v>
      </c>
      <c r="H28">
        <f t="shared" si="1"/>
        <v>43858.564110476924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2235295.9759470159</v>
      </c>
      <c r="F29">
        <f t="shared" si="2"/>
        <v>2235295.9759470159</v>
      </c>
      <c r="G29">
        <f t="shared" si="3"/>
        <v>2235295.9759470159</v>
      </c>
      <c r="H29">
        <f t="shared" si="1"/>
        <v>624603.98534617631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115044.99161485859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762882.09731404867</v>
      </c>
      <c r="F32">
        <f t="shared" si="2"/>
        <v>647837.10569919006</v>
      </c>
      <c r="G32">
        <f t="shared" si="3"/>
        <v>647837.10569919006</v>
      </c>
      <c r="H32">
        <f t="shared" si="1"/>
        <v>1282335.7597468863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37147.808703410541</v>
      </c>
      <c r="F33">
        <f t="shared" si="2"/>
        <v>37147.808703410541</v>
      </c>
      <c r="G33">
        <f t="shared" si="3"/>
        <v>37147.808703410541</v>
      </c>
      <c r="H33">
        <f t="shared" si="1"/>
        <v>120985.85798793298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43858.564110476924</v>
      </c>
      <c r="F34">
        <f t="shared" si="2"/>
        <v>43858.564110476924</v>
      </c>
      <c r="G34">
        <f t="shared" si="3"/>
        <v>43858.564110476924</v>
      </c>
      <c r="H34">
        <f t="shared" si="1"/>
        <v>158491.06742829576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624603.98534617631</v>
      </c>
      <c r="F35">
        <f t="shared" si="2"/>
        <v>624603.98534617631</v>
      </c>
      <c r="G35">
        <f t="shared" si="3"/>
        <v>624603.98534617631</v>
      </c>
      <c r="H35">
        <f t="shared" si="1"/>
        <v>2235295.9759470159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4923583.0761439931</v>
      </c>
      <c r="O3" s="171">
        <f>SUMIF($F$3:$F$472,"Roer",J3:J472)</f>
        <v>5024574.3595380196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-896872.67486777669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-592783.78179574793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16398.219881514029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108383.26407385738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4099.5549703785073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27095.816018464346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-114799.70238307542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-758763.24069855735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173417.68247712258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60029.197780542447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-35874.906994711069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7971.3568868470975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3985.6784434235497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-89687.267486777666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4688506.9969091984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4648196.2391557153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2056610.6420093102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1900635.8217001741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-99825558.304963022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-92254716.648876071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1418580.0603067866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1310993.9351157292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111796.04760086381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114384.54421676249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49039.265886152367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46771.554168873641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-1611668.6303805837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-1537140.6012300362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198256.24737469372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189088.32842095065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71852.349000698814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73515.99960574256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31517.987646306181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30060.508448789125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-682967.64788402733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-651385.3289067311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279686.82379027107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266753.32904852438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490260.64493692142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660607.28368606966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215052.52320201407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270120.66678102477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-10438406.645877348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-13111352.154037235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221396.88802475863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278089.62260030617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11690.118503466048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16256.470072018667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5127.8631206965101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6647.2299712732547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-168526.50591667491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-218460.28544754154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30941.726468882833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40109.645422625894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7513.3467827898357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10448.182974270687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3295.724835385427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4272.2358977218482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-71415.518787410721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-92575.672502199057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43650.544753394912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56584.039495141536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178329.32553102204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176796.08899185038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-1613843.0099978768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-1491448.0032086263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18346.928809189772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16955.484621464453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1302.5821038158078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1332.7417511380027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-9577.8271535376043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-9134.9218516399105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785.46504894346981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749.14296575533228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422.35893190592401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432.13812078956232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-2593.6762845931198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-2473.7374968662707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559.02862365711928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533.17758903713695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15864.094334811727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21376.254396287361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-143566.72788362612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-180329.62220613388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2863.3935135729703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3596.6179500076114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115.87710160534844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161.14059354668581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-852.03907452568637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-1104.4950966073709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122.5870307599635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158.90911394810081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37.572855271862259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52.249427331828905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-230.7322428895267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-299.09735189383088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87.247241842440587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113.09827646242299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19958.567943102735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18449.455553785181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-17077164.38427062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-15785921.424345665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3697.9288069656591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3418.3200598193143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1775.5049748228382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2230.7068987758444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-1519176.6466700858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-1908661.4085799758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577.13339761891791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725.09819450712723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1545241.6146092198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1531955.9651608609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-5090980.2288279133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-4704876.6513354834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77168.887141772459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71316.343612368961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42365.341298400272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43346.257394591979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-93051.732880512078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-88748.762573898814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12400.457271583722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11827.025721452683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46055.42030071569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47121.775526598212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-65029.285100948444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-62022.150529806306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29589.548982112399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28221.24613900893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137463.97947303986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185227.40306035863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-452891.24694602075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-568862.35875238117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12043.699149293971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15127.709251108568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3768.801170996418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5240.956575891576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-8277.8391273472898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-10730.532202116854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1935.3314816922575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2508.7630318232964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4097.0688926474822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5697.4510409432396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-5784.9751312346616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-7499.0418367856728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4618.022095474189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5986.3249385776526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20694034.653696515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20516111.869659446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-60301112.547205016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-55727833.093198992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884556.77388185076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817471.35623339622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670338.730568339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685859.579228185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-1365227.015333388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-1302095.1302312659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167940.71670343023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160174.6720003814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874618.86351881211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894869.56125816668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-1233185.9212836758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-1176159.9827272054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480962.40901614353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458721.37276106171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2519169.7676696456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3394483.963889109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-7340701.9089256525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-9220423.2936020177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138052.21326479755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173403.0149585992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81603.084773232491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113478.5849268452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-166194.68753133615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-215437.55791099134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26210.400872789687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33976.445575838487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106470.94373240569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148060.23649907848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-150120.7832499088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-194601.0153239558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75063.497360901019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97304.533615982786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198669.48686870435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196961.37007087242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79264.908013529246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73253.400763838348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109164.43364893465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100885.32501517503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5277.1470077505037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5399.332697354941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2105.4696357053253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2008.1068779848476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16995.358795448854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16209.446249994571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2278.1171427648283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2330.8640747111231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908.9203813398658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866.88938104669285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16104.149801251846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15359.449232407831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17673.545681556996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23814.420199478205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7051.3695625908395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8857.0020923550001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17037.223748677665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21399.917427461369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469.45255751029043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652.82840795291543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187.30160516476852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242.79837706544058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2652.4548409082026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3438.367386362484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202.66024755578439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281.82265630598124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80.857136813991531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104.81480698110012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2513.3644198485545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3258.0649886925698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4518285.3117263559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4479438.0827935226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-7002761.2633525226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-6471666.8464472126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117941.76919503704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108996.98116303275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2126.4193748279954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2175.6539361013506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-2136.0866928895298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-2037.3081174957942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325.32995747754416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310.28579759418949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952.84330781266669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974.90519399455104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-586.02563836620595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-558.92618688106347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319.98323778511235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305.1863250551649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401944.5719506857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541604.78637412598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-622962.40371673589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-782483.35507043567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18407.096926393064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23120.571761855434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189.16528426938063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263.05633954679962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-190.02528441369861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-246.32907238812783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50.774039606321921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65.818199489676559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84.764500041832036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117.8749007284321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-52.132569794542832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-67.579257141074024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49.939580463572447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64.736493193519834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28639.099571212086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28392.866856649849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-440539.56585993303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-407128.73046868219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6185.4724518954326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5716.3618023128201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488.59952140396285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499.9124276723424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-6263.2154485005403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-5973.5869884542717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476.97492049732955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454.9182767749096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354.81010393622921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363.02528482173392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-3898.4637758230629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-3718.187994282112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793.66302172301653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756.96184152773253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2547.7210543407746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3432.9557199403907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-39190.196061181334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-49225.564683940669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965.36275260795776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1212.5615944299923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43.465587482121322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60.443957164019572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-557.17275001400765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-722.26097224038006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74.441172563167044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96.497816285586893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31.56374277213045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43.893057164809647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-346.80553473940427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-449.56273021774621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123.8664831590835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160.56766335436751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889585.65459409577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881937.19169386837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-3957117.8143912707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-3657007.172428072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63323.940077826213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58521.407224424431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30327.016566325976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31029.200421988789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-98902.331097338974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-94328.812896305957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12652.926809123981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12067.820367083566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22022.804830128913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22532.715126590461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-53147.297901066311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-50689.619385410064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20168.079383186116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19235.451434830688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79137.128463601912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106634.22408662227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-352023.37088717712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-442165.41266630322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9882.9270641694075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12413.63183548397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2697.877369686455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3751.7124146586439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-8798.3056392372655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-11405.211013826085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1974.7342418864021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2559.8406839268173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1959.1385337322772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2724.4101016695731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-4727.9590444937021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-6128.8357984177601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3147.6193256995675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4080.2472740549938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5011192.8252289798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4968107.6852970216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-16803846.947789624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-15529431.190792952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238792.57598298136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220682.37642974351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150362.27487729816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153843.72389120501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-341388.28531406302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-325601.54379664967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41995.208610634007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40053.233645980406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64910.618468653665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66413.542050012024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-97170.70010598356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-92677.257326516105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39793.048122148248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37952.907168522899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649137.75267850538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874688.05004774837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-2176729.5381500898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-2734121.0672274861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37268.205500234093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46811.413182066812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19477.564046244228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27085.819266906095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-44222.609675654057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-57325.605135107107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6554.1655057058852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8496.1404703594817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8408.3639299568149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11692.808463956662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-12587.256585983192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-16316.814092941169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6210.4757184855662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8050.6166721109175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331398.16745020711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328548.87848533195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237874.25042587353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219833.69733892803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-12295344.153618181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-11362856.469354367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159747.74141929686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147632.35858809573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6441.1888357212947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6590.3264471255488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4623.4201532780698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4409.6203774039395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-165008.12365367546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-157377.6901899217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18198.341252564318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17356.799460538223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3362.7610317964691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3440.6215263101758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2413.7558332156741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2302.1370663617699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-58562.330190049237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-55854.245556983376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20854.144759918803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19889.791245009263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28446.605703095818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38330.702489955387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20418.685657943479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25647.264689541596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-1055409.5993134684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-1325666.5880913427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24931.728429601244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31315.954852020295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552.89973532058536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768.87141883131392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396.86583396635467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514.45571069712628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-14163.992117092956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-18360.73052215753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2840.2035480880736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3681.7453401141684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288.65318683339638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401.40584473618719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207.19233597255931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268.58265774220655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-5026.8821001285041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-6516.3286483147276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3254.6931128196979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4219.046627729238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959054.33163231891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950808.59224015288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214121.57001522297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197882.43717926473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-9391653.9231852219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-8679384.1803605724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142358.33751012647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131561.77949418829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35897.747314111104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36728.91442095473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8014.6470970260507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7644.0275780884294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-263649.72891233605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-251457.83393373093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31231.154702492393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29786.939456134362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33602.193864491768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34380.210323674139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7502.1344139856974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7155.2149035123684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-188030.56625759034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-179335.5111705341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64168.085676050519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61200.775355770711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85317.029848678532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114961.40251630939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19048.155852799315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23925.78558622019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-835477.19004520553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-1049416.4508981418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22217.775218343435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27907.044135130851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3193.4470009489587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4440.8596527154359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712.97929955624807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924.23242535069198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-23454.157965091628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-30403.538102896557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4874.2264564583511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6318.4417028163807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2989.2356275984293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4156.8799754987822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667.38640827306278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865.13052924285921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-16727.112223724362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-21683.293623346395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10014.6723309443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12981.982651224092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630305.44197743817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624886.21363907715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-1293537.2876402647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-1195434.4956573648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23115.445094971714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21362.353225559131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14432.228611503813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14766.388679971789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-22438.166373606673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-21400.563304306943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2392.2887204218396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2281.6626524254539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10480.36338423961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10723.02299283639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-12569.732203912112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-11988.472911245653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3980.6518395226949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3796.5754538800256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56071.680647588284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75554.424012724761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-115072.47894094611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-144538.89811129955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3607.6128182903835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4531.4082599670874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1283.8843834164375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1785.39063130568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-1996.0889045653566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-2587.5226540662029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373.36297948780157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483.98904748418721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932.32828025114225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1296.510961861127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-1118.1975642670948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-1449.5153610869743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621.25780154400434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805.33418718667212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118234.19798149291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117217.6462058101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-542642.02804938902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-501487.66898485716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8888.9031508130938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8214.7623857245562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11562.459095204431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11830.173266516264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-44222.091688748289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-42177.139471927563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3929.0202156362775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3747.3314195374901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12067.876915532306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12347.293399632554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-39561.536796654415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-37732.101569063459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9396.4235873856196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8961.9068897030465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10518.059577659977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14172.679041247946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-48273.183882543912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-60634.418159078174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1387.2854628436623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1742.5253545476332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1028.5910143074923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1430.3754949515117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-3933.9768271088792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-5099.5995906966946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613.19968683340744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794.88848293219473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1073.5527498846368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1492.9000201373901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-3519.3760190781009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-4562.1540988049455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1466.4938546786805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1901.0105523612524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1621606.8216653448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1607664.6008682679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-5484745.9414719753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-5068778.8910308909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215626.684084804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199273.40232257242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721412.14189979096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738115.53104502044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-2033354.7485892207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-1939326.7833365398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433580.13740267023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413530.18885225768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651539.44861149741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666625.02358527971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-1574068.518572781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-1501279.2229162364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897272.39659684058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855780.03143629304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253083.1455778284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341019.76382054167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-856000.811674817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-1075195.5223398861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33652.719481443404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42270.115644182035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112590.33428493848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156569.96113076189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-317344.38272779743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-411372.34798047814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67668.576357642174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87718.524908054649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101685.34747115859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141405.30803324116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-245663.87284083871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-318453.16849738348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140036.73241684798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181529.0975773955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613803.17949896643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687223.1739007252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664953.44445721374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744491.77172578557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9029659.715060506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8958020.1009803656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278082.42537508241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276828.90937738947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3434062.4452771964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3421381.7726310147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162808198.29951555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155868751.08985925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-172679.80266881373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-165319.5936172425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164760573.26685107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161612308.51735726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-343851.28205095965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-337280.93060774158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98360.741138081241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101577.11900806775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25521575.389295254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25409883.749353029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1657725.1509563283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1649699.8451419007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26962363.95458553</v>
      </c>
      <c r="J452" s="288">
        <f ca="1">SUMIFS('Forbrug af biomasse'!$E$1:$E$425,'Forbrug af biomasse'!$A$1:$A$425,"Biogas",'Forbrug af biomasse'!$B$1:$B$425,$A$1,'Forbrug af biomasse'!$D$1:$D$425,J$2)*'[1]Processer - data'!J452</f>
        <v>26332104.996966466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7989661.5832169643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7649114.6368171647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6881253.2570079621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6749765.4463514043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4421.6448518391053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4566.231812915682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171747695.30131236</v>
      </c>
      <c r="J457" s="288">
        <f ca="1">J452*'[1]Processer - data'!J$457*Biogasanlæg!AC$3</f>
        <v>166591575.49455377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84807537.217241973</v>
      </c>
      <c r="J458" s="288">
        <f ca="1">-SUMIFS('Resultater - Vestdanmark'!J$3:J$482,'Resultater - Vestdanmark'!$F$3:$F$482,"Gødning",'Resultater - Vestdanmark'!$A$3:$A$482,"&lt;&gt;Gødning")-SUM(J453:J457)</f>
        <v>78390918.310429007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14.573057977083552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13.25397407449055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4.1494910905613152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4.2345050295776536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2.8425191669471035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2.9162356406806413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32.122700134129985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32.397416241013886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21.113921488240365</v>
      </c>
      <c r="J467" s="288">
        <f ca="1">SUM(J433:J451)*'[1]Processer - data'!$H$467</f>
        <v>20.903500966689759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185245.1379714873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189040.40310614527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118556.88830175188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120985.85798793298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1508318.1394402247</v>
      </c>
      <c r="O3" s="171">
        <f>SUMIF($F$3:$F$472,"Roer",J3:J472)</f>
        <v>1571187.4884325294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-145665.52516434077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-109241.28287606536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2663.3159619376597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19973.432427345255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665.82899048441493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4993.3581068363137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-18645.187221035616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-139828.84208136366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28165.623168904222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9749.6387892360799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-5826.6210065736304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1294.6674814974735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647.33374074873689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-14566.552516434074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1429105.5040805461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1446149.8252657517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626876.22950838739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591327.04817660281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-30427864.331989396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-28702347.211129479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432397.89841410023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407877.28242223198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15807.50285438189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16173.505665057821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6933.9511736563081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6613.3060326779805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-227883.33775461648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-217345.37993937408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28032.620683186826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26736.314524426736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11078.80316982528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11335.318897605612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4859.7100345183553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4634.9835589336908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-105305.73109296802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-100436.10190947815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43124.481148638362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41130.285488585716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149436.52351917388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205528.56607564774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65550.236946859717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84040.116846917197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-3181734.4841947295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-4079212.3763696142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67484.065070408717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86519.423544109814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1652.9348360449044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2298.5982293673087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725.05882503724069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939.89106949271911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-23828.957109716841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-30889.388845929232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4375.033285815286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5671.3394445753684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1158.4713834805743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1610.9892615081917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508.16274291582118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658.72948155754591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-11011.448991166426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-14274.100544104624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6730.4103526776635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8724.6060127303044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54356.625856239647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55004.91374470725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-491916.06834122166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-464020.26899468317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5592.3339693151429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5275.2013600614973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282.76738450634605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289.31450699939148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-2079.1757583080207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-1983.0289024325054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170.51047827254712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162.62560066456805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99.981799158956548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102.29675173848246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-613.98114679222374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-585.58895503304575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132.33456984649141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126.21505216572879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4835.5403001591212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6650.5941164055112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-43760.625963996536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-56104.26888753895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872.79200677172753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1118.9821066797115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25.154855766200381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34.980754028108237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-184.96251399052281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-239.76622183956653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26.611461926929326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34.496339534908373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8.8943346188227839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12.368607255652877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-54.61947889671864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-70.803028199450068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20.653372172573807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26.772889853336412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6070.7214776899573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5726.8171351632291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-5194295.9485457521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-4900040.8192932047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1124.7848991677165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1061.0662105976953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540.04857538525096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692.42425361519042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-462082.16559606418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-592459.48087817826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175.54446403195573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225.07465073284445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471005.6523383949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476623.13236039522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-1551783.5146624425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-1463784.271823596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23521.876245631913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22187.987027060775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990.36750794385637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1013.2982196981856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-2175.2548186413396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-2074.6650004382718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289.88341859260265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276.47840501606606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1174.0361809811022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1201.219509431693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-1657.7144021995252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-1581.0570888030154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754.29126163837566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719.41074086897106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41900.445025941619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57628.06963993868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-138045.94387661846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-176984.82559321658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3671.0442695494903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4706.5427027098622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88.102635533271382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122.51696656350789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-193.50966276815154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-250.84585914390013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45.241920820810819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58.646934397347358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104.44171575317434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145.23835886765016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-147.46950664653579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-191.16417528254641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117.72175759674072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152.60227836614536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6307756.1459814962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6382986.0162766455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-18380403.804494981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-17338079.535300989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269622.06840250688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254332.21795115346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35936.372929728066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36768.434364031891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-73188.829646116588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-69804.375096007134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9003.179960112735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8586.8479388358446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51129.768415755148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52313.613778413965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-72091.413984747458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-68757.706979672424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28116.814781173754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26816.615253720633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767869.04297323886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1056094.0499657723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-2237521.989148349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-2868664.0685679815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42079.744779582004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53949.258353274978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4374.6821612720996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6083.5045947761864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-8909.5766031630956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-11549.451152248455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1405.1205718095021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1821.4525930863913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6224.236548183836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8655.5251887921277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-8775.9836908600082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-11376.27515481853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4388.1734051542853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5688.3729326074072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60556.517749486411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61278.749058114612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24160.76512144462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22790.645502950778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33274.45028457306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31387.507677402606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235.37748365531598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240.82735270682102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93.910619514131341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89.567931906541432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758.04687290627828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722.9926822516527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110.80435550829287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113.3698907433492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44.208585753622167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42.164258088714782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783.28278482250096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747.0616155821541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5387.0798159803235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7409.1578406629487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2149.3304925955649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2755.596228993139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5193.122298748397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6657.9561739944929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20.939072100897761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29.118216281824715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8.3542452851010474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10.829577221427281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118.30789345936137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153.36208411398692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9.8571042270094082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13.70745042624131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3.9327753453655787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5.0980421143627872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122.24644618617069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158.46761542651754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1377220.1709949747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1393645.6783281683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-2134514.1794213997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-2013469.1819439486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35949.873089394714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33911.211393270474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5293.4880442848644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5416.0520900000693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-5317.5537733620231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-5071.6553329753397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809.87328310737632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772.42249544923175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2586.6017132162474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2646.491216691737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-1590.8333592291856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-1517.2688108255236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868.63095355671726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828.46304818993258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122516.869546894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168504.43201604218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-189885.3943427476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-243446.72836231376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5610.6738347610244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7193.2872652391916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470.90624856383846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654.84993451819003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-473.0471246938817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-613.20923571429103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126.39640834623793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163.84719600438248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230.1028922913182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319.9848471090919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-141.51979999154429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-183.45159258163147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135.56668061289807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175.73458597968269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8729.4942411541961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8833.607130794464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-134281.02352214055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-126666.154382263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1885.3960828403881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1778.4781872875585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127.2090223121897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130.15438693672888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-1630.6555345060033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-1555.249498228269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124.18250662536892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118.43996296639233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100.73396143707008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103.06632938639916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-1106.8109259035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-1055.6289177692342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225.3284766621083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214.90866271241543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776.57177093273447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1068.0634076324213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-11945.577757258628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-15315.089575309981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294.25256784214145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377.25294881857297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11.31645579991098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15.736848602349943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-145.06236228929129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-188.04380296759976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19.381084849046019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25.123628508022612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8.9612466272630531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12.461656189446442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-98.461388148294034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-127.63513278482559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35.166872080213437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45.586686029906303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271154.92334118381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274388.87044388597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-1206170.5042926839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-1137770.4406823968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19301.792951348078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18207.218128828263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3187.8294513369001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3261.6396255239879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-10396.135181594165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-9915.389046029115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1330.0145314169347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1268.5109692704866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2524.3703880597795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2582.819003614567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-6092.0244292996404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-5810.3123169620849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2311.7719460194639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2204.8691970705872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24121.816590871786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33176.108880942571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-107300.37029516997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-137566.78964614432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3012.4185531005674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3862.1371788423589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283.58783385014385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394.36188199517301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-924.83537829326133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-1198.8606755653386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207.57452224426149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269.07808439070931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224.56682238289022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312.28629770976124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-541.94367610937263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-702.51958014177922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360.79677770245979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467.69952665133667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1527463.4874736806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1545680.8816442573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-5121986.6321292222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-4831526.6928405175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72786.450973800223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68658.843924169618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3091.5500852944588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3163.1310320756588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-7019.1740810152432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-6694.5879963440175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863.44989704439536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823.5215781059261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1455.3525231168544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1489.0493770027558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-2178.6516121482823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-2077.9047167888239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892.19474953925908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850.93718886692341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197863.91187448081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272133.51279857982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-663489.71344517847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-850641.51773949701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11359.73512307865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14563.99719603598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400.47189255172731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556.90276655635091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-909.24676968526933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-1178.6532199623862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134.7580764173334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174.68639535580252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188.52283261877869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262.16293576927308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-282.21724062568217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-365.83716377403238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139.24426726913293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180.5018279414686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101013.59461711594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102218.33992514975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72506.535830436711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68394.802335617322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-3747748.273828716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-3535219.2661860092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48692.766519758341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45931.475047732638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1083.7296042953458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1108.8219977517138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777.89014124472283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741.91834280566036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-27762.606114107224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-26478.786178194747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3061.8697367012819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2920.2803847150949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616.97272988911175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631.25795604595646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442.85678096765122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422.37785468012976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-10744.551987008117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-10247.694091655139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3826.1531225001299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3649.2211861995452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8670.8201159778728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11925.47299126747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6223.8269195490475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7979.3936058220197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-321699.77957431471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-412442.24772170105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7599.4491100200885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9743.040161640256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93.025344646161201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129.36256640436665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66.772650852509457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86.557139993993729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-2383.0907560375276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-3089.1917207893875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477.86406295337923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619.45341493956573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52.959797912446881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73.646761538694932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38.014006921211688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49.277416379348473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-922.29246824896279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-1195.5643106930997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597.14528501447114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774.077221315055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292329.69577555696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295816.18520026724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65266.472771150577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61565.312053592097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-2862673.4102970543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-2700335.6291434513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43392.296059618711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40931.586068691817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11098.628751714377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11355.603515862538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2477.9157290165494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2363.3300305649173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-81513.48428868987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-77744.074610600175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9655.8424264707883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9209.3294818941049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11328.823700605051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11591.128338742388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2529.3097973610966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2412.3474945929538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-63393.632690994433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-60462.135225514932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21633.972256718655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20633.557354673863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26005.514554831338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35766.866028759585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5806.075236693684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7443.8059119343161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-254662.1028004142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-326495.12606916274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6772.2080555474295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8682.457650934628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987.32888143863761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1372.9956978270159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220.43423739632777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285.74808551375816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-7251.4018682250708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-9399.9653847362006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1506.9811879463082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1953.4941325229918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1007.8069176434207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1401.4727900479434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225.00622995021553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291.6747425280571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-5639.468249216211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-7310.4218045395319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3376.4002944011777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4376.8151964459712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192123.62847612135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194415.0036206884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-394283.56590248778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-371924.35475262126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7045.8271335145691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6646.2691751626544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1173.9447235743173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1201.1259344438934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-1825.162816502359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-1740.7622238317294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194.59328120447103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185.59474796958216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929.62040242373098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951.14459149287632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-1114.9498429922146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-1063.3914687497997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353.08844066711117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336.76065150331408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17091.229145939349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23506.541346865048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-35075.28369502478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-44969.035620089657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1099.637760721927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1409.8146735193507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104.43357974455924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145.22704480094345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-162.36564015012317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-210.47397797238182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30.370049667749818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39.368582902638643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82.698601117348062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115.00202788050234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-99.18542244884496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-128.57369576702126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55.106288427815031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71.43407759161208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36039.008412974523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36468.830027147276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-165402.91174611441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-156023.16846396922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2709.4297665419317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2555.7821953904954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1215.3898341091012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1243.5306542910553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-4648.4126117978685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-4433.4571152985454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412.99962134128094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393.90137295555706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1383.2838899177418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1415.3120854105096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-4534.7526241972882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-4325.0530808818066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1077.0677777251983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1027.2611752870387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3206.013522980797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4409.4130851005339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-14714.166542038731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-18864.619459734458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422.85898090538819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542.13561720404448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108.12051761236455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150.35416092791846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-413.52063639057332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-536.04526939518769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64.456588301818414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83.554836687542391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123.05629517823145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171.12409759963427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-403.40949645315754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-522.93823614298196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168.09728322878817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217.90388566694759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494282.55856805464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500177.65214961587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-1671807.383162329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-1577001.7723921426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65725.247132055942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61998.070030116462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77753.345320381952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79553.626059779548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-219153.69141077931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-209019.41666346003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46730.993546559053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44570.022746718168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70222.510539305498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71848.424288419978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-169652.11142721825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-161806.92708376306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96707.452573943272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92235.431645668432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77142.364632008524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106098.28984991852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-260917.91529123051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-334515.52747712121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10257.697529280407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13151.1057639641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12134.915165608745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16875.011588438083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-34203.177272202549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-44337.452019521821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7293.2764494629737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9454.2472493038549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10959.582569718201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15240.574849058785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-26477.497159161238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-34322.681502616411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15093.070632927565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19565.091561202396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178637.61286448501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184169.19735067486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193524.08060319209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199516.63046323109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3165340.6849394962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3236980.2990196338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83101.974624917522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84355.490622610581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956883.80472280353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969564.47736898623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23590438.250862736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22584932.369682513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-25020.805245542317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-23954.33218731765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11710194.60113419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11486434.80143531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-24438.889394640995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-23971.908171692034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8255.3806975521566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8525.3301049752408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7481024.610704748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7592716.250646973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507836.8490436718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515862.15485809901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4380881.7202554364</v>
      </c>
      <c r="J452" s="288">
        <f ca="1">SUMIFS('Forbrug af biomasse'!$E$1:$E$425,'Forbrug af biomasse'!$A$1:$A$425,"Biogas",'Forbrug af biomasse'!$B$1:$B$425,$A$1,'Forbrug af biomasse'!$D$1:$D$425,J$2)*'[1]Processer - data'!J452</f>
        <v>4357755.2271491131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1157678.914162708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1108334.6440677526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489078.26151309063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479732.89556822006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371.10702033101285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383.24215060533305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27905800.103761189</v>
      </c>
      <c r="J457" s="288">
        <f ca="1">J452*'[1]Processer - data'!J$457*Biogasanlæg!AC$3</f>
        <v>27569588.872368205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52145441.541563794</v>
      </c>
      <c r="J458" s="288">
        <f ca="1">-SUMIFS('Resultater - Østdanmark'!J$3:J$482,'Resultater - Østdanmark'!$F$3:$F$482,"Gødning",'Resultater - Østdanmark'!$A$3:$A$482,"&lt;&gt;Gødning")-SUM(J453:J457)</f>
        <v>50546687.743106008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6.9288680866551742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6.6959188638121487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1.249148344750173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1.3001733046193689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0.77417765349901879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0.8069975796327753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9.3786251701161518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9.0527408973136652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4.4788506879242496</v>
      </c>
      <c r="J467" s="288">
        <f ca="1">SUM(J433:J451)*'[1]Processer - data'!$H$467</f>
        <v>4.5052640422592214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55765.551104918435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58043.451099078971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35689.952707147801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37147.808703410541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12061659.217710679</v>
      </c>
      <c r="O3" s="98">
        <f>SUMIF($F$3:$F$487,$L$3,J$3:J$487)</f>
        <v>11381001.09678873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5575.3915677842497</v>
      </c>
      <c r="O7" s="98">
        <f>SUMIFS(J$3:J$487,$F$3:$F$487,$L$3,$C$3:$C$487,$L7)+SUMIFS(J$3:J$487,$F$3:$F$487,$L$3,$C$3:$C$487,"",$A$3:$A$487,"Grøntsager I drivhus")</f>
        <v>5429.5591156569817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1210890.6378442696</v>
      </c>
      <c r="O8" s="98">
        <f>SUMIFS(J$3:J$487,$F$3:$F$487,$L$3,$C$3:$C$487,$L8)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2392228.9190607881</v>
      </c>
      <c r="O9" s="98">
        <f>SUMIFS(J$3:J$487,$F$3:$F$487,$L$3,$C$3:$C$487,$L9)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0</v>
      </c>
      <c r="J16" s="282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0</v>
      </c>
      <c r="J19" s="282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0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-1042538.2000321174</v>
      </c>
      <c r="J28" s="282">
        <f>'Resultater - Vestdanmark'!J28+'Resultater - Østdanmark'!J28</f>
        <v>-702025.06467181328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19061.535843451689</v>
      </c>
      <c r="J29" s="282">
        <f>'Resultater - Vestdanmark'!J29+'Resultater - Østdanmark'!J29</f>
        <v>128356.69650120263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4765.3839608629223</v>
      </c>
      <c r="J30" s="282">
        <f>'Resultater - Vestdanmark'!J30+'Resultater - Østdanmark'!J30</f>
        <v>32089.174125300658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-133444.88960411103</v>
      </c>
      <c r="J31" s="282">
        <f>'Resultater - Vestdanmark'!J31+'Resultater - Østdanmark'!J31</f>
        <v>-898592.08277992101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201583.3056460268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69778.836569778534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-41701.5280012847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9266.0243683445715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4633.0121841722867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-104253.82000321175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6117612.5009897444</v>
      </c>
      <c r="J120" s="282">
        <f>'Resultater - Vestdanmark'!J120+'Resultater - Østdanmark'!J120</f>
        <v>6094346.0644214675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2683486.8715176973</v>
      </c>
      <c r="J121" s="282">
        <f>'Resultater - Vestdanmark'!J121+'Resultater - Østdanmark'!J121</f>
        <v>2491962.8698767768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-130253422.63695242</v>
      </c>
      <c r="J122" s="282">
        <f>'Resultater - Vestdanmark'!J122+'Resultater - Østdanmark'!J122</f>
        <v>-120957063.86000556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1850977.9587208868</v>
      </c>
      <c r="J123" s="282">
        <f>'Resultater - Vestdanmark'!J123+'Resultater - Østdanmark'!J123</f>
        <v>1718871.2175379612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127603.5504552457</v>
      </c>
      <c r="J124" s="282">
        <f>'Resultater - Vestdanmark'!J124+'Resultater - Østdanmark'!J124</f>
        <v>130558.04988182031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55973.217059808674</v>
      </c>
      <c r="J125" s="282">
        <f>'Resultater - Vestdanmark'!J125+'Resultater - Østdanmark'!J125</f>
        <v>53384.860201551623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-1839551.9681352002</v>
      </c>
      <c r="J126" s="282">
        <f>'Resultater - Vestdanmark'!J126+'Resultater - Østdanmark'!J126</f>
        <v>-1754485.9811694103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226288.86805788055</v>
      </c>
      <c r="J127" s="282">
        <f>'Resultater - Vestdanmark'!J127+'Resultater - Østdanmark'!J127</f>
        <v>215824.64294537739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82931.152170524088</v>
      </c>
      <c r="J128" s="282">
        <f>'Resultater - Vestdanmark'!J128+'Resultater - Østdanmark'!J128</f>
        <v>84851.318503348171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36377.697680824538</v>
      </c>
      <c r="J129" s="282">
        <f>'Resultater - Vestdanmark'!J129+'Resultater - Østdanmark'!J129</f>
        <v>34695.492007722816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-788273.37897699536</v>
      </c>
      <c r="J130" s="282">
        <f>'Resultater - Vestdanmark'!J130+'Resultater - Østdanmark'!J130</f>
        <v>-751821.43081620929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322811.30493890942</v>
      </c>
      <c r="J131" s="282">
        <f>'Resultater - Vestdanmark'!J131+'Resultater - Østdanmark'!J131</f>
        <v>307883.61453711009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639697.16845609527</v>
      </c>
      <c r="J132" s="282">
        <f>'Resultater - Vestdanmark'!J132+'Resultater - Østdanmark'!J132</f>
        <v>866135.84976171737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280602.76014887379</v>
      </c>
      <c r="J133" s="282">
        <f>'Resultater - Vestdanmark'!J133+'Resultater - Østdanmark'!J133</f>
        <v>354160.78362794197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-13620141.130072078</v>
      </c>
      <c r="J134" s="282">
        <f>'Resultater - Vestdanmark'!J134+'Resultater - Østdanmark'!J134</f>
        <v>-17190564.530406848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288880.95309516735</v>
      </c>
      <c r="J135" s="282">
        <f>'Resultater - Vestdanmark'!J135+'Resultater - Østdanmark'!J135</f>
        <v>364609.04614441597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13343.053339510952</v>
      </c>
      <c r="J136" s="282">
        <f>'Resultater - Vestdanmark'!J136+'Resultater - Østdanmark'!J136</f>
        <v>18555.068301385974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5852.9219457337513</v>
      </c>
      <c r="J137" s="282">
        <f>'Resultater - Vestdanmark'!J137+'Resultater - Østdanmark'!J137</f>
        <v>7587.1210407659737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-192355.46302639175</v>
      </c>
      <c r="J138" s="282">
        <f>'Resultater - Vestdanmark'!J138+'Resultater - Østdanmark'!J138</f>
        <v>-249349.67429347077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35316.75975469812</v>
      </c>
      <c r="J139" s="282">
        <f>'Resultater - Vestdanmark'!J139+'Resultater - Østdanmark'!J139</f>
        <v>45780.984867201259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8671.8181662704101</v>
      </c>
      <c r="J140" s="282">
        <f>'Resultater - Vestdanmark'!J140+'Resultater - Østdanmark'!J140</f>
        <v>12059.172235778879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3803.8875783012481</v>
      </c>
      <c r="J141" s="282">
        <f>'Resultater - Vestdanmark'!J141+'Resultater - Østdanmark'!J141</f>
        <v>4930.9653792793943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-82426.967778577149</v>
      </c>
      <c r="J142" s="282">
        <f>'Resultater - Vestdanmark'!J142+'Resultater - Østdanmark'!J142</f>
        <v>-106849.77304630369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50380.955106072579</v>
      </c>
      <c r="J143" s="282">
        <f>'Resultater - Vestdanmark'!J143+'Resultater - Østdanmark'!J143</f>
        <v>65308.645507871843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232685.95138726168</v>
      </c>
      <c r="J144" s="282">
        <f>'Resultater - Vestdanmark'!J144+'Resultater - Østdanmark'!J144</f>
        <v>231801.00273655762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-2105759.0783390985</v>
      </c>
      <c r="J145" s="282">
        <f>'Resultater - Vestdanmark'!J145+'Resultater - Østdanmark'!J145</f>
        <v>-1955468.2722033095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23939.262778504915</v>
      </c>
      <c r="J146" s="282">
        <f>'Resultater - Vestdanmark'!J146+'Resultater - Østdanmark'!J146</f>
        <v>22230.685981525952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1585.3494883221538</v>
      </c>
      <c r="J147" s="282">
        <f>'Resultater - Vestdanmark'!J147+'Resultater - Østdanmark'!J147</f>
        <v>1622.0562581373943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-11657.002911845626</v>
      </c>
      <c r="J148" s="282">
        <f>'Resultater - Vestdanmark'!J148+'Resultater - Østdanmark'!J148</f>
        <v>-11117.950754072415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955.97552721601687</v>
      </c>
      <c r="J149" s="282">
        <f>'Resultater - Vestdanmark'!J149+'Resultater - Østdanmark'!J149</f>
        <v>911.76856641990037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522.34073106488052</v>
      </c>
      <c r="J150" s="282">
        <f>'Resultater - Vestdanmark'!J150+'Resultater - Østdanmark'!J150</f>
        <v>534.43487252804482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-3207.6574313853434</v>
      </c>
      <c r="J151" s="282">
        <f>'Resultater - Vestdanmark'!J151+'Resultater - Østdanmark'!J151</f>
        <v>-3059.3264518993165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691.36319350361066</v>
      </c>
      <c r="J152" s="282">
        <f>'Resultater - Vestdanmark'!J152+'Resultater - Østdanmark'!J152</f>
        <v>659.39264120286578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20699.634634970847</v>
      </c>
      <c r="J153" s="282">
        <f>'Resultater - Vestdanmark'!J153+'Resultater - Østdanmark'!J153</f>
        <v>28026.848512692872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-187327.35384762267</v>
      </c>
      <c r="J154" s="282">
        <f>'Resultater - Vestdanmark'!J154+'Resultater - Østdanmark'!J154</f>
        <v>-236433.89109367284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3736.1855203446976</v>
      </c>
      <c r="J155" s="282">
        <f>'Resultater - Vestdanmark'!J155+'Resultater - Østdanmark'!J155</f>
        <v>4715.6000566873226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141.03195737154883</v>
      </c>
      <c r="J156" s="282">
        <f>'Resultater - Vestdanmark'!J156+'Resultater - Østdanmark'!J156</f>
        <v>196.12134757479404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-1037.0015885162093</v>
      </c>
      <c r="J157" s="282">
        <f>'Resultater - Vestdanmark'!J157+'Resultater - Østdanmark'!J157</f>
        <v>-1344.2613184469374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149.19849268689282</v>
      </c>
      <c r="J158" s="282">
        <f>'Resultater - Vestdanmark'!J158+'Resultater - Østdanmark'!J158</f>
        <v>193.40545348300918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46.467189890685042</v>
      </c>
      <c r="J159" s="282">
        <f>'Resultater - Vestdanmark'!J159+'Resultater - Østdanmark'!J159</f>
        <v>64.618034587481787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-285.35172178624532</v>
      </c>
      <c r="J160" s="282">
        <f>'Resultater - Vestdanmark'!J160+'Resultater - Østdanmark'!J160</f>
        <v>-369.90038009328094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107.9006140150144</v>
      </c>
      <c r="J161" s="282">
        <f>'Resultater - Vestdanmark'!J161+'Resultater - Østdanmark'!J161</f>
        <v>139.87116631575941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26029.289420792691</v>
      </c>
      <c r="J162" s="282">
        <f>'Resultater - Vestdanmark'!J162+'Resultater - Østdanmark'!J162</f>
        <v>24176.272688948411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-22271460.33281637</v>
      </c>
      <c r="J163" s="282">
        <f>'Resultater - Vestdanmark'!J163+'Resultater - Østdanmark'!J163</f>
        <v>-20685962.243638869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4822.713706133376</v>
      </c>
      <c r="J164" s="282">
        <f>'Resultater - Vestdanmark'!J164+'Resultater - Østdanmark'!J164</f>
        <v>4479.3862704170097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2315.5535502080893</v>
      </c>
      <c r="J165" s="282">
        <f>'Resultater - Vestdanmark'!J165+'Resultater - Østdanmark'!J165</f>
        <v>2923.1311523910349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-1981258.81226615</v>
      </c>
      <c r="J166" s="282">
        <f>'Resultater - Vestdanmark'!J166+'Resultater - Østdanmark'!J166</f>
        <v>-2501120.8894581543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752.67786165087364</v>
      </c>
      <c r="J167" s="282">
        <f>'Resultater - Vestdanmark'!J167+'Resultater - Østdanmark'!J167</f>
        <v>950.17284523997171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2016247.2669476147</v>
      </c>
      <c r="J168" s="282">
        <f>'Resultater - Vestdanmark'!J168+'Resultater - Østdanmark'!J168</f>
        <v>2008579.0975212562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-6642763.743490356</v>
      </c>
      <c r="J169" s="282">
        <f>'Resultater - Vestdanmark'!J169+'Resultater - Østdanmark'!J169</f>
        <v>-6168660.9231590796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100690.76338740437</v>
      </c>
      <c r="J170" s="282">
        <f>'Resultater - Vestdanmark'!J170+'Resultater - Østdanmark'!J170</f>
        <v>93504.33063942974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43355.708806344126</v>
      </c>
      <c r="J171" s="282">
        <f>'Resultater - Vestdanmark'!J171+'Resultater - Østdanmark'!J171</f>
        <v>44359.555614290162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-95226.987699153411</v>
      </c>
      <c r="J172" s="282">
        <f>'Resultater - Vestdanmark'!J172+'Resultater - Østdanmark'!J172</f>
        <v>-90823.427574337082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12690.340690176325</v>
      </c>
      <c r="J173" s="282">
        <f>'Resultater - Vestdanmark'!J173+'Resultater - Østdanmark'!J173</f>
        <v>12103.50412646875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47229.45648169679</v>
      </c>
      <c r="J174" s="282">
        <f>'Resultater - Vestdanmark'!J174+'Resultater - Østdanmark'!J174</f>
        <v>48322.995036029904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-66686.999503147963</v>
      </c>
      <c r="J175" s="282">
        <f>'Resultater - Vestdanmark'!J175+'Resultater - Østdanmark'!J175</f>
        <v>-63603.207618609318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30343.840243750776</v>
      </c>
      <c r="J176" s="282">
        <f>'Resultater - Vestdanmark'!J176+'Resultater - Østdanmark'!J176</f>
        <v>28940.656879877901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179364.42449898148</v>
      </c>
      <c r="J177" s="282">
        <f>'Resultater - Vestdanmark'!J177+'Resultater - Østdanmark'!J177</f>
        <v>242855.47270029731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-590937.19082263927</v>
      </c>
      <c r="J178" s="282">
        <f>'Resultater - Vestdanmark'!J178+'Resultater - Østdanmark'!J178</f>
        <v>-745847.18434559775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15714.74341884346</v>
      </c>
      <c r="J179" s="282">
        <f>'Resultater - Vestdanmark'!J179+'Resultater - Østdanmark'!J179</f>
        <v>19834.251953818432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3856.9038065296895</v>
      </c>
      <c r="J180" s="282">
        <f>'Resultater - Vestdanmark'!J180+'Resultater - Østdanmark'!J180</f>
        <v>5363.4735424550836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-8471.3487901154422</v>
      </c>
      <c r="J181" s="282">
        <f>'Resultater - Vestdanmark'!J181+'Resultater - Østdanmark'!J181</f>
        <v>-10981.378061260753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1980.5734025130682</v>
      </c>
      <c r="J182" s="282">
        <f>'Resultater - Vestdanmark'!J182+'Resultater - Østdanmark'!J182</f>
        <v>2567.4099662206436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4201.5106084006566</v>
      </c>
      <c r="J183" s="282">
        <f>'Resultater - Vestdanmark'!J183+'Resultater - Østdanmark'!J183</f>
        <v>5842.6893998108899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-5932.4446378811972</v>
      </c>
      <c r="J184" s="282">
        <f>'Resultater - Vestdanmark'!J184+'Resultater - Østdanmark'!J184</f>
        <v>-7690.206012068219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4735.7438530709296</v>
      </c>
      <c r="J185" s="282">
        <f>'Resultater - Vestdanmark'!J185+'Resultater - Østdanmark'!J185</f>
        <v>6138.9272169437982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27001790.799678013</v>
      </c>
      <c r="J186" s="282">
        <f>'Resultater - Vestdanmark'!J186+'Resultater - Østdanmark'!J186</f>
        <v>26899097.885936093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-78681516.351699993</v>
      </c>
      <c r="J187" s="282">
        <f>'Resultater - Vestdanmark'!J187+'Resultater - Østdanmark'!J187</f>
        <v>-73065912.628499985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1154178.8422843576</v>
      </c>
      <c r="J188" s="282">
        <f>'Resultater - Vestdanmark'!J188+'Resultater - Østdanmark'!J188</f>
        <v>1071803.5741845497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706275.10349806701</v>
      </c>
      <c r="J189" s="282">
        <f>'Resultater - Vestdanmark'!J189+'Resultater - Østdanmark'!J189</f>
        <v>722628.01359221688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-1438415.8449795046</v>
      </c>
      <c r="J190" s="282">
        <f>'Resultater - Vestdanmark'!J190+'Resultater - Østdanmark'!J190</f>
        <v>-1371899.5053272732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176943.89666354295</v>
      </c>
      <c r="J191" s="282">
        <f>'Resultater - Vestdanmark'!J191+'Resultater - Østdanmark'!J191</f>
        <v>168761.51993921725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925748.63193456724</v>
      </c>
      <c r="J192" s="282">
        <f>'Resultater - Vestdanmark'!J192+'Resultater - Østdanmark'!J192</f>
        <v>947183.17503658065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-1305277.3352684232</v>
      </c>
      <c r="J193" s="282">
        <f>'Resultater - Vestdanmark'!J193+'Resultater - Østdanmark'!J193</f>
        <v>-1244917.6897068778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509079.2237973173</v>
      </c>
      <c r="J194" s="282">
        <f>'Resultater - Vestdanmark'!J194+'Resultater - Østdanmark'!J194</f>
        <v>485537.98801478231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3287038.8106428846</v>
      </c>
      <c r="J195" s="282">
        <f>'Resultater - Vestdanmark'!J195+'Resultater - Østdanmark'!J195</f>
        <v>4450578.0138548817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-9578223.8980740011</v>
      </c>
      <c r="J196" s="282">
        <f>'Resultater - Vestdanmark'!J196+'Resultater - Østdanmark'!J196</f>
        <v>-12089087.36217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180131.95804437954</v>
      </c>
      <c r="J197" s="282">
        <f>'Resultater - Vestdanmark'!J197+'Resultater - Østdanmark'!J197</f>
        <v>227352.27331187419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85977.766934504587</v>
      </c>
      <c r="J198" s="282">
        <f>'Resultater - Vestdanmark'!J198+'Resultater - Østdanmark'!J198</f>
        <v>119562.08952162138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-175104.26413449924</v>
      </c>
      <c r="J199" s="282">
        <f>'Resultater - Vestdanmark'!J199+'Resultater - Østdanmark'!J199</f>
        <v>-226987.00906323979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27615.521444599188</v>
      </c>
      <c r="J200" s="282">
        <f>'Resultater - Vestdanmark'!J200+'Resultater - Østdanmark'!J200</f>
        <v>35797.898168924876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112695.18028058953</v>
      </c>
      <c r="J201" s="282">
        <f>'Resultater - Vestdanmark'!J201+'Resultater - Østdanmark'!J201</f>
        <v>156715.7616878706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-158896.76694076881</v>
      </c>
      <c r="J202" s="282">
        <f>'Resultater - Vestdanmark'!J202+'Resultater - Østdanmark'!J202</f>
        <v>-205977.29047877432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79451.670766055307</v>
      </c>
      <c r="J203" s="282">
        <f>'Resultater - Vestdanmark'!J203+'Resultater - Østdanmark'!J203</f>
        <v>102992.9065485902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259226.00461819075</v>
      </c>
      <c r="J204" s="282">
        <f>'Resultater - Vestdanmark'!J204+'Resultater - Østdanmark'!J204</f>
        <v>258240.11912898702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103425.67313497387</v>
      </c>
      <c r="J205" s="282">
        <f>'Resultater - Vestdanmark'!J205+'Resultater - Østdanmark'!J205</f>
        <v>96044.046266789126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142438.88393350772</v>
      </c>
      <c r="J207" s="282">
        <f>'Resultater - Vestdanmark'!J207+'Resultater - Østdanmark'!J207</f>
        <v>132272.83269257762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5512.5244914058194</v>
      </c>
      <c r="J208" s="282">
        <f>'Resultater - Vestdanmark'!J208+'Resultater - Østdanmark'!J208</f>
        <v>5640.1600500617624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2199.3802552194566</v>
      </c>
      <c r="J209" s="282">
        <f>'Resultater - Vestdanmark'!J209+'Resultater - Østdanmark'!J209</f>
        <v>2097.674809891389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17753.405668355132</v>
      </c>
      <c r="J211" s="282">
        <f>'Resultater - Vestdanmark'!J211+'Resultater - Østdanmark'!J211</f>
        <v>16932.438932246223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2388.921498273121</v>
      </c>
      <c r="J212" s="282">
        <f>'Resultater - Vestdanmark'!J212+'Resultater - Østdanmark'!J212</f>
        <v>2444.2339654544721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953.12896709348797</v>
      </c>
      <c r="J213" s="282">
        <f>'Resultater - Vestdanmark'!J213+'Resultater - Østdanmark'!J213</f>
        <v>909.05363913540759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16887.432586074348</v>
      </c>
      <c r="J215" s="282">
        <f>'Resultater - Vestdanmark'!J215+'Resultater - Østdanmark'!J215</f>
        <v>16106.510847989985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23060.625497537319</v>
      </c>
      <c r="J216" s="282">
        <f>'Resultater - Vestdanmark'!J216+'Resultater - Østdanmark'!J216</f>
        <v>31223.578040141154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9200.7000551864039</v>
      </c>
      <c r="J217" s="282">
        <f>'Resultater - Vestdanmark'!J217+'Resultater - Østdanmark'!J217</f>
        <v>11612.59832134814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22230.346047426061</v>
      </c>
      <c r="J219" s="282">
        <f>'Resultater - Vestdanmark'!J219+'Resultater - Østdanmark'!J219</f>
        <v>28057.87360145586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490.39162961118819</v>
      </c>
      <c r="J220" s="282">
        <f>'Resultater - Vestdanmark'!J220+'Resultater - Østdanmark'!J220</f>
        <v>681.94662423474017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195.65585044986958</v>
      </c>
      <c r="J221" s="282">
        <f>'Resultater - Vestdanmark'!J221+'Resultater - Østdanmark'!J221</f>
        <v>253.62795428686786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2770.762734367564</v>
      </c>
      <c r="J223" s="282">
        <f>'Resultater - Vestdanmark'!J223+'Resultater - Østdanmark'!J223</f>
        <v>3591.7294704764709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212.51735178279381</v>
      </c>
      <c r="J224" s="282">
        <f>'Resultater - Vestdanmark'!J224+'Resultater - Østdanmark'!J224</f>
        <v>295.53010673222258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84.789912159357115</v>
      </c>
      <c r="J225" s="282">
        <f>'Resultater - Vestdanmark'!J225+'Resultater - Østdanmark'!J225</f>
        <v>109.9128490954629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2635.6108660347249</v>
      </c>
      <c r="J227" s="282">
        <f>'Resultater - Vestdanmark'!J227+'Resultater - Østdanmark'!J227</f>
        <v>3416.5326041190874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5895505.4827213306</v>
      </c>
      <c r="J228" s="282">
        <f>'Resultater - Vestdanmark'!J228+'Resultater - Østdanmark'!J228</f>
        <v>5873083.7611216912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-9137275.4427739233</v>
      </c>
      <c r="J229" s="282">
        <f>'Resultater - Vestdanmark'!J229+'Resultater - Østdanmark'!J229</f>
        <v>-8485136.0283911619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153891.64228443176</v>
      </c>
      <c r="J230" s="282">
        <f>'Resultater - Vestdanmark'!J230+'Resultater - Østdanmark'!J230</f>
        <v>142908.19255630323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7419.9074191128602</v>
      </c>
      <c r="J231" s="282">
        <f>'Resultater - Vestdanmark'!J231+'Resultater - Østdanmark'!J231</f>
        <v>7591.7060261014194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-7453.6404662515524</v>
      </c>
      <c r="J232" s="282">
        <f>'Resultater - Vestdanmark'!J232+'Resultater - Østdanmark'!J232</f>
        <v>-7108.9634504711339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1135.2032405849204</v>
      </c>
      <c r="J233" s="282">
        <f>'Resultater - Vestdanmark'!J233+'Resultater - Østdanmark'!J233</f>
        <v>1082.7082930434212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3539.4450210289142</v>
      </c>
      <c r="J234" s="282">
        <f>'Resultater - Vestdanmark'!J234+'Resultater - Østdanmark'!J234</f>
        <v>3621.3964106862882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-2176.8589975953914</v>
      </c>
      <c r="J235" s="282">
        <f>'Resultater - Vestdanmark'!J235+'Resultater - Østdanmark'!J235</f>
        <v>-2076.1949977065869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1188.6141913418296</v>
      </c>
      <c r="J236" s="282">
        <f>'Resultater - Vestdanmark'!J236+'Resultater - Østdanmark'!J236</f>
        <v>1133.6493732450974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524461.44149757968</v>
      </c>
      <c r="J237" s="282">
        <f>'Resultater - Vestdanmark'!J237+'Resultater - Østdanmark'!J237</f>
        <v>710109.21839016816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-812847.79805948352</v>
      </c>
      <c r="J238" s="282">
        <f>'Resultater - Vestdanmark'!J238+'Resultater - Østdanmark'!J238</f>
        <v>-1025930.0834327494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24017.77076115409</v>
      </c>
      <c r="J239" s="282">
        <f>'Resultater - Vestdanmark'!J239+'Resultater - Østdanmark'!J239</f>
        <v>30313.859027094626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660.07153283321907</v>
      </c>
      <c r="J240" s="282">
        <f>'Resultater - Vestdanmark'!J240+'Resultater - Østdanmark'!J240</f>
        <v>917.9062740649897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-663.07240910758037</v>
      </c>
      <c r="J241" s="282">
        <f>'Resultater - Vestdanmark'!J241+'Resultater - Østdanmark'!J241</f>
        <v>-859.5383081024188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177.17044795255987</v>
      </c>
      <c r="J242" s="282">
        <f>'Resultater - Vestdanmark'!J242+'Resultater - Østdanmark'!J242</f>
        <v>229.66539549405906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314.86739233315024</v>
      </c>
      <c r="J243" s="282">
        <f>'Resultater - Vestdanmark'!J243+'Resultater - Østdanmark'!J243</f>
        <v>437.85974783752397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-193.65236978608712</v>
      </c>
      <c r="J244" s="282">
        <f>'Resultater - Vestdanmark'!J244+'Resultater - Østdanmark'!J244</f>
        <v>-251.03084972270551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185.50626107647051</v>
      </c>
      <c r="J245" s="282">
        <f>'Resultater - Vestdanmark'!J245+'Resultater - Østdanmark'!J245</f>
        <v>240.47107917320253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37368.593812366278</v>
      </c>
      <c r="J246" s="282">
        <f>'Resultater - Vestdanmark'!J246+'Resultater - Østdanmark'!J246</f>
        <v>37226.473987444311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-574820.58938207361</v>
      </c>
      <c r="J247" s="282">
        <f>'Resultater - Vestdanmark'!J247+'Resultater - Østdanmark'!J247</f>
        <v>-533794.88485094521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8070.8685347358205</v>
      </c>
      <c r="J248" s="282">
        <f>'Resultater - Vestdanmark'!J248+'Resultater - Østdanmark'!J248</f>
        <v>7494.8399896003784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615.8085437161526</v>
      </c>
      <c r="J249" s="282">
        <f>'Resultater - Vestdanmark'!J249+'Resultater - Østdanmark'!J249</f>
        <v>630.06681460907134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-7893.8709830065436</v>
      </c>
      <c r="J250" s="282">
        <f>'Resultater - Vestdanmark'!J250+'Resultater - Østdanmark'!J250</f>
        <v>-7528.8364866825405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601.15742712269844</v>
      </c>
      <c r="J251" s="282">
        <f>'Resultater - Vestdanmark'!J251+'Resultater - Østdanmark'!J251</f>
        <v>573.35823974130199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455.5440653732993</v>
      </c>
      <c r="J252" s="282">
        <f>'Resultater - Vestdanmark'!J252+'Resultater - Østdanmark'!J252</f>
        <v>466.09161420813308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-5005.2747017265629</v>
      </c>
      <c r="J253" s="282">
        <f>'Resultater - Vestdanmark'!J253+'Resultater - Østdanmark'!J253</f>
        <v>-4773.8169120513467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1018.9914983851248</v>
      </c>
      <c r="J254" s="282">
        <f>'Resultater - Vestdanmark'!J254+'Resultater - Østdanmark'!J254</f>
        <v>971.87050424014797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3324.2928252735092</v>
      </c>
      <c r="J255" s="282">
        <f>'Resultater - Vestdanmark'!J255+'Resultater - Østdanmark'!J255</f>
        <v>4501.0191275728121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-51135.773818439964</v>
      </c>
      <c r="J256" s="282">
        <f>'Resultater - Vestdanmark'!J256+'Resultater - Østdanmark'!J256</f>
        <v>-64540.654259250652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1259.6153204500993</v>
      </c>
      <c r="J257" s="282">
        <f>'Resultater - Vestdanmark'!J257+'Resultater - Østdanmark'!J257</f>
        <v>1589.8145432485653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54.782043282032305</v>
      </c>
      <c r="J258" s="282">
        <f>'Resultater - Vestdanmark'!J258+'Resultater - Østdanmark'!J258</f>
        <v>76.180805766369517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-702.23511230329893</v>
      </c>
      <c r="J259" s="282">
        <f>'Resultater - Vestdanmark'!J259+'Resultater - Østdanmark'!J259</f>
        <v>-910.30477520797979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93.822257412213062</v>
      </c>
      <c r="J260" s="282">
        <f>'Resultater - Vestdanmark'!J260+'Resultater - Østdanmark'!J260</f>
        <v>121.6214447936095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40.524989399393505</v>
      </c>
      <c r="J261" s="282">
        <f>'Resultater - Vestdanmark'!J261+'Resultater - Østdanmark'!J261</f>
        <v>56.354713354256091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-445.26692288769829</v>
      </c>
      <c r="J262" s="282">
        <f>'Resultater - Vestdanmark'!J262+'Resultater - Østdanmark'!J262</f>
        <v>-577.19786300257181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159.03335523929695</v>
      </c>
      <c r="J263" s="282">
        <f>'Resultater - Vestdanmark'!J263+'Resultater - Østdanmark'!J263</f>
        <v>206.15434938427381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1160740.5779352796</v>
      </c>
      <c r="J264" s="282">
        <f>'Resultater - Vestdanmark'!J264+'Resultater - Østdanmark'!J264</f>
        <v>1156326.0621377544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-5163288.3186839549</v>
      </c>
      <c r="J265" s="282">
        <f>'Resultater - Vestdanmark'!J265+'Resultater - Østdanmark'!J265</f>
        <v>-4794777.6131104687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82625.733029174298</v>
      </c>
      <c r="J266" s="282">
        <f>'Resultater - Vestdanmark'!J266+'Resultater - Østdanmark'!J266</f>
        <v>76728.62535325269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33514.846017662872</v>
      </c>
      <c r="J267" s="282">
        <f>'Resultater - Vestdanmark'!J267+'Resultater - Østdanmark'!J267</f>
        <v>34290.840047512778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-109298.46627893313</v>
      </c>
      <c r="J268" s="282">
        <f>'Resultater - Vestdanmark'!J268+'Resultater - Østdanmark'!J268</f>
        <v>-104244.20194233507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13982.941340540916</v>
      </c>
      <c r="J269" s="282">
        <f>'Resultater - Vestdanmark'!J269+'Resultater - Østdanmark'!J269</f>
        <v>13336.331336354053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24547.175218188691</v>
      </c>
      <c r="J270" s="282">
        <f>'Resultater - Vestdanmark'!J270+'Resultater - Østdanmark'!J270</f>
        <v>25115.534130205029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-59239.322330365954</v>
      </c>
      <c r="J271" s="282">
        <f>'Resultater - Vestdanmark'!J271+'Resultater - Østdanmark'!J271</f>
        <v>-56499.931702372152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22479.85132920558</v>
      </c>
      <c r="J272" s="282">
        <f>'Resultater - Vestdanmark'!J272+'Resultater - Østdanmark'!J272</f>
        <v>21440.320631901275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103258.9450544737</v>
      </c>
      <c r="J273" s="282">
        <f>'Resultater - Vestdanmark'!J273+'Resultater - Østdanmark'!J273</f>
        <v>139810.33296756484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-459323.74118234706</v>
      </c>
      <c r="J274" s="282">
        <f>'Resultater - Vestdanmark'!J274+'Resultater - Østdanmark'!J274</f>
        <v>-579732.2023124476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12895.345617269975</v>
      </c>
      <c r="J275" s="282">
        <f>'Resultater - Vestdanmark'!J275+'Resultater - Østdanmark'!J275</f>
        <v>16275.769014326328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2981.4652035365989</v>
      </c>
      <c r="J276" s="282">
        <f>'Resultater - Vestdanmark'!J276+'Resultater - Østdanmark'!J276</f>
        <v>4146.0742966538164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-9723.1410175305264</v>
      </c>
      <c r="J277" s="282">
        <f>'Resultater - Vestdanmark'!J277+'Resultater - Østdanmark'!J277</f>
        <v>-12604.071689391423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2182.3087641306633</v>
      </c>
      <c r="J278" s="282">
        <f>'Resultater - Vestdanmark'!J278+'Resultater - Østdanmark'!J278</f>
        <v>2828.9187683175264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2183.7053561151674</v>
      </c>
      <c r="J279" s="282">
        <f>'Resultater - Vestdanmark'!J279+'Resultater - Østdanmark'!J279</f>
        <v>3036.6963993793343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-5269.9027206030751</v>
      </c>
      <c r="J280" s="282">
        <f>'Resultater - Vestdanmark'!J280+'Resultater - Østdanmark'!J280</f>
        <v>-6831.3553785595395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3508.4161034020271</v>
      </c>
      <c r="J281" s="282">
        <f>'Resultater - Vestdanmark'!J281+'Resultater - Østdanmark'!J281</f>
        <v>4547.9468007063306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6538656.3127026604</v>
      </c>
      <c r="J282" s="282">
        <f>'Resultater - Vestdanmark'!J282+'Resultater - Østdanmark'!J282</f>
        <v>6513788.566941279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-21925833.579918846</v>
      </c>
      <c r="J283" s="282">
        <f>'Resultater - Vestdanmark'!J283+'Resultater - Østdanmark'!J283</f>
        <v>-20360957.883633468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311579.02695678157</v>
      </c>
      <c r="J284" s="282">
        <f>'Resultater - Vestdanmark'!J284+'Resultater - Østdanmark'!J284</f>
        <v>289341.22035391314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153453.82496259263</v>
      </c>
      <c r="J285" s="282">
        <f>'Resultater - Vestdanmark'!J285+'Resultater - Østdanmark'!J285</f>
        <v>157006.85492328065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-348407.45939507824</v>
      </c>
      <c r="J286" s="282">
        <f>'Resultater - Vestdanmark'!J286+'Resultater - Østdanmark'!J286</f>
        <v>-332296.13179299369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42858.658507678403</v>
      </c>
      <c r="J287" s="282">
        <f>'Resultater - Vestdanmark'!J287+'Resultater - Østdanmark'!J287</f>
        <v>40876.75522408633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66365.970991770519</v>
      </c>
      <c r="J288" s="282">
        <f>'Resultater - Vestdanmark'!J288+'Resultater - Østdanmark'!J288</f>
        <v>67902.591427014777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-99349.351718131846</v>
      </c>
      <c r="J289" s="282">
        <f>'Resultater - Vestdanmark'!J289+'Resultater - Østdanmark'!J289</f>
        <v>-94755.162043304925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40685.242871687507</v>
      </c>
      <c r="J290" s="282">
        <f>'Resultater - Vestdanmark'!J290+'Resultater - Østdanmark'!J290</f>
        <v>38803.844357389826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847001.66455298616</v>
      </c>
      <c r="J291" s="282">
        <f>'Resultater - Vestdanmark'!J291+'Resultater - Østdanmark'!J291</f>
        <v>1146821.5628463281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-2840219.251595268</v>
      </c>
      <c r="J292" s="282">
        <f>'Resultater - Vestdanmark'!J292+'Resultater - Østdanmark'!J292</f>
        <v>-3584762.5849669832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48627.940623312745</v>
      </c>
      <c r="J293" s="282">
        <f>'Resultater - Vestdanmark'!J293+'Resultater - Østdanmark'!J293</f>
        <v>61375.410378102795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19878.035938795954</v>
      </c>
      <c r="J294" s="282">
        <f>'Resultater - Vestdanmark'!J294+'Resultater - Østdanmark'!J294</f>
        <v>27642.722033462447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-45131.856445339326</v>
      </c>
      <c r="J295" s="282">
        <f>'Resultater - Vestdanmark'!J295+'Resultater - Østdanmark'!J295</f>
        <v>-58504.258355069491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6688.9235821232187</v>
      </c>
      <c r="J296" s="282">
        <f>'Resultater - Vestdanmark'!J296+'Resultater - Østdanmark'!J296</f>
        <v>8670.8268657152839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8596.8867625755938</v>
      </c>
      <c r="J297" s="282">
        <f>'Resultater - Vestdanmark'!J297+'Resultater - Østdanmark'!J297</f>
        <v>11954.971399725935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-12869.473826608873</v>
      </c>
      <c r="J298" s="282">
        <f>'Resultater - Vestdanmark'!J298+'Resultater - Østdanmark'!J298</f>
        <v>-16682.651256715202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6349.7199857546993</v>
      </c>
      <c r="J299" s="282">
        <f>'Resultater - Vestdanmark'!J299+'Resultater - Østdanmark'!J299</f>
        <v>8231.1185000523856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432411.76206732308</v>
      </c>
      <c r="J300" s="282">
        <f>'Resultater - Vestdanmark'!J300+'Resultater - Østdanmark'!J300</f>
        <v>430767.2184104817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310380.78625631024</v>
      </c>
      <c r="J301" s="282">
        <f>'Resultater - Vestdanmark'!J301+'Resultater - Østdanmark'!J301</f>
        <v>288228.49967454537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-16043092.427446898</v>
      </c>
      <c r="J302" s="282">
        <f>'Resultater - Vestdanmark'!J302+'Resultater - Østdanmark'!J302</f>
        <v>-14898075.735540375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208440.50793905521</v>
      </c>
      <c r="J303" s="282">
        <f>'Resultater - Vestdanmark'!J303+'Resultater - Østdanmark'!J303</f>
        <v>193563.83363582837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7524.9184400166405</v>
      </c>
      <c r="J304" s="282">
        <f>'Resultater - Vestdanmark'!J304+'Resultater - Østdanmark'!J304</f>
        <v>7699.1484448772626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5401.3102945227929</v>
      </c>
      <c r="J305" s="282">
        <f>'Resultater - Vestdanmark'!J305+'Resultater - Østdanmark'!J305</f>
        <v>5151.5387202095999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-192770.72976778267</v>
      </c>
      <c r="J306" s="282">
        <f>'Resultater - Vestdanmark'!J306+'Resultater - Østdanmark'!J306</f>
        <v>-183856.47636811645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21260.210989265601</v>
      </c>
      <c r="J307" s="282">
        <f>'Resultater - Vestdanmark'!J307+'Resultater - Østdanmark'!J307</f>
        <v>20277.079845253316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3979.7337616855807</v>
      </c>
      <c r="J308" s="282">
        <f>'Resultater - Vestdanmark'!J308+'Resultater - Østdanmark'!J308</f>
        <v>4071.879482356132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2856.6126141833251</v>
      </c>
      <c r="J309" s="282">
        <f>'Resultater - Vestdanmark'!J309+'Resultater - Østdanmark'!J309</f>
        <v>2724.5149210418995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-69306.882177057356</v>
      </c>
      <c r="J310" s="282">
        <f>'Resultater - Vestdanmark'!J310+'Resultater - Østdanmark'!J310</f>
        <v>-66101.939648638509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24680.297882418934</v>
      </c>
      <c r="J311" s="282">
        <f>'Resultater - Vestdanmark'!J311+'Resultater - Østdanmark'!J311</f>
        <v>23539.012431208808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37117.425819073687</v>
      </c>
      <c r="J312" s="282">
        <f>'Resultater - Vestdanmark'!J312+'Resultater - Østdanmark'!J312</f>
        <v>50256.175481222861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26642.512577492525</v>
      </c>
      <c r="J313" s="282">
        <f>'Resultater - Vestdanmark'!J313+'Resultater - Østdanmark'!J313</f>
        <v>33626.658295363617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-1377109.3788877833</v>
      </c>
      <c r="J314" s="282">
        <f>'Resultater - Vestdanmark'!J314+'Resultater - Østdanmark'!J314</f>
        <v>-1738108.8358130436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32531.177539621334</v>
      </c>
      <c r="J315" s="282">
        <f>'Resultater - Vestdanmark'!J315+'Resultater - Østdanmark'!J315</f>
        <v>41058.995013660548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645.92507996674658</v>
      </c>
      <c r="J316" s="282">
        <f>'Resultater - Vestdanmark'!J316+'Resultater - Østdanmark'!J316</f>
        <v>898.23398523568062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463.63848481886413</v>
      </c>
      <c r="J317" s="282">
        <f>'Resultater - Vestdanmark'!J317+'Resultater - Østdanmark'!J317</f>
        <v>601.01285069111998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-16547.082873130483</v>
      </c>
      <c r="J318" s="282">
        <f>'Resultater - Vestdanmark'!J318+'Resultater - Østdanmark'!J318</f>
        <v>-21449.922242946916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3318.0676110414529</v>
      </c>
      <c r="J319" s="282">
        <f>'Resultater - Vestdanmark'!J319+'Resultater - Østdanmark'!J319</f>
        <v>4301.1987550537342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341.61298474584328</v>
      </c>
      <c r="J320" s="282">
        <f>'Resultater - Vestdanmark'!J320+'Resultater - Østdanmark'!J320</f>
        <v>475.05260627488212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245.20634289377099</v>
      </c>
      <c r="J321" s="282">
        <f>'Resultater - Vestdanmark'!J321+'Resultater - Østdanmark'!J321</f>
        <v>317.86007412155504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-5949.174568377467</v>
      </c>
      <c r="J322" s="282">
        <f>'Resultater - Vestdanmark'!J322+'Resultater - Østdanmark'!J322</f>
        <v>-7711.8929590078278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3851.838397834169</v>
      </c>
      <c r="J323" s="282">
        <f>'Resultater - Vestdanmark'!J323+'Resultater - Østdanmark'!J323</f>
        <v>4993.1238490442929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1251384.0274078758</v>
      </c>
      <c r="J324" s="282">
        <f>'Resultater - Vestdanmark'!J324+'Resultater - Østdanmark'!J324</f>
        <v>1246624.7774404201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279388.04278637352</v>
      </c>
      <c r="J325" s="282">
        <f>'Resultater - Vestdanmark'!J325+'Resultater - Østdanmark'!J325</f>
        <v>259447.74923285682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-12254327.333482277</v>
      </c>
      <c r="J326" s="282">
        <f>'Resultater - Vestdanmark'!J326+'Resultater - Østdanmark'!J326</f>
        <v>-11379719.809504025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185750.63356974517</v>
      </c>
      <c r="J327" s="282">
        <f>'Resultater - Vestdanmark'!J327+'Resultater - Østdanmark'!J327</f>
        <v>172493.36556288012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46996.376065825483</v>
      </c>
      <c r="J328" s="282">
        <f>'Resultater - Vestdanmark'!J328+'Resultater - Østdanmark'!J328</f>
        <v>48084.517936817268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10492.5628260426</v>
      </c>
      <c r="J329" s="282">
        <f>'Resultater - Vestdanmark'!J329+'Resultater - Østdanmark'!J329</f>
        <v>10007.357608653347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-345163.21320102591</v>
      </c>
      <c r="J330" s="282">
        <f>'Resultater - Vestdanmark'!J330+'Resultater - Østdanmark'!J330</f>
        <v>-329201.90854433109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40886.997128963179</v>
      </c>
      <c r="J331" s="282">
        <f>'Resultater - Vestdanmark'!J331+'Resultater - Østdanmark'!J331</f>
        <v>38996.268938028465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44931.017565096816</v>
      </c>
      <c r="J332" s="282">
        <f>'Resultater - Vestdanmark'!J332+'Resultater - Østdanmark'!J332</f>
        <v>45971.338662416529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10031.444211346794</v>
      </c>
      <c r="J333" s="282">
        <f>'Resultater - Vestdanmark'!J333+'Resultater - Østdanmark'!J333</f>
        <v>9567.5623981053213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-251424.19894858479</v>
      </c>
      <c r="J334" s="282">
        <f>'Resultater - Vestdanmark'!J334+'Resultater - Østdanmark'!J334</f>
        <v>-239797.64639604904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85802.057932769181</v>
      </c>
      <c r="J335" s="282">
        <f>'Resultater - Vestdanmark'!J335+'Resultater - Østdanmark'!J335</f>
        <v>81834.332710444578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111322.54440350988</v>
      </c>
      <c r="J336" s="282">
        <f>'Resultater - Vestdanmark'!J336+'Resultater - Østdanmark'!J336</f>
        <v>150728.26854506898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24854.231089492998</v>
      </c>
      <c r="J337" s="282">
        <f>'Resultater - Vestdanmark'!J337+'Resultater - Østdanmark'!J337</f>
        <v>31369.591498154507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-1090139.2928456198</v>
      </c>
      <c r="J338" s="282">
        <f>'Resultater - Vestdanmark'!J338+'Resultater - Østdanmark'!J338</f>
        <v>-1375911.5769673046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28989.983273890866</v>
      </c>
      <c r="J339" s="282">
        <f>'Resultater - Vestdanmark'!J339+'Resultater - Østdanmark'!J339</f>
        <v>36589.501786065477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4180.7758823875965</v>
      </c>
      <c r="J340" s="282">
        <f>'Resultater - Vestdanmark'!J340+'Resultater - Østdanmark'!J340</f>
        <v>5813.8553505424516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933.4135369525759</v>
      </c>
      <c r="J341" s="282">
        <f>'Resultater - Vestdanmark'!J341+'Resultater - Østdanmark'!J341</f>
        <v>1209.98051086445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-30705.5598333167</v>
      </c>
      <c r="J342" s="282">
        <f>'Resultater - Vestdanmark'!J342+'Resultater - Østdanmark'!J342</f>
        <v>-39803.503487632755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6381.2076444046597</v>
      </c>
      <c r="J343" s="282">
        <f>'Resultater - Vestdanmark'!J343+'Resultater - Østdanmark'!J343</f>
        <v>8271.9358353393727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3997.0425452418499</v>
      </c>
      <c r="J344" s="282">
        <f>'Resultater - Vestdanmark'!J344+'Resultater - Østdanmark'!J344</f>
        <v>5558.352765546726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892.39263822327825</v>
      </c>
      <c r="J345" s="282">
        <f>'Resultater - Vestdanmark'!J345+'Resultater - Østdanmark'!J345</f>
        <v>1156.8052717709163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-22366.580472940572</v>
      </c>
      <c r="J346" s="282">
        <f>'Resultater - Vestdanmark'!J346+'Resultater - Østdanmark'!J346</f>
        <v>-28993.715427885927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13391.072625345478</v>
      </c>
      <c r="J347" s="282">
        <f>'Resultater - Vestdanmark'!J347+'Resultater - Østdanmark'!J347</f>
        <v>17358.797847670063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822429.07045355951</v>
      </c>
      <c r="J348" s="282">
        <f>'Resultater - Vestdanmark'!J348+'Resultater - Østdanmark'!J348</f>
        <v>819301.2172597656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-1687820.8535427526</v>
      </c>
      <c r="J349" s="282">
        <f>'Resultater - Vestdanmark'!J349+'Resultater - Østdanmark'!J349</f>
        <v>-1567358.850409986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30161.272228486283</v>
      </c>
      <c r="J350" s="282">
        <f>'Resultater - Vestdanmark'!J350+'Resultater - Østdanmark'!J350</f>
        <v>28008.622400721786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15606.173335078131</v>
      </c>
      <c r="J351" s="282">
        <f>'Resultater - Vestdanmark'!J351+'Resultater - Østdanmark'!J351</f>
        <v>15967.514614415682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-24263.329190109031</v>
      </c>
      <c r="J352" s="282">
        <f>'Resultater - Vestdanmark'!J352+'Resultater - Østdanmark'!J352</f>
        <v>-23141.325528138674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2586.8820016263107</v>
      </c>
      <c r="J353" s="282">
        <f>'Resultater - Vestdanmark'!J353+'Resultater - Østdanmark'!J353</f>
        <v>2467.2574003950358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11409.983786663341</v>
      </c>
      <c r="J354" s="282">
        <f>'Resultater - Vestdanmark'!J354+'Resultater - Østdanmark'!J354</f>
        <v>11674.167584329265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-13684.682046904327</v>
      </c>
      <c r="J355" s="282">
        <f>'Resultater - Vestdanmark'!J355+'Resultater - Østdanmark'!J355</f>
        <v>-13051.864379995453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4333.7402801898061</v>
      </c>
      <c r="J356" s="282">
        <f>'Resultater - Vestdanmark'!J356+'Resultater - Østdanmark'!J356</f>
        <v>4133.3361053833396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73162.909793527637</v>
      </c>
      <c r="J357" s="282">
        <f>'Resultater - Vestdanmark'!J357+'Resultater - Østdanmark'!J357</f>
        <v>99060.965359589813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-150147.7626359709</v>
      </c>
      <c r="J358" s="282">
        <f>'Resultater - Vestdanmark'!J358+'Resultater - Østdanmark'!J358</f>
        <v>-189507.9337313892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4707.2505790123105</v>
      </c>
      <c r="J359" s="282">
        <f>'Resultater - Vestdanmark'!J359+'Resultater - Østdanmark'!J359</f>
        <v>5941.2229334864378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1388.3179631609967</v>
      </c>
      <c r="J360" s="282">
        <f>'Resultater - Vestdanmark'!J360+'Resultater - Østdanmark'!J360</f>
        <v>1930.6176761066235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-2158.4545447154796</v>
      </c>
      <c r="J361" s="282">
        <f>'Resultater - Vestdanmark'!J361+'Resultater - Østdanmark'!J361</f>
        <v>-2797.9966320385847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403.73302915555138</v>
      </c>
      <c r="J362" s="282">
        <f>'Resultater - Vestdanmark'!J362+'Resultater - Østdanmark'!J362</f>
        <v>523.3576303868258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1015.0268813684903</v>
      </c>
      <c r="J363" s="282">
        <f>'Resultater - Vestdanmark'!J363+'Resultater - Østdanmark'!J363</f>
        <v>1411.5129897416293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-1217.3829867159398</v>
      </c>
      <c r="J364" s="282">
        <f>'Resultater - Vestdanmark'!J364+'Resultater - Østdanmark'!J364</f>
        <v>-1578.0890568539955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676.36408997181934</v>
      </c>
      <c r="J365" s="282">
        <f>'Resultater - Vestdanmark'!J365+'Resultater - Østdanmark'!J365</f>
        <v>876.76826477828422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154273.20639446744</v>
      </c>
      <c r="J366" s="282">
        <f>'Resultater - Vestdanmark'!J366+'Resultater - Østdanmark'!J366</f>
        <v>153686.47623295739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-708044.93979550339</v>
      </c>
      <c r="J367" s="282">
        <f>'Resultater - Vestdanmark'!J367+'Resultater - Østdanmark'!J367</f>
        <v>-657510.83744882641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11598.332917355026</v>
      </c>
      <c r="J368" s="282">
        <f>'Resultater - Vestdanmark'!J368+'Resultater - Østdanmark'!J368</f>
        <v>10770.544581115051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12777.848929313532</v>
      </c>
      <c r="J369" s="282">
        <f>'Resultater - Vestdanmark'!J369+'Resultater - Østdanmark'!J369</f>
        <v>13073.703920807318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-48870.504300546156</v>
      </c>
      <c r="J370" s="282">
        <f>'Resultater - Vestdanmark'!J370+'Resultater - Østdanmark'!J370</f>
        <v>-46610.596587226108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4342.019836977558</v>
      </c>
      <c r="J371" s="282">
        <f>'Resultater - Vestdanmark'!J371+'Resultater - Østdanmark'!J371</f>
        <v>4141.2327924930469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13451.160805450048</v>
      </c>
      <c r="J372" s="282">
        <f>'Resultater - Vestdanmark'!J372+'Resultater - Østdanmark'!J372</f>
        <v>13762.605485043063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-44096.289420851703</v>
      </c>
      <c r="J373" s="282">
        <f>'Resultater - Vestdanmark'!J373+'Resultater - Østdanmark'!J373</f>
        <v>-42057.154649945267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10473.491365110818</v>
      </c>
      <c r="J374" s="282">
        <f>'Resultater - Vestdanmark'!J374+'Resultater - Østdanmark'!J374</f>
        <v>9989.1680649900845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13724.073100640773</v>
      </c>
      <c r="J375" s="282">
        <f>'Resultater - Vestdanmark'!J375+'Resultater - Østdanmark'!J375</f>
        <v>18582.092126348478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-62987.350424582641</v>
      </c>
      <c r="J376" s="282">
        <f>'Resultater - Vestdanmark'!J376+'Resultater - Østdanmark'!J376</f>
        <v>-79499.037618812639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1810.1444437490504</v>
      </c>
      <c r="J377" s="282">
        <f>'Resultater - Vestdanmark'!J377+'Resultater - Østdanmark'!J377</f>
        <v>2284.6609717516776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1136.711531919857</v>
      </c>
      <c r="J378" s="282">
        <f>'Resultater - Vestdanmark'!J378+'Resultater - Østdanmark'!J378</f>
        <v>1580.7296558794301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-4347.4974634994524</v>
      </c>
      <c r="J379" s="282">
        <f>'Resultater - Vestdanmark'!J379+'Resultater - Østdanmark'!J379</f>
        <v>-5635.644860091882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677.65627513522588</v>
      </c>
      <c r="J380" s="282">
        <f>'Resultater - Vestdanmark'!J380+'Resultater - Østdanmark'!J380</f>
        <v>878.44331961973717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1196.6090450628683</v>
      </c>
      <c r="J381" s="282">
        <f>'Resultater - Vestdanmark'!J381+'Resultater - Østdanmark'!J381</f>
        <v>1664.0241177370244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-3922.7855155312582</v>
      </c>
      <c r="J382" s="282">
        <f>'Resultater - Vestdanmark'!J382+'Resultater - Østdanmark'!J382</f>
        <v>-5085.0923349479272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1634.5911379074687</v>
      </c>
      <c r="J383" s="282">
        <f>'Resultater - Vestdanmark'!J383+'Resultater - Østdanmark'!J383</f>
        <v>2118.9144380282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2115889.3802333996</v>
      </c>
      <c r="J384" s="282">
        <f>'Resultater - Vestdanmark'!J384+'Resultater - Østdanmark'!J384</f>
        <v>2107842.2530178837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-7156553.3246343043</v>
      </c>
      <c r="J385" s="282">
        <f>'Resultater - Vestdanmark'!J385+'Resultater - Østdanmark'!J385</f>
        <v>-6645780.6634230334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281351.93121685996</v>
      </c>
      <c r="J386" s="282">
        <f>'Resultater - Vestdanmark'!J386+'Resultater - Østdanmark'!J386</f>
        <v>261271.4723526889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799165.48722017289</v>
      </c>
      <c r="J387" s="282">
        <f>'Resultater - Vestdanmark'!J387+'Resultater - Østdanmark'!J387</f>
        <v>817669.15710479999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-2252508.44</v>
      </c>
      <c r="J388" s="282">
        <f>'Resultater - Vestdanmark'!J388+'Resultater - Østdanmark'!J388</f>
        <v>-2148346.1999999997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480311.13094922929</v>
      </c>
      <c r="J389" s="282">
        <f>'Resultater - Vestdanmark'!J389+'Resultater - Østdanmark'!J389</f>
        <v>458100.21159897582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721761.95915080293</v>
      </c>
      <c r="J390" s="282">
        <f>'Resultater - Vestdanmark'!J390+'Resultater - Østdanmark'!J390</f>
        <v>738473.44787369971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-1743720.6299999992</v>
      </c>
      <c r="J391" s="282">
        <f>'Resultater - Vestdanmark'!J391+'Resultater - Østdanmark'!J391</f>
        <v>-1663086.1499999994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993979.84917078388</v>
      </c>
      <c r="J392" s="282">
        <f>'Resultater - Vestdanmark'!J392+'Resultater - Østdanmark'!J392</f>
        <v>948015.4630819615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330225.51020983694</v>
      </c>
      <c r="J393" s="282">
        <f>'Resultater - Vestdanmark'!J393+'Resultater - Østdanmark'!J393</f>
        <v>447118.05367046018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-1116918.7269660474</v>
      </c>
      <c r="J394" s="282">
        <f>'Resultater - Vestdanmark'!J394+'Resultater - Østdanmark'!J394</f>
        <v>-1409711.0498170073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43910.41701072381</v>
      </c>
      <c r="J395" s="282">
        <f>'Resultater - Vestdanmark'!J395+'Resultater - Østdanmark'!J395</f>
        <v>55421.221408146135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124725.24945054723</v>
      </c>
      <c r="J396" s="282">
        <f>'Resultater - Vestdanmark'!J396+'Resultater - Østdanmark'!J396</f>
        <v>173444.97271919998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-351547.56</v>
      </c>
      <c r="J397" s="282">
        <f>'Resultater - Vestdanmark'!J397+'Resultater - Østdanmark'!J397</f>
        <v>-455709.79999999993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74961.852807105141</v>
      </c>
      <c r="J398" s="282">
        <f>'Resultater - Vestdanmark'!J398+'Resultater - Østdanmark'!J398</f>
        <v>97172.7721573585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112644.93004087679</v>
      </c>
      <c r="J399" s="282">
        <f>'Resultater - Vestdanmark'!J399+'Resultater - Østdanmark'!J399</f>
        <v>156645.88288229995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-272141.36999999994</v>
      </c>
      <c r="J400" s="282">
        <f>'Resultater - Vestdanmark'!J400+'Resultater - Østdanmark'!J400</f>
        <v>-352775.84999999986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155129.80304977554</v>
      </c>
      <c r="J401" s="282">
        <f>'Resultater - Vestdanmark'!J401+'Resultater - Østdanmark'!J401</f>
        <v>201094.1891385979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792440.79236345144</v>
      </c>
      <c r="J402" s="282">
        <f>'Resultater - Vestdanmark'!J402+'Resultater - Østdanmark'!J402</f>
        <v>871392.37125140009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858477.52506040584</v>
      </c>
      <c r="J403" s="282">
        <f>'Resultater - Vestdanmark'!J403+'Resultater - Østdanmark'!J403</f>
        <v>944008.40218901669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12195000.400000002</v>
      </c>
      <c r="J433" s="282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361184.39999999991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</v>
      </c>
      <c r="J435" s="282">
        <f>'Resultater - Vestdanmark'!J435+'Resultater - Østdanmark'!J435</f>
        <v>4390946.2500000009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186398636.55037829</v>
      </c>
      <c r="J436" s="282">
        <f>'Resultater - Vestdanmark'!J436+'Resultater - Østdanmark'!J436</f>
        <v>178453683.45954177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-197700.60791435605</v>
      </c>
      <c r="J437" s="288">
        <f>'Resultater - Vestdanmark'!J437+'Resultater - Østdanmark'!J437</f>
        <v>-189273.92580456016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176470767.86798525</v>
      </c>
      <c r="J438" s="282">
        <f>'Resultater - Vestdanmark'!J438+'Resultater - Østdanmark'!J438</f>
        <v>173098743.31879258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-368290.17144560063</v>
      </c>
      <c r="J439" s="288">
        <f>'Resultater - Vestdanmark'!J439+'Resultater - Østdanmark'!J439</f>
        <v>-361252.83877943363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106616.1218356334</v>
      </c>
      <c r="J440" s="282">
        <f>'Resultater - Vestdanmark'!J440+'Resultater - Østdanmark'!J440</f>
        <v>110102.449113043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33002600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2165562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31343245.674840964</v>
      </c>
      <c r="J452" s="288">
        <f ca="1">'Resultater - Vestdanmark'!J452+'Resultater - Østdanmark'!J452</f>
        <v>30689860.22411558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9147340.4973796718</v>
      </c>
      <c r="J453" s="288">
        <f>'Resultater - Vestdanmark'!J453+'Resultater - Østdanmark'!J453</f>
        <v>8757449.2808849178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7370331.5185210528</v>
      </c>
      <c r="J454" s="288">
        <f>'Resultater - Vestdanmark'!J454+'Resultater - Østdanmark'!J454</f>
        <v>7229498.3419196242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4792.7518721701181</v>
      </c>
      <c r="J455" s="288">
        <f>'Resultater - Vestdanmark'!J455+'Resultater - Østdanmark'!J455</f>
        <v>4949.4739635210153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199653495.40507355</v>
      </c>
      <c r="J457" s="288">
        <f ca="1">'Resultater - Vestdanmark'!J457+'Resultater - Østdanmark'!J457</f>
        <v>194161164.36692199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136952978.75880575</v>
      </c>
      <c r="J458" s="288">
        <f ca="1">'Resultater - Vestdanmark'!J458+'Resultater - Østdanmark'!J458</f>
        <v>128937606.05353501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21.501926063738726</v>
      </c>
      <c r="J459" s="292">
        <f>'Resultater - Vestdanmark'!J459+'Resultater - Østdanmark'!J459</f>
        <v>19.9498929383027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5.3986394353114884</v>
      </c>
      <c r="J460" s="292">
        <f>'Resultater - Vestdanmark'!J460+'Resultater - Østdanmark'!J460</f>
        <v>5.5346783341970225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3.6166968204461223</v>
      </c>
      <c r="J461" s="292">
        <f>'Resultater - Vestdanmark'!J461+'Resultater - Østdanmark'!J461</f>
        <v>3.7232332203134169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41.501325304246137</v>
      </c>
      <c r="J462" s="292">
        <f>'Resultater - Vestdanmark'!J462+'Resultater - Østdanmark'!J462</f>
        <v>41.450157138327555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25.592772176164615</v>
      </c>
      <c r="J467" s="295">
        <f ca="1">'Resultater - Vestdanmark'!J467+'Resultater - Østdanmark'!J467</f>
        <v>25.408765008948979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241010.68907640575</v>
      </c>
      <c r="J471" s="298">
        <f>'Resultater - Vestdanmark'!J471+'Resultater - Østdanmark'!J471</f>
        <v>247083.85420522426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154246.84100889968</v>
      </c>
      <c r="J472" s="298">
        <f>'Resultater - Vestdanmark'!J472+'Resultater - Østdanmark'!J472</f>
        <v>158133.66669134353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224570.40950584275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160071.93403065077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588648048.8630029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588648048.8630029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588648048.8630029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26962363.95458553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24535385.043044623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2426978.9115409069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O57*IFERROR(VLOOKUP(A57,[1]Tørstofindhold!A$2:B$24,2,FALSE),0)</f>
        <v>247290.58522062816</v>
      </c>
      <c r="V57" s="192">
        <f>IF(D57=År1,P57,SUM(O57,P57))*IFERROR(VLOOKUP(A57,[1]Tørstofindhold!A$2:B$24,2,FALSE),0)</f>
        <v>645229.45798945508</v>
      </c>
      <c r="W57" s="192">
        <f>J57*IFERROR(VLOOKUP(A57,[1]Tørstofindhold!A$2:B$24,2,FALSE),0)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631.66355026272936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202.60906329181853</v>
      </c>
      <c r="O59" s="195">
        <f t="shared" si="1"/>
        <v>202.60906329181853</v>
      </c>
      <c r="P59" s="205">
        <f t="shared" si="10"/>
        <v>7508.4535219909349</v>
      </c>
      <c r="Q59" s="192">
        <f>IFERROR(VLOOKUP(A59,[1]Energiindhold!$A$2:$C$11,3,FALSE),IFERROR(VLOOKUP(A59,[1]Biogasudbytte!$A$2:$B$18,2,FALSE)*[1]Energiindhold!$C$10,0))*O59</f>
        <v>9.528501637550934E-5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3.6264356232326264E-3</v>
      </c>
      <c r="S59" s="192">
        <f>IFERROR(VLOOKUP(A59,[1]Biogasudbytte!$A$2:$B$18,2,FALSE)*[1]Energiindhold!$C$10,0)*J59*IFERROR(VLOOKUP(A59,Biogasanlæg!$F$3:$G$8,2,FALSE),1)</f>
        <v>3.5311506068571169E-3</v>
      </c>
      <c r="T59" s="193">
        <f t="shared" si="11"/>
        <v>9.528501637550953E-5</v>
      </c>
      <c r="U59" s="191">
        <f>O59*IFERROR(VLOOKUP(A59,[1]Tørstofindhold!A$2:B$24,2,FALSE),0)</f>
        <v>12.764370987384567</v>
      </c>
      <c r="V59" s="192">
        <f>IF(D59=År1,P59,SUM(O59,P59))*IFERROR(VLOOKUP(A59,[1]Tørstofindhold!A$2:B$24,2,FALSE),0)</f>
        <v>485.79694287281347</v>
      </c>
      <c r="W59" s="192">
        <f>J59*IFERROR(VLOOKUP(A59,[1]Tørstofindhold!A$2:B$24,2,FALSE),0)</f>
        <v>473.03257188542892</v>
      </c>
      <c r="X59" s="193">
        <f t="shared" si="12"/>
        <v>12.764370987384552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1120053.9852881476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1120053.9852881476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32105.259581147304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-225818.0347967683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28408153.283469509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16103457.277717996</v>
      </c>
      <c r="O64" s="195">
        <f t="shared" si="1"/>
        <v>16103457.277717996</v>
      </c>
      <c r="P64" s="205">
        <f t="shared" si="10"/>
        <v>67006.096493213583</v>
      </c>
      <c r="Q64" s="192">
        <f>IFERROR(VLOOKUP(A64,[1]Energiindhold!$A$2:$C$11,3,FALSE),IFERROR(VLOOKUP(A64,[1]Biogasudbytte!$A$2:$B$18,2,FALSE)*[1]Energiindhold!$C$10,0))*O64</f>
        <v>29.628348458841401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29.751631300626851</v>
      </c>
      <c r="S64" s="192">
        <f>IFERROR(VLOOKUP(A64,[1]Biogasudbytte!$A$2:$B$18,2,FALSE)*[1]Energiindhold!$C$10,0)*J64*IFERROR(VLOOKUP(A64,Biogasanlæg!$F$3:$G$8,2,FALSE),1)</f>
        <v>0.12328284178545135</v>
      </c>
      <c r="T64" s="193">
        <f t="shared" si="11"/>
        <v>29.628348458841401</v>
      </c>
      <c r="U64" s="191">
        <f>O64*IFERROR(VLOOKUP(A64,[1]Tørstofindhold!A$2:B$24,2,FALSE),0)</f>
        <v>4508968.0377610391</v>
      </c>
      <c r="V64" s="192">
        <f>IF(D64=År1,P64,SUM(O64,P64))*IFERROR(VLOOKUP(A64,[1]Tørstofindhold!A$2:B$24,2,FALSE),0)</f>
        <v>4527729.7447791398</v>
      </c>
      <c r="W64" s="192">
        <f>J64*IFERROR(VLOOKUP(A64,[1]Tørstofindhold!A$2:B$24,2,FALSE),0)</f>
        <v>18761.707018099805</v>
      </c>
      <c r="X64" s="193">
        <f t="shared" si="12"/>
        <v>4508968.03776104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217805.88377635827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-52334.829808932322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2966243.8763621217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56224.531227026811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1409958.4975683726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1466183.0287953995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14.897222760854225</v>
      </c>
      <c r="S67" s="192">
        <f>IFERROR(VLOOKUP(A67,[1]Biogasudbytte!$A$2:$B$18,2,FALSE)*[1]Energiindhold!$C$10,0)*J67*IFERROR(VLOOKUP(A67,Biogasanlæg!$F$3:$G$8,2,FALSE),1)</f>
        <v>0.3241647837706722</v>
      </c>
      <c r="T67" s="193">
        <f t="shared" si="11"/>
        <v>14.573057977083552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1246255.5744760896</v>
      </c>
      <c r="W67" s="192">
        <f>J67*IFERROR(VLOOKUP(A67,[1]Tørstofindhold!A$2:B$24,2,FALSE),0)</f>
        <v>47790.851542972785</v>
      </c>
      <c r="X67" s="193">
        <f t="shared" si="12"/>
        <v>1198464.7229331168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O70*IFERROR(VLOOKUP(A70,[1]Tørstofindhold!A$2:B$24,2,FALSE),0)</f>
        <v>0.12191656307782978</v>
      </c>
      <c r="V70" s="192">
        <f>IF(D70=År1,P70,SUM(O70,P70))*IFERROR(VLOOKUP(A70,[1]Tørstofindhold!A$2:B$24,2,FALSE),0)</f>
        <v>219684.11693071382</v>
      </c>
      <c r="W70" s="192">
        <f>J70*IFERROR(VLOOKUP(A70,[1]Tørstofindhold!A$2:B$24,2,FALSE),0)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713505.92728443746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713505.92728443746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1778992.2257450195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1655460.5426482284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5381619.5037339376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-796443.65140400361</v>
      </c>
      <c r="O73" s="195">
        <f t="shared" si="20"/>
        <v>0</v>
      </c>
      <c r="P73" s="205">
        <f t="shared" si="10"/>
        <v>2914.9101192356643</v>
      </c>
      <c r="Q73" s="192">
        <f>IFERROR(VLOOKUP(A73,[1]Energiindhold!$A$2:$C$11,3,FALSE),IFERROR(VLOOKUP(A73,[1]Biogasudbytte!$A$2:$B$18,2,FALSE)*[1]Energiindhold!$C$10,0))*O73</f>
        <v>0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92">
        <f>IFERROR(VLOOKUP(A73,[1]Biogasudbytte!$A$2:$B$18,2,FALSE)*[1]Energiindhold!$C$10,0)*J73*IFERROR(VLOOKUP(A73,Biogasanlæg!$F$3:$G$8,2,FALSE),1)</f>
        <v>9.9831590709654593E-3</v>
      </c>
      <c r="T73" s="193">
        <f t="shared" si="11"/>
        <v>0</v>
      </c>
      <c r="U73" s="191">
        <f>O73*IFERROR(VLOOKUP(A73,[1]Tørstofindhold!A$2:B$24,2,FALSE),0)</f>
        <v>0</v>
      </c>
      <c r="V73" s="192">
        <f>IF(D73=År1,P73,SUM(O73,P73))*IFERROR(VLOOKUP(A73,[1]Tørstofindhold!A$2:B$24,2,FALSE),0)</f>
        <v>903.62213696305594</v>
      </c>
      <c r="W73" s="192">
        <f>J73*IFERROR(VLOOKUP(A73,[1]Tørstofindhold!A$2:B$24,2,FALSE),0)</f>
        <v>903.62213696305594</v>
      </c>
      <c r="X73" s="193">
        <f t="shared" si="12"/>
        <v>0</v>
      </c>
      <c r="Y73" s="171">
        <f t="shared" si="21"/>
        <v>1</v>
      </c>
      <c r="Z73" s="103">
        <f t="shared" si="22"/>
        <v>0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530047.10760776233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-530047.10760776233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860156.65712599526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438193.01400758326</v>
      </c>
      <c r="O75" s="195">
        <f t="shared" si="20"/>
        <v>438193.01400758326</v>
      </c>
      <c r="P75" s="205">
        <f t="shared" si="10"/>
        <v>11685147.040202204</v>
      </c>
      <c r="Q75" s="192">
        <f>IFERROR(VLOOKUP(A75,[1]Energiindhold!$A$2:$C$11,3,FALSE),IFERROR(VLOOKUP(A75,[1]Biogasudbytte!$A$2:$B$18,2,FALSE)*[1]Energiindhold!$C$10,0))*O75</f>
        <v>0.2218089217604986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6.1367135020404531</v>
      </c>
      <c r="S75" s="192">
        <f>IFERROR(VLOOKUP(A75,[1]Biogasudbytte!$A$2:$B$18,2,FALSE)*[1]Energiindhold!$C$10,0)*J75*IFERROR(VLOOKUP(A75,Biogasanlæg!$F$3:$G$8,2,FALSE),1)</f>
        <v>5.9149045802799547</v>
      </c>
      <c r="T75" s="193">
        <f t="shared" si="11"/>
        <v>0.22180892176049838</v>
      </c>
      <c r="U75" s="191">
        <f>O75*IFERROR(VLOOKUP(A75,[1]Tørstofindhold!A$2:B$24,2,FALSE),0)</f>
        <v>33302.66906457633</v>
      </c>
      <c r="V75" s="192">
        <f>IF(D75=År1,P75,SUM(O75,P75))*IFERROR(VLOOKUP(A75,[1]Tørstofindhold!A$2:B$24,2,FALSE),0)</f>
        <v>921373.84411994379</v>
      </c>
      <c r="W75" s="192">
        <f>J75*IFERROR(VLOOKUP(A75,[1]Tørstofindhold!A$2:B$24,2,FALSE),0)</f>
        <v>888071.17505536752</v>
      </c>
      <c r="X75" s="193">
        <f t="shared" si="12"/>
        <v>33302.669064576272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5903489.3992296383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-8780.1411332767457</v>
      </c>
      <c r="O77" s="195">
        <f t="shared" si="20"/>
        <v>0</v>
      </c>
      <c r="P77" s="205">
        <f t="shared" si="10"/>
        <v>255215.75389295255</v>
      </c>
      <c r="Q77" s="192">
        <f>IFERROR(VLOOKUP(A77,[1]Energiindhold!$A$2:$C$11,3,FALSE),IFERROR(VLOOKUP(A77,[1]Biogasudbytte!$A$2:$B$18,2,FALSE)*[1]Energiindhold!$C$10,0))*O77</f>
        <v>0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92">
        <f>IFERROR(VLOOKUP(A77,[1]Biogasudbytte!$A$2:$B$18,2,FALSE)*[1]Energiindhold!$C$10,0)*J77*IFERROR(VLOOKUP(A77,Biogasanlæg!$F$3:$G$8,2,FALSE),1)</f>
        <v>0.91622455647569978</v>
      </c>
      <c r="T77" s="193">
        <f t="shared" si="11"/>
        <v>0</v>
      </c>
      <c r="U77" s="191">
        <f>O77*IFERROR(VLOOKUP(A77,[1]Tørstofindhold!A$2:B$24,2,FALSE),0)</f>
        <v>0</v>
      </c>
      <c r="V77" s="192">
        <f>IF(D77=År1,P77,SUM(O77,P77))*IFERROR(VLOOKUP(A77,[1]Tørstofindhold!A$2:B$24,2,FALSE),0)</f>
        <v>76564.726167885761</v>
      </c>
      <c r="W77" s="192">
        <f>J77*IFERROR(VLOOKUP(A77,[1]Tørstofindhold!A$2:B$24,2,FALSE),0)</f>
        <v>76564.726167885761</v>
      </c>
      <c r="X77" s="193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1025729.6203575714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1025729.6203575714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154484.73733408173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154484.73733408173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2.8425191669471035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64111.165993643925</v>
      </c>
      <c r="W82" s="192">
        <f>J82*IFERROR(VLOOKUP(A82,[1]Tørstofindhold!A$2:B$24,2,FALSE),0)</f>
        <v>0</v>
      </c>
      <c r="X82" s="193">
        <f t="shared" ref="X82:X149" si="26">V82-W82</f>
        <v>64111.165993643925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370490.27594297461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185245.1379714873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-28853.968119774945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118556.88830175188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118556.88830175188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4.1494910905613152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4923583.0761439931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4060487.8771265079</v>
      </c>
      <c r="O89" s="195">
        <f t="shared" si="20"/>
        <v>4060487.8771265079</v>
      </c>
      <c r="P89" s="205">
        <f t="shared" si="24"/>
        <v>21927.581361856195</v>
      </c>
      <c r="Q89" s="192">
        <f>IFERROR(VLOOKUP(A89,[1]Energiindhold!$A$2:$C$11,3,FALSE),IFERROR(VLOOKUP(A89,[1]Biogasudbytte!$A$2:$B$18,2,FALSE)*[1]Energiindhold!$C$10,0))*O89</f>
        <v>11.020326518036427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11.07983885095576</v>
      </c>
      <c r="S89" s="192">
        <f>IFERROR(VLOOKUP(A89,[1]Biogasudbytte!$A$2:$B$18,2,FALSE)*[1]Energiindhold!$C$10,0)*J89*IFERROR(VLOOKUP(A89,Biogasanlæg!$F$3:$G$8,2,FALSE),1)</f>
        <v>5.9512332919332188E-2</v>
      </c>
      <c r="T89" s="193">
        <f t="shared" si="25"/>
        <v>11.020326518036427</v>
      </c>
      <c r="U89" s="191">
        <f>O89*IFERROR(VLOOKUP(A89,[1]Tørstofindhold!A$2:B$24,2,FALSE),0)</f>
        <v>812097.57542530168</v>
      </c>
      <c r="V89" s="192">
        <f>IF(D89=År1,P89,SUM(O89,P89))*IFERROR(VLOOKUP(A89,[1]Tørstofindhold!A$2:B$24,2,FALSE),0)</f>
        <v>816483.09169767285</v>
      </c>
      <c r="W89" s="192">
        <f>J89*IFERROR(VLOOKUP(A89,[1]Tørstofindhold!A$2:B$24,2,FALSE),0)</f>
        <v>4385.5162723712392</v>
      </c>
      <c r="X89" s="193">
        <f t="shared" si="26"/>
        <v>812097.57542530156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O92*IFERROR(VLOOKUP(A92,[1]Tørstofindhold!A$2:B$24,2,FALSE),0)</f>
        <v>148008.59070735812</v>
      </c>
      <c r="V92" s="192">
        <f>IF(D92=År1,P92,SUM(O92,P92))*IFERROR(VLOOKUP(A92,[1]Tørstofindhold!A$2:B$24,2,FALSE),0)</f>
        <v>238434.65985028198</v>
      </c>
      <c r="W92" s="192">
        <f>J92*IFERROR(VLOOKUP(A92,[1]Tørstofindhold!A$2:B$24,2,FALSE),0)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13567349.858292963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92">
        <f>IFERROR(VLOOKUP(A93,[1]Biogasudbytte!$A$2:$B$18,2,FALSE)*[1]Energiindhold!$C$10,0)*J93*IFERROR(VLOOKUP(A93,Biogasanlæg!$F$3:$G$8,2,FALSE),1)</f>
        <v>5.8448143189526096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678367.49291464826</v>
      </c>
      <c r="W93" s="192">
        <f>J93*IFERROR(VLOOKUP(A93,[1]Tørstofindhold!A$2:B$24,2,FALSE),0)</f>
        <v>678367.49291464826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2216341.6308326661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2216341.6308326661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2216341.6308326661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32.122700134129985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32.122700134129985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1096165.6315826562</v>
      </c>
      <c r="W97" s="192">
        <f>J97*IFERROR(VLOOKUP(A97,[1]Tørstofindhold!A$2:B$24,2,FALSE),0)</f>
        <v>0</v>
      </c>
      <c r="X97" s="193">
        <f t="shared" si="26"/>
        <v>1096165.6315826562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613803.17949896643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613803.17949896643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229440.63810667559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164942.1626314836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582772822.43758857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582772822.43758857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582772822.43758857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26332104.996966466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23798796.499221969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2533308.4977444969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O105*IFERROR(VLOOKUP(A105,[1]Tørstofindhold!A$2:B$24,2,FALSE),0)</f>
        <v>258947.20961668508</v>
      </c>
      <c r="V105" s="192">
        <f>IF(D105=År1,P105,SUM(O105,P105))*IFERROR(VLOOKUP(A105,[1]Tørstofindhold!A$2:B$24,2,FALSE),0)</f>
        <v>675643.8687699713</v>
      </c>
      <c r="W105" s="192">
        <f>J105*IFERROR(VLOOKUP(A105,[1]Tørstofindhold!A$2:B$24,2,FALSE),0)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652.318830416526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209.23434183171594</v>
      </c>
      <c r="O107" s="195">
        <f t="shared" si="20"/>
        <v>209.23434183171594</v>
      </c>
      <c r="P107" s="205">
        <f t="shared" si="24"/>
        <v>7753.9785502341792</v>
      </c>
      <c r="Q107" s="192">
        <f>IFERROR(VLOOKUP(A107,[1]Energiindhold!$A$2:$C$11,3,FALSE),IFERROR(VLOOKUP(A107,[1]Biogasudbytte!$A$2:$B$18,2,FALSE)*[1]Energiindhold!$C$10,0))*O107</f>
        <v>9.840081862003769E-5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3.74501939100967E-3</v>
      </c>
      <c r="S107" s="192">
        <f>IFERROR(VLOOKUP(A107,[1]Biogasudbytte!$A$2:$B$18,2,FALSE)*[1]Energiindhold!$C$10,0)*J107*IFERROR(VLOOKUP(A107,Biogasanlæg!$F$3:$G$8,2,FALSE),1)</f>
        <v>3.6466185723896321E-3</v>
      </c>
      <c r="T107" s="193">
        <f t="shared" si="25"/>
        <v>9.8400818620037866E-5</v>
      </c>
      <c r="U107" s="191">
        <f>O107*IFERROR(VLOOKUP(A107,[1]Tørstofindhold!A$2:B$24,2,FALSE),0)</f>
        <v>13.181763535398105</v>
      </c>
      <c r="V107" s="192">
        <f>IF(D107=År1,P107,SUM(O107,P107))*IFERROR(VLOOKUP(A107,[1]Tørstofindhold!A$2:B$24,2,FALSE),0)</f>
        <v>501.68241220015142</v>
      </c>
      <c r="W107" s="192">
        <f>J107*IFERROR(VLOOKUP(A107,[1]Tørstofindhold!A$2:B$24,2,FALSE),0)</f>
        <v>488.50064866475327</v>
      </c>
      <c r="X107" s="193">
        <f t="shared" si="26"/>
        <v>13.181763535398147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1145476.8591293055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1145476.8591293055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32793.097303413146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-235185.82304760831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29404263.983943939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66758.668734263701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17099815.405951377</v>
      </c>
      <c r="O112" s="195">
        <f t="shared" si="20"/>
        <v>17099815.405951377</v>
      </c>
      <c r="P112" s="205">
        <f t="shared" si="24"/>
        <v>66758.668734263701</v>
      </c>
      <c r="Q112" s="192">
        <f>IFERROR(VLOOKUP(A112,[1]Energiindhold!$A$2:$C$11,3,FALSE),IFERROR(VLOOKUP(A112,[1]Biogasudbytte!$A$2:$B$18,2,FALSE)*[1]Energiindhold!$C$10,0))*O112</f>
        <v>31.46152287002479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31.584350475662244</v>
      </c>
      <c r="S112" s="192">
        <f>IFERROR(VLOOKUP(A112,[1]Biogasudbytte!$A$2:$B$18,2,FALSE)*[1]Energiindhold!$C$10,0)*J112*IFERROR(VLOOKUP(A112,Biogasanlæg!$F$3:$G$8,2,FALSE),1)</f>
        <v>0.12282760563745343</v>
      </c>
      <c r="T112" s="193">
        <f t="shared" si="25"/>
        <v>31.46152287002479</v>
      </c>
      <c r="U112" s="191">
        <f>O112*IFERROR(VLOOKUP(A112,[1]Tørstofindhold!A$2:B$24,2,FALSE),0)</f>
        <v>4787948.3136663856</v>
      </c>
      <c r="V112" s="192">
        <f>IF(D112=År1,P112,SUM(O112,P112))*IFERROR(VLOOKUP(A112,[1]Tørstofindhold!A$2:B$24,2,FALSE),0)</f>
        <v>4806640.7409119802</v>
      </c>
      <c r="W112" s="192">
        <f>J112*IFERROR(VLOOKUP(A112,[1]Tørstofindhold!A$2:B$24,2,FALSE),0)</f>
        <v>18692.427245593837</v>
      </c>
      <c r="X112" s="193">
        <f t="shared" si="26"/>
        <v>4787948.3136663865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220830.77573350482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-59841.882949933439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2835213.6153094829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55778.456419553964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1282335.7597468863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1338114.2161664404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13.575566996115745</v>
      </c>
      <c r="S115" s="192">
        <f>IFERROR(VLOOKUP(A115,[1]Biogasudbytte!$A$2:$B$18,2,FALSE)*[1]Energiindhold!$C$10,0)*J115*IFERROR(VLOOKUP(A115,Biogasanlæg!$F$3:$G$8,2,FALSE),1)</f>
        <v>0.3215929216251952</v>
      </c>
      <c r="T115" s="193">
        <f t="shared" si="25"/>
        <v>13.25397407449055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1137397.0837414742</v>
      </c>
      <c r="W115" s="192">
        <f>J115*IFERROR(VLOOKUP(A115,[1]Tørstofindhold!A$2:B$24,2,FALSE),0)</f>
        <v>47411.687956620866</v>
      </c>
      <c r="X115" s="193">
        <f t="shared" si="26"/>
        <v>1089985.3957848533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218272.80429387951</v>
      </c>
      <c r="W118" s="192">
        <f>J118*IFERROR(VLOOKUP(A118,[1]Tørstofindhold!A$2:B$24,2,FALSE),0)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729011.95091777691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729011.95091777691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1818589.8087592444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1690242.0100648077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5523408.7197105791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2901.770538547059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-666178.80354213156</v>
      </c>
      <c r="O121" s="195">
        <f t="shared" si="20"/>
        <v>0</v>
      </c>
      <c r="P121" s="205">
        <f t="shared" si="24"/>
        <v>2901.770538547059</v>
      </c>
      <c r="Q121" s="192">
        <f>IFERROR(VLOOKUP(A121,[1]Energiindhold!$A$2:$C$11,3,FALSE),IFERROR(VLOOKUP(A121,[1]Biogasudbytte!$A$2:$B$18,2,FALSE)*[1]Energiindhold!$C$10,0))*O121</f>
        <v>0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9.9381578466482823E-3</v>
      </c>
      <c r="S121" s="192">
        <f>IFERROR(VLOOKUP(A121,[1]Biogasudbytte!$A$2:$B$18,2,FALSE)*[1]Energiindhold!$C$10,0)*J121*IFERROR(VLOOKUP(A121,Biogasanlæg!$F$3:$G$8,2,FALSE),1)</f>
        <v>9.9381578466482823E-3</v>
      </c>
      <c r="T121" s="193">
        <f t="shared" si="25"/>
        <v>0</v>
      </c>
      <c r="U121" s="191">
        <f>O121*IFERROR(VLOOKUP(A121,[1]Tørstofindhold!A$2:B$24,2,FALSE),0)</f>
        <v>0</v>
      </c>
      <c r="V121" s="192">
        <f>IF(D121=År1,P121,SUM(O121,P121))*IFERROR(VLOOKUP(A121,[1]Tørstofindhold!A$2:B$24,2,FALSE),0)</f>
        <v>899.54886694958827</v>
      </c>
      <c r="W121" s="192">
        <f>J121*IFERROR(VLOOKUP(A121,[1]Tørstofindhold!A$2:B$24,2,FALSE),0)</f>
        <v>899.54886694958827</v>
      </c>
      <c r="X121" s="193">
        <f t="shared" si="26"/>
        <v>0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489943.23944018129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-489943.23944018129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843720.68079392554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429819.96946105547</v>
      </c>
      <c r="O123" s="195">
        <f t="shared" si="20"/>
        <v>429819.96946105547</v>
      </c>
      <c r="P123" s="205">
        <f t="shared" si="24"/>
        <v>11461865.852294842</v>
      </c>
      <c r="Q123" s="192">
        <f>IFERROR(VLOOKUP(A123,[1]Energiindhold!$A$2:$C$11,3,FALSE),IFERROR(VLOOKUP(A123,[1]Biogasudbytte!$A$2:$B$18,2,FALSE)*[1]Energiindhold!$C$10,0))*O123</f>
        <v>0.21757057034149169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6.0194524461146184</v>
      </c>
      <c r="S123" s="192">
        <f>IFERROR(VLOOKUP(A123,[1]Biogasudbytte!$A$2:$B$18,2,FALSE)*[1]Energiindhold!$C$10,0)*J123*IFERROR(VLOOKUP(A123,Biogasanlæg!$F$3:$G$8,2,FALSE),1)</f>
        <v>5.8018818757731268</v>
      </c>
      <c r="T123" s="193">
        <f t="shared" si="25"/>
        <v>0.21757057034149163</v>
      </c>
      <c r="U123" s="191">
        <f>O123*IFERROR(VLOOKUP(A123,[1]Tørstofindhold!A$2:B$24,2,FALSE),0)</f>
        <v>32666.317679040214</v>
      </c>
      <c r="V123" s="192">
        <f>IF(D123=År1,P123,SUM(O123,P123))*IFERROR(VLOOKUP(A123,[1]Tørstofindhold!A$2:B$24,2,FALSE),0)</f>
        <v>903768.12245344813</v>
      </c>
      <c r="W123" s="192">
        <f>J123*IFERROR(VLOOKUP(A123,[1]Tørstofindhold!A$2:B$24,2,FALSE),0)</f>
        <v>871101.804774408</v>
      </c>
      <c r="X123" s="193">
        <f t="shared" si="26"/>
        <v>32666.317679040134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6101831.6290168501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254098.83749353027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190679.00505335722</v>
      </c>
      <c r="O125" s="195">
        <f t="shared" si="20"/>
        <v>190679.00505335722</v>
      </c>
      <c r="P125" s="205">
        <f t="shared" si="24"/>
        <v>254098.83749353027</v>
      </c>
      <c r="Q125" s="192">
        <f>IFERROR(VLOOKUP(A125,[1]Energiindhold!$A$2:$C$11,3,FALSE),IFERROR(VLOOKUP(A125,[1]Biogasudbytte!$A$2:$B$18,2,FALSE)*[1]Energiindhold!$C$10,0))*O125</f>
        <v>0.6845376281415525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1.5967524547433263</v>
      </c>
      <c r="S125" s="192">
        <f>IFERROR(VLOOKUP(A125,[1]Biogasudbytte!$A$2:$B$18,2,FALSE)*[1]Energiindhold!$C$10,0)*J125*IFERROR(VLOOKUP(A125,Biogasanlæg!$F$3:$G$8,2,FALSE),1)</f>
        <v>0.91221482660177378</v>
      </c>
      <c r="T125" s="193">
        <f t="shared" si="25"/>
        <v>0.6845376281415525</v>
      </c>
      <c r="U125" s="191">
        <f>O125*IFERROR(VLOOKUP(A125,[1]Tørstofindhold!A$2:B$24,2,FALSE),0)</f>
        <v>57203.701516007168</v>
      </c>
      <c r="V125" s="192">
        <f>IF(D125=År1,P125,SUM(O125,P125))*IFERROR(VLOOKUP(A125,[1]Tørstofindhold!A$2:B$24,2,FALSE),0)</f>
        <v>133433.35276406622</v>
      </c>
      <c r="W125" s="192">
        <f>J125*IFERROR(VLOOKUP(A125,[1]Tørstofindhold!A$2:B$24,2,FALSE),0)</f>
        <v>76229.651248059075</v>
      </c>
      <c r="X125" s="193">
        <f t="shared" si="26"/>
        <v>57203.701516007146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1048609.453845398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1048609.453845398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158491.06742829576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158491.06742829576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158491.06742829576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2.9162356406806413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2.9162356406806413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65773.792982742743</v>
      </c>
      <c r="W130" s="192">
        <f>J130*IFERROR(VLOOKUP(A130,[1]Tørstofindhold!A$2:B$24,2,FALSE),0)</f>
        <v>0</v>
      </c>
      <c r="X130" s="193">
        <f t="shared" si="26"/>
        <v>65773.792982742743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378080.80621229054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378080.80621229054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189040.40310614527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-25058.702985116979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120985.85798793298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120985.85798793298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120985.85798793298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4.2345050295776536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4.2345050295776536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5024574.3595380196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21821.426523041016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4161585.3153593498</v>
      </c>
      <c r="O137" s="195">
        <f t="shared" si="39"/>
        <v>4161585.3153593498</v>
      </c>
      <c r="P137" s="205">
        <f t="shared" si="24"/>
        <v>21821.426523041016</v>
      </c>
      <c r="Q137" s="192">
        <f>IFERROR(VLOOKUP(A137,[1]Energiindhold!$A$2:$C$11,3,FALSE),IFERROR(VLOOKUP(A137,[1]Biogasudbytte!$A$2:$B$18,2,FALSE)*[1]Energiindhold!$C$10,0))*O137</f>
        <v>11.29470900929789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11.353933233738484</v>
      </c>
      <c r="S137" s="192">
        <f>IFERROR(VLOOKUP(A137,[1]Biogasudbytte!$A$2:$B$18,2,FALSE)*[1]Energiindhold!$C$10,0)*J137*IFERROR(VLOOKUP(A137,Biogasanlæg!$F$3:$G$8,2,FALSE),1)</f>
        <v>5.9224224440594241E-2</v>
      </c>
      <c r="T137" s="193">
        <f t="shared" si="25"/>
        <v>11.29470900929789</v>
      </c>
      <c r="U137" s="191">
        <f>O137*IFERROR(VLOOKUP(A137,[1]Tørstofindhold!A$2:B$24,2,FALSE),0)</f>
        <v>832317.06307187001</v>
      </c>
      <c r="V137" s="192">
        <f>IF(D137=År1,P137,SUM(O137,P137))*IFERROR(VLOOKUP(A137,[1]Tørstofindhold!A$2:B$24,2,FALSE),0)</f>
        <v>836681.34837647818</v>
      </c>
      <c r="W137" s="192">
        <f>J137*IFERROR(VLOOKUP(A137,[1]Tørstofindhold!A$2:B$24,2,FALSE),0)</f>
        <v>4364.2853046082037</v>
      </c>
      <c r="X137" s="193">
        <f t="shared" si="26"/>
        <v>832317.06307187001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O140*IFERROR(VLOOKUP(A140,[1]Tørstofindhold!A$2:B$24,2,FALSE),0)</f>
        <v>153517.94096865808</v>
      </c>
      <c r="V140" s="192">
        <f>IF(D140=År1,P140,SUM(O140,P140))*IFERROR(VLOOKUP(A140,[1]Tørstofindhold!A$2:B$24,2,FALSE),0)</f>
        <v>247309.9558670274</v>
      </c>
      <c r="W140" s="192">
        <f>J140*IFERROR(VLOOKUP(A140,[1]Tørstofindhold!A$2:B$24,2,FALSE),0)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12989062.590821605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92">
        <f>IFERROR(VLOOKUP(A141,[1]Biogasudbytte!$A$2:$B$18,2,FALSE)*[1]Energiindhold!$C$10,0)*J141*IFERROR(VLOOKUP(A141,Biogasanlæg!$F$3:$G$8,2,FALSE),1)</f>
        <v>5.5956881641259484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649453.12954108033</v>
      </c>
      <c r="W141" s="192">
        <f>J141*IFERROR(VLOOKUP(A141,[1]Tørstofindhold!A$2:B$24,2,FALSE),0)</f>
        <v>649453.12954108033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2235295.9759470159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2235295.9759470159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2235295.9759470159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32.397416241013886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32.397416241013886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1105540.1347704616</v>
      </c>
      <c r="W145" s="192">
        <f>J145*IFERROR(VLOOKUP(A145,[1]Tørstofindhold!A$2:B$24,2,FALSE),0)</f>
        <v>0</v>
      </c>
      <c r="X145" s="193">
        <f t="shared" si="26"/>
        <v>1105540.1347704616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687223.1739007252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687223.1739007252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66320.575580958233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58403.958827218135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124808531.78166662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124808531.78166662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124808531.78166662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4380881.7202554364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3986542.8719658842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394338.84828955214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O201*IFERROR(VLOOKUP(A201,[1]Tørstofindhold!A$2:B$24,2,FALSE),0)</f>
        <v>33375.851286985482</v>
      </c>
      <c r="V201" s="192">
        <f>IF(D201=År1,P201,SUM(O201,P201))*IFERROR(VLOOKUP(A201,[1]Tørstofindhold!A$2:B$24,2,FALSE),0)</f>
        <v>87084.117725812714</v>
      </c>
      <c r="W201" s="192">
        <f>J201*IFERROR(VLOOKUP(A201,[1]Tørstofindhold!A$2:B$24,2,FALSE),0)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53.01528861871612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17.004903896569317</v>
      </c>
      <c r="O203" s="195">
        <f t="shared" si="59"/>
        <v>17.004903896569317</v>
      </c>
      <c r="P203" s="205">
        <f t="shared" si="49"/>
        <v>630.18173263756921</v>
      </c>
      <c r="Q203" s="192">
        <f>IFERROR(VLOOKUP(A203,[1]Energiindhold!$A$2:$C$11,3,FALSE),IFERROR(VLOOKUP(A203,[1]Biogasudbytte!$A$2:$B$18,2,FALSE)*[1]Energiindhold!$C$10,0))*O203</f>
        <v>7.997236253517585E-6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3.0436540329564001E-4</v>
      </c>
      <c r="S203" s="192">
        <f>IFERROR(VLOOKUP(A203,[1]Biogasudbytte!$A$2:$B$18,2,FALSE)*[1]Energiindhold!$C$10,0)*J203*IFERROR(VLOOKUP(A203,Biogasanlæg!$F$3:$G$8,2,FALSE),1)</f>
        <v>2.9636816704212241E-4</v>
      </c>
      <c r="T203" s="193">
        <f t="shared" si="50"/>
        <v>7.9972362535176019E-6</v>
      </c>
      <c r="U203" s="191">
        <f>O203*IFERROR(VLOOKUP(A203,[1]Tørstofindhold!A$2:B$24,2,FALSE),0)</f>
        <v>1.0713089454838669</v>
      </c>
      <c r="V203" s="192">
        <f>IF(D203=År1,P203,SUM(O203,P203))*IFERROR(VLOOKUP(A203,[1]Tørstofindhold!A$2:B$24,2,FALSE),0)</f>
        <v>40.77275810165073</v>
      </c>
      <c r="W203" s="192">
        <f>J203*IFERROR(VLOOKUP(A203,[1]Tørstofindhold!A$2:B$24,2,FALSE),0)</f>
        <v>39.701449156166859</v>
      </c>
      <c r="X203" s="193">
        <f t="shared" si="51"/>
        <v>1.0713089454838709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342757.79858178977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342757.79858178977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9754.2866982633659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-213569.65595504592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7915785.5258047525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6395046.5462862514</v>
      </c>
      <c r="O208" s="195">
        <f t="shared" si="59"/>
        <v>6395046.5462862514</v>
      </c>
      <c r="P208" s="205">
        <f t="shared" si="49"/>
        <v>18670.90350678641</v>
      </c>
      <c r="Q208" s="192">
        <f>IFERROR(VLOOKUP(A208,[1]Energiindhold!$A$2:$C$11,3,FALSE),IFERROR(VLOOKUP(A208,[1]Biogasudbytte!$A$2:$B$18,2,FALSE)*[1]Energiindhold!$C$10,0))*O208</f>
        <v>11.766086264348418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11.800438392937966</v>
      </c>
      <c r="S208" s="192">
        <f>IFERROR(VLOOKUP(A208,[1]Biogasudbytte!$A$2:$B$18,2,FALSE)*[1]Energiindhold!$C$10,0)*J208*IFERROR(VLOOKUP(A208,Biogasanlæg!$F$3:$G$8,2,FALSE),1)</f>
        <v>3.4352128589548649E-2</v>
      </c>
      <c r="T208" s="193">
        <f t="shared" si="50"/>
        <v>11.766086264348418</v>
      </c>
      <c r="U208" s="191">
        <f>O208*IFERROR(VLOOKUP(A208,[1]Tørstofindhold!A$2:B$24,2,FALSE),0)</f>
        <v>1790613.0329601506</v>
      </c>
      <c r="V208" s="192">
        <f>IF(D208=År1,P208,SUM(O208,P208))*IFERROR(VLOOKUP(A208,[1]Tørstofindhold!A$2:B$24,2,FALSE),0)</f>
        <v>1795840.8859420507</v>
      </c>
      <c r="W208" s="192">
        <f>J208*IFERROR(VLOOKUP(A208,[1]Tørstofindhold!A$2:B$24,2,FALSE),0)</f>
        <v>5227.8529819001951</v>
      </c>
      <c r="X208" s="193">
        <f t="shared" si="51"/>
        <v>1790613.0329601506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66219.734583524318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-167682.71061652066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888494.96140285372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19709.468772973203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670375.18499359523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690084.6537665684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7.0425038172445023</v>
      </c>
      <c r="S211" s="192">
        <f>IFERROR(VLOOKUP(A211,[1]Biogasudbytte!$A$2:$B$18,2,FALSE)*[1]Energiindhold!$C$10,0)*J211*IFERROR(VLOOKUP(A211,Biogasanlæg!$F$3:$G$8,2,FALSE),1)</f>
        <v>0.11363573058932792</v>
      </c>
      <c r="T211" s="193">
        <f t="shared" si="50"/>
        <v>6.9288680866551742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586571.95570158318</v>
      </c>
      <c r="W211" s="192">
        <f>J211*IFERROR(VLOOKUP(A211,[1]Tørstofindhold!A$2:B$24,2,FALSE),0)</f>
        <v>16753.048457027224</v>
      </c>
      <c r="X211" s="193">
        <f t="shared" si="51"/>
        <v>569818.907244556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O214*IFERROR(VLOOKUP(A214,[1]Tørstofindhold!A$2:B$24,2,FALSE),0)</f>
        <v>4.7295399101567451E-2</v>
      </c>
      <c r="V214" s="192">
        <f>IF(D214=År1,P214,SUM(O214,P214))*IFERROR(VLOOKUP(A214,[1]Tørstofindhold!A$2:B$24,2,FALSE),0)</f>
        <v>85222.612281248264</v>
      </c>
      <c r="W214" s="192">
        <f>J214*IFERROR(VLOOKUP(A214,[1]Tørstofindhold!A$2:B$24,2,FALSE),0)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211505.55492892067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211505.55492892067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515263.04540454788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408302.63076533133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1608239.7398434528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629512.20279180899</v>
      </c>
      <c r="O217" s="195">
        <f t="shared" si="59"/>
        <v>0</v>
      </c>
      <c r="P217" s="205">
        <f t="shared" si="63"/>
        <v>871.08988076433457</v>
      </c>
      <c r="Q217" s="192">
        <f>IFERROR(VLOOKUP(A217,[1]Energiindhold!$A$2:$C$11,3,FALSE),IFERROR(VLOOKUP(A217,[1]Biogasudbytte!$A$2:$B$18,2,FALSE)*[1]Energiindhold!$C$10,0))*O217</f>
        <v>0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92">
        <f>IFERROR(VLOOKUP(A217,[1]Biogasudbytte!$A$2:$B$18,2,FALSE)*[1]Energiindhold!$C$10,0)*J217*IFERROR(VLOOKUP(A217,Biogasanlæg!$F$3:$G$8,2,FALSE),1)</f>
        <v>2.9833608890345396E-3</v>
      </c>
      <c r="T217" s="193">
        <f t="shared" si="64"/>
        <v>0</v>
      </c>
      <c r="U217" s="191">
        <f>O217*IFERROR(VLOOKUP(A217,[1]Tørstofindhold!A$2:B$24,2,FALSE),0)</f>
        <v>0</v>
      </c>
      <c r="V217" s="192">
        <f>IF(D217=År1,P217,SUM(O217,P217))*IFERROR(VLOOKUP(A217,[1]Tørstofindhold!A$2:B$24,2,FALSE),0)</f>
        <v>270.03786303694369</v>
      </c>
      <c r="W217" s="192">
        <f>J217*IFERROR(VLOOKUP(A217,[1]Tørstofindhold!A$2:B$24,2,FALSE),0)</f>
        <v>270.03786303694369</v>
      </c>
      <c r="X217" s="193">
        <f t="shared" si="65"/>
        <v>0</v>
      </c>
      <c r="Y217" s="171">
        <f t="shared" si="60"/>
        <v>1</v>
      </c>
      <c r="Z217" s="103">
        <f t="shared" si="61"/>
        <v>0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325909.00963477371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-325909.00963477371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61134.782689136329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31144.134577484569</v>
      </c>
      <c r="O219" s="195">
        <f t="shared" si="59"/>
        <v>31144.134577484569</v>
      </c>
      <c r="P219" s="205">
        <f t="shared" si="63"/>
        <v>830510.25539958803</v>
      </c>
      <c r="Q219" s="192">
        <f>IFERROR(VLOOKUP(A219,[1]Energiindhold!$A$2:$C$11,3,FALSE),IFERROR(VLOOKUP(A219,[1]Biogasudbytte!$A$2:$B$18,2,FALSE)*[1]Energiindhold!$C$10,0))*O219</f>
        <v>1.5764849481776914E-2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0.43616083566249442</v>
      </c>
      <c r="S219" s="192">
        <f>IFERROR(VLOOKUP(A219,[1]Biogasudbytte!$A$2:$B$18,2,FALSE)*[1]Energiindhold!$C$10,0)*J219*IFERROR(VLOOKUP(A219,Biogasanlæg!$F$3:$G$8,2,FALSE),1)</f>
        <v>0.4203959861807175</v>
      </c>
      <c r="T219" s="193">
        <f t="shared" si="64"/>
        <v>1.5764849481776921E-2</v>
      </c>
      <c r="U219" s="191">
        <f>O219*IFERROR(VLOOKUP(A219,[1]Tørstofindhold!A$2:B$24,2,FALSE),0)</f>
        <v>2366.9542278888271</v>
      </c>
      <c r="V219" s="192">
        <f>IF(D219=År1,P219,SUM(O219,P219))*IFERROR(VLOOKUP(A219,[1]Tørstofindhold!A$2:B$24,2,FALSE),0)</f>
        <v>65485.733638257516</v>
      </c>
      <c r="W219" s="192">
        <f>J219*IFERROR(VLOOKUP(A219,[1]Tørstofindhold!A$2:B$24,2,FALSE),0)</f>
        <v>63118.77941036869</v>
      </c>
      <c r="X219" s="193">
        <f t="shared" si="65"/>
        <v>2366.9542278888257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1730463.2966817433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961299.78946540831</v>
      </c>
      <c r="O221" s="195">
        <f t="shared" si="59"/>
        <v>952519.64833213156</v>
      </c>
      <c r="P221" s="205">
        <f t="shared" si="63"/>
        <v>74810.246107047482</v>
      </c>
      <c r="Q221" s="192">
        <f>IFERROR(VLOOKUP(A221,[1]Energiindhold!$A$2:$C$11,3,FALSE),IFERROR(VLOOKUP(A221,[1]Biogasudbytte!$A$2:$B$18,2,FALSE)*[1]Energiindhold!$C$10,0))*O221</f>
        <v>3.4195455375123527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3.6881143210366529</v>
      </c>
      <c r="S221" s="192">
        <f>IFERROR(VLOOKUP(A221,[1]Biogasudbytte!$A$2:$B$18,2,FALSE)*[1]Energiindhold!$C$10,0)*J221*IFERROR(VLOOKUP(A221,Biogasanlæg!$F$3:$G$8,2,FALSE),1)</f>
        <v>0.26856878352430047</v>
      </c>
      <c r="T221" s="193">
        <f t="shared" si="64"/>
        <v>3.4195455375123522</v>
      </c>
      <c r="U221" s="191">
        <f>O221*IFERROR(VLOOKUP(A221,[1]Tørstofindhold!A$2:B$24,2,FALSE),0)</f>
        <v>285755.89449963946</v>
      </c>
      <c r="V221" s="192">
        <f>IF(D221=År1,P221,SUM(O221,P221))*IFERROR(VLOOKUP(A221,[1]Tørstofindhold!A$2:B$24,2,FALSE),0)</f>
        <v>308198.96833175368</v>
      </c>
      <c r="W221" s="192">
        <f>J221*IFERROR(VLOOKUP(A221,[1]Tørstofindhold!A$2:B$24,2,FALSE),0)</f>
        <v>22443.073832114245</v>
      </c>
      <c r="X221" s="193">
        <f t="shared" si="65"/>
        <v>285755.89449963946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301497.09442768525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301497.09442768525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42074.872472772768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42074.872472772768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0.77417765349901879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17461.0720762007</v>
      </c>
      <c r="W226" s="192">
        <f>J226*IFERROR(VLOOKUP(A226,[1]Tørstofindhold!A$2:B$24,2,FALSE),0)</f>
        <v>0</v>
      </c>
      <c r="X226" s="193">
        <f t="shared" si="65"/>
        <v>17461.0720762007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111531.10220983687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55765.551104918435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29486.781602920059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35689.952707147801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35689.952707147801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1.249148344750173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1508318.1394402247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1398354.8439720538</v>
      </c>
      <c r="O233" s="195">
        <f t="shared" si="59"/>
        <v>1398354.8439720538</v>
      </c>
      <c r="P233" s="205">
        <f t="shared" si="63"/>
        <v>6717.4186381438076</v>
      </c>
      <c r="Q233" s="192">
        <f>IFERROR(VLOOKUP(A233,[1]Energiindhold!$A$2:$C$11,3,FALSE),IFERROR(VLOOKUP(A233,[1]Biogasudbytte!$A$2:$B$18,2,FALSE)*[1]Energiindhold!$C$10,0))*O233</f>
        <v>3.795190980733913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3.813422323614581</v>
      </c>
      <c r="S233" s="192">
        <f>IFERROR(VLOOKUP(A233,[1]Biogasudbytte!$A$2:$B$18,2,FALSE)*[1]Energiindhold!$C$10,0)*J233*IFERROR(VLOOKUP(A233,Biogasanlæg!$F$3:$G$8,2,FALSE),1)</f>
        <v>1.8231342880667821E-2</v>
      </c>
      <c r="T233" s="193">
        <f t="shared" si="64"/>
        <v>3.795190980733913</v>
      </c>
      <c r="U233" s="191">
        <f>O233*IFERROR(VLOOKUP(A233,[1]Tørstofindhold!A$2:B$24,2,FALSE),0)</f>
        <v>279670.96879441076</v>
      </c>
      <c r="V233" s="192">
        <f>IF(D233=År1,P233,SUM(O233,P233))*IFERROR(VLOOKUP(A233,[1]Tørstofindhold!A$2:B$24,2,FALSE),0)</f>
        <v>281014.45252203959</v>
      </c>
      <c r="W233" s="192">
        <f>J233*IFERROR(VLOOKUP(A233,[1]Tørstofindhold!A$2:B$24,2,FALSE),0)</f>
        <v>1343.4837276287617</v>
      </c>
      <c r="X233" s="193">
        <f t="shared" si="65"/>
        <v>279670.96879441082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O236*IFERROR(VLOOKUP(A236,[1]Tørstofindhold!A$2:B$24,2,FALSE),0)</f>
        <v>124549.52653292398</v>
      </c>
      <c r="V236" s="192">
        <f>IF(D236=År1,P236,SUM(O236,P236))*IFERROR(VLOOKUP(A236,[1]Tørstofindhold!A$2:B$24,2,FALSE),0)</f>
        <v>200643.245445854</v>
      </c>
      <c r="W236" s="192">
        <f>J236*IFERROR(VLOOKUP(A236,[1]Tørstofindhold!A$2:B$24,2,FALSE),0)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1965869.8542385614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92">
        <f>IFERROR(VLOOKUP(A237,[1]Biogasudbytte!$A$2:$B$18,2,FALSE)*[1]Energiindhold!$C$10,0)*J237*IFERROR(VLOOKUP(A237,Biogasanlæg!$F$3:$G$8,2,FALSE),1)</f>
        <v>0.84689673320597236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98293.492711928076</v>
      </c>
      <c r="W237" s="192">
        <f>J237*IFERROR(VLOOKUP(A237,[1]Tørstofindhold!A$2:B$24,2,FALSE),0)</f>
        <v>98293.492711928076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647088.73530897219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647088.73530897219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647088.73530897219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9.3786251701161518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9.3786251701161518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320039.30367156246</v>
      </c>
      <c r="W241" s="192">
        <f>J241*IFERROR(VLOOKUP(A241,[1]Tørstofindhold!A$2:B$24,2,FALSE),0)</f>
        <v>0</v>
      </c>
      <c r="X241" s="193">
        <f t="shared" si="65"/>
        <v>320039.30367156246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178637.61286448501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178637.61286448501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69084.929808935805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61168.313055195707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125542746.35900024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125542746.35900024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125542746.35900024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4357755.2271491131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3938512.6960526006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419242.53109651245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O249*IFERROR(VLOOKUP(A249,[1]Tørstofindhold!A$2:B$24,2,FALSE),0)</f>
        <v>35147.202118277128</v>
      </c>
      <c r="V249" s="192">
        <f>IF(D249=År1,P249,SUM(O249,P249))*IFERROR(VLOOKUP(A249,[1]Tørstofindhold!A$2:B$24,2,FALSE),0)</f>
        <v>91705.91817067712</v>
      </c>
      <c r="W249" s="192">
        <f>J249*IFERROR(VLOOKUP(A249,[1]Tørstofindhold!A$2:B$24,2,FALSE),0)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54.748878657904719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17.560961078950641</v>
      </c>
      <c r="O251" s="195">
        <f t="shared" si="59"/>
        <v>17.560961078950641</v>
      </c>
      <c r="P251" s="205">
        <f t="shared" si="63"/>
        <v>650.78855763169781</v>
      </c>
      <c r="Q251" s="192">
        <f>IFERROR(VLOOKUP(A251,[1]Energiindhold!$A$2:$C$11,3,FALSE),IFERROR(VLOOKUP(A251,[1]Biogasudbytte!$A$2:$B$18,2,FALSE)*[1]Energiindhold!$C$10,0))*O251</f>
        <v>8.2587443858196973E-6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3.1431809515443089E-4</v>
      </c>
      <c r="S251" s="192">
        <f>IFERROR(VLOOKUP(A251,[1]Biogasudbytte!$A$2:$B$18,2,FALSE)*[1]Energiindhold!$C$10,0)*J251*IFERROR(VLOOKUP(A251,Biogasanlæg!$F$3:$G$8,2,FALSE),1)</f>
        <v>3.0605935076861117E-4</v>
      </c>
      <c r="T251" s="193">
        <f t="shared" si="64"/>
        <v>8.2587443858197227E-6</v>
      </c>
      <c r="U251" s="191">
        <f>O251*IFERROR(VLOOKUP(A251,[1]Tørstofindhold!A$2:B$24,2,FALSE),0)</f>
        <v>1.1063405479738904</v>
      </c>
      <c r="V251" s="192">
        <f>IF(D251=År1,P251,SUM(O251,P251))*IFERROR(VLOOKUP(A251,[1]Tørstofindhold!A$2:B$24,2,FALSE),0)</f>
        <v>42.106019678770856</v>
      </c>
      <c r="W251" s="192">
        <f>J251*IFERROR(VLOOKUP(A251,[1]Tørstofindhold!A$2:B$24,2,FALSE),0)</f>
        <v>40.999679130796963</v>
      </c>
      <c r="X251" s="193">
        <f t="shared" si="65"/>
        <v>1.1063405479738933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357304.25157150667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357304.25157150667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10163.089759541812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-223631.92623293199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8332694.7229536632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18918.331265736317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6811708.3156762123</v>
      </c>
      <c r="O256" s="195">
        <f t="shared" si="59"/>
        <v>6811708.3156762123</v>
      </c>
      <c r="P256" s="205">
        <f t="shared" si="63"/>
        <v>18918.331265736317</v>
      </c>
      <c r="Q256" s="192">
        <f>IFERROR(VLOOKUP(A256,[1]Energiindhold!$A$2:$C$11,3,FALSE),IFERROR(VLOOKUP(A256,[1]Biogasudbytte!$A$2:$B$18,2,FALSE)*[1]Energiindhold!$C$10,0))*O256</f>
        <v>12.532691837304771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12.567499202042317</v>
      </c>
      <c r="S256" s="192">
        <f>IFERROR(VLOOKUP(A256,[1]Biogasudbytte!$A$2:$B$18,2,FALSE)*[1]Energiindhold!$C$10,0)*J256*IFERROR(VLOOKUP(A256,Biogasanlæg!$F$3:$G$8,2,FALSE),1)</f>
        <v>3.4807364737546607E-2</v>
      </c>
      <c r="T256" s="193">
        <f t="shared" si="64"/>
        <v>12.532691837304771</v>
      </c>
      <c r="U256" s="191">
        <f>O256*IFERROR(VLOOKUP(A256,[1]Tørstofindhold!A$2:B$24,2,FALSE),0)</f>
        <v>1907278.3283893396</v>
      </c>
      <c r="V256" s="192">
        <f>IF(D256=År1,P256,SUM(O256,P256))*IFERROR(VLOOKUP(A256,[1]Tørstofindhold!A$2:B$24,2,FALSE),0)</f>
        <v>1912575.4611437458</v>
      </c>
      <c r="W256" s="192">
        <f>J256*IFERROR(VLOOKUP(A256,[1]Tørstofindhold!A$2:B$24,2,FALSE),0)</f>
        <v>5297.1327544061696</v>
      </c>
      <c r="X256" s="193">
        <f t="shared" si="65"/>
        <v>1907278.3283893396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68513.709869912811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-176355.80688009923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865944.52172148146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20155.543580446039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647837.10569919006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667992.6492796361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6.8121264565469533</v>
      </c>
      <c r="S259" s="192">
        <f>IFERROR(VLOOKUP(A259,[1]Biogasudbytte!$A$2:$B$18,2,FALSE)*[1]Energiindhold!$C$10,0)*J259*IFERROR(VLOOKUP(A259,Biogasanlæg!$F$3:$G$8,2,FALSE),1)</f>
        <v>0.11620759273480487</v>
      </c>
      <c r="T259" s="193">
        <f t="shared" si="64"/>
        <v>6.6959188638121487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567793.75188769063</v>
      </c>
      <c r="W259" s="192">
        <f>J259*IFERROR(VLOOKUP(A259,[1]Tørstofindhold!A$2:B$24,2,FALSE),0)</f>
        <v>17132.212043379132</v>
      </c>
      <c r="X259" s="193">
        <f t="shared" si="65"/>
        <v>550661.53984431154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85400.635706120564</v>
      </c>
      <c r="W262" s="192">
        <f>J262*IFERROR(VLOOKUP(A262,[1]Tørstofindhold!A$2:B$24,2,FALSE),0)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220334.04456617165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220334.04456617165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536733.47505489504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424757.96739534178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1683096.8033949384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884.229461452941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692341.94787872268</v>
      </c>
      <c r="O265" s="195">
        <f t="shared" si="75"/>
        <v>26163.144336591125</v>
      </c>
      <c r="P265" s="205">
        <f t="shared" si="63"/>
        <v>884.229461452941</v>
      </c>
      <c r="Q265" s="192">
        <f>IFERROR(VLOOKUP(A265,[1]Energiindhold!$A$2:$C$11,3,FALSE),IFERROR(VLOOKUP(A265,[1]Biogasudbytte!$A$2:$B$18,2,FALSE)*[1]Energiindhold!$C$10,0))*O265</f>
        <v>8.9605106512617494E-2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9.2633468625969217E-2</v>
      </c>
      <c r="S265" s="192">
        <f>IFERROR(VLOOKUP(A265,[1]Biogasudbytte!$A$2:$B$18,2,FALSE)*[1]Energiindhold!$C$10,0)*J265*IFERROR(VLOOKUP(A265,Biogasanlæg!$F$3:$G$8,2,FALSE),1)</f>
        <v>3.0283621133517201E-3</v>
      </c>
      <c r="T265" s="193">
        <f t="shared" si="64"/>
        <v>8.9605106512617494E-2</v>
      </c>
      <c r="U265" s="191">
        <f>O265*IFERROR(VLOOKUP(A265,[1]Tørstofindhold!A$2:B$24,2,FALSE),0)</f>
        <v>8110.5747443432492</v>
      </c>
      <c r="V265" s="192">
        <f>IF(D265=År1,P265,SUM(O265,P265))*IFERROR(VLOOKUP(A265,[1]Tørstofindhold!A$2:B$24,2,FALSE),0)</f>
        <v>8384.6858773936601</v>
      </c>
      <c r="W265" s="192">
        <f>J265*IFERROR(VLOOKUP(A265,[1]Tørstofindhold!A$2:B$24,2,FALSE),0)</f>
        <v>274.11113305041169</v>
      </c>
      <c r="X265" s="193">
        <f t="shared" si="65"/>
        <v>8110.5747443432483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315916.79839441256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-315916.79839441256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59966.611946027508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30549.028727221536</v>
      </c>
      <c r="O267" s="195">
        <f t="shared" si="75"/>
        <v>30549.028727221536</v>
      </c>
      <c r="P267" s="205">
        <f t="shared" si="63"/>
        <v>814640.76605924184</v>
      </c>
      <c r="Q267" s="192">
        <f>IFERROR(VLOOKUP(A267,[1]Energiindhold!$A$2:$C$11,3,FALSE),IFERROR(VLOOKUP(A267,[1]Biogasudbytte!$A$2:$B$18,2,FALSE)*[1]Energiindhold!$C$10,0))*O267</f>
        <v>1.5463612851432272E-2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0.42782662222295997</v>
      </c>
      <c r="S267" s="192">
        <f>IFERROR(VLOOKUP(A267,[1]Biogasudbytte!$A$2:$B$18,2,FALSE)*[1]Energiindhold!$C$10,0)*J267*IFERROR(VLOOKUP(A267,Biogasanlæg!$F$3:$G$8,2,FALSE),1)</f>
        <v>0.4123630093715277</v>
      </c>
      <c r="T267" s="193">
        <f t="shared" si="64"/>
        <v>1.5463612851432273E-2</v>
      </c>
      <c r="U267" s="191">
        <f>O267*IFERROR(VLOOKUP(A267,[1]Tørstofindhold!A$2:B$24,2,FALSE),0)</f>
        <v>2321.7261832688368</v>
      </c>
      <c r="V267" s="192">
        <f>IF(D267=År1,P267,SUM(O267,P267))*IFERROR(VLOOKUP(A267,[1]Tørstofindhold!A$2:B$24,2,FALSE),0)</f>
        <v>64234.424403771212</v>
      </c>
      <c r="W267" s="192">
        <f>J267*IFERROR(VLOOKUP(A267,[1]Tørstofindhold!A$2:B$24,2,FALSE),0)</f>
        <v>61912.698220502381</v>
      </c>
      <c r="X267" s="193">
        <f t="shared" si="65"/>
        <v>2321.7261832688309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1823285.6405542411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75927.162506469729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1053005.216938484</v>
      </c>
      <c r="O269" s="195">
        <f t="shared" si="75"/>
        <v>1053005.216938484</v>
      </c>
      <c r="P269" s="205">
        <f t="shared" si="63"/>
        <v>75927.162506469729</v>
      </c>
      <c r="Q269" s="192">
        <f>IFERROR(VLOOKUP(A269,[1]Energiindhold!$A$2:$C$11,3,FALSE),IFERROR(VLOOKUP(A269,[1]Biogasudbytte!$A$2:$B$18,2,FALSE)*[1]Energiindhold!$C$10,0))*O269</f>
        <v>3.780288728809158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4.0528672422073839</v>
      </c>
      <c r="S269" s="192">
        <f>IFERROR(VLOOKUP(A269,[1]Biogasudbytte!$A$2:$B$18,2,FALSE)*[1]Energiindhold!$C$10,0)*J269*IFERROR(VLOOKUP(A269,Biogasanlæg!$F$3:$G$8,2,FALSE),1)</f>
        <v>0.27257851339822636</v>
      </c>
      <c r="T269" s="193">
        <f t="shared" si="64"/>
        <v>3.7802887288091576</v>
      </c>
      <c r="U269" s="191">
        <f>O269*IFERROR(VLOOKUP(A269,[1]Tørstofindhold!A$2:B$24,2,FALSE),0)</f>
        <v>315901.56508154521</v>
      </c>
      <c r="V269" s="192">
        <f>IF(D269=År1,P269,SUM(O269,P269))*IFERROR(VLOOKUP(A269,[1]Tørstofindhold!A$2:B$24,2,FALSE),0)</f>
        <v>338679.71383348614</v>
      </c>
      <c r="W269" s="192">
        <f>J269*IFERROR(VLOOKUP(A269,[1]Tørstofindhold!A$2:B$24,2,FALSE),0)</f>
        <v>22778.148751940917</v>
      </c>
      <c r="X269" s="193">
        <f t="shared" si="65"/>
        <v>315901.56508154521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314116.08613367198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314116.08613367198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43858.564110476924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43858.564110476924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43858.564110476924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0.8069975796327753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0.8069975796327753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18201.304105847925</v>
      </c>
      <c r="W274" s="192">
        <f>J274*IFERROR(VLOOKUP(A274,[1]Tørstofindhold!A$2:B$24,2,FALSE),0)</f>
        <v>0</v>
      </c>
      <c r="X274" s="193">
        <f t="shared" si="65"/>
        <v>18201.304105847925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116086.90219815794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116086.90219815794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58043.451099078971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31764.681597080598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37147.808703410541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37147.808703410541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37147.808703410541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1.3001733046193689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1.3001733046193689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1571187.4884325294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6823.5734769589817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1461118.0381255434</v>
      </c>
      <c r="O281" s="195">
        <f t="shared" si="89"/>
        <v>1461118.0381255434</v>
      </c>
      <c r="P281" s="205">
        <f t="shared" si="63"/>
        <v>6823.5734769589817</v>
      </c>
      <c r="Q281" s="192">
        <f>IFERROR(VLOOKUP(A281,[1]Energiindhold!$A$2:$C$11,3,FALSE),IFERROR(VLOOKUP(A281,[1]Biogasudbytte!$A$2:$B$18,2,FALSE)*[1]Energiindhold!$C$10,0))*O281</f>
        <v>3.96553280019425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3.9840522515536558</v>
      </c>
      <c r="S281" s="192">
        <f>IFERROR(VLOOKUP(A281,[1]Biogasudbytte!$A$2:$B$18,2,FALSE)*[1]Energiindhold!$C$10,0)*J281*IFERROR(VLOOKUP(A281,Biogasanlæg!$F$3:$G$8,2,FALSE),1)</f>
        <v>1.8519451359405754E-2</v>
      </c>
      <c r="T281" s="193">
        <f t="shared" si="64"/>
        <v>3.96553280019425</v>
      </c>
      <c r="U281" s="191">
        <f>O281*IFERROR(VLOOKUP(A281,[1]Tørstofindhold!A$2:B$24,2,FALSE),0)</f>
        <v>292223.60762510868</v>
      </c>
      <c r="V281" s="192">
        <f>IF(D281=År1,P281,SUM(O281,P281))*IFERROR(VLOOKUP(A281,[1]Tørstofindhold!A$2:B$24,2,FALSE),0)</f>
        <v>293588.32232050051</v>
      </c>
      <c r="W281" s="192">
        <f>J281*IFERROR(VLOOKUP(A281,[1]Tørstofindhold!A$2:B$24,2,FALSE),0)</f>
        <v>1364.7146953917963</v>
      </c>
      <c r="X281" s="193">
        <f t="shared" si="65"/>
        <v>292223.60762510874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O284*IFERROR(VLOOKUP(A284,[1]Tørstofindhold!A$2:B$24,2,FALSE),0)</f>
        <v>130368.22692085565</v>
      </c>
      <c r="V284" s="192">
        <f>IF(D284=År1,P284,SUM(O284,P284))*IFERROR(VLOOKUP(A284,[1]Tørstofindhold!A$2:B$24,2,FALSE),0)</f>
        <v>210016.88951027396</v>
      </c>
      <c r="W284" s="192">
        <f>J284*IFERROR(VLOOKUP(A284,[1]Tørstofindhold!A$2:B$24,2,FALSE),0)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1882077.6974735428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92">
        <f>IFERROR(VLOOKUP(A285,[1]Biogasudbytte!$A$2:$B$18,2,FALSE)*[1]Energiindhold!$C$10,0)*J285*IFERROR(VLOOKUP(A285,Biogasanlæg!$F$3:$G$8,2,FALSE),1)</f>
        <v>0.8107990720716024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94103.884873677147</v>
      </c>
      <c r="W285" s="192">
        <f>J285*IFERROR(VLOOKUP(A285,[1]Tørstofindhold!A$2:B$24,2,FALSE),0)</f>
        <v>94103.884873677147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624603.98534617631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624603.98534617631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624603.98534617631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9.0527408973136652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9.0527408973136652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308918.72108579637</v>
      </c>
      <c r="W289" s="192">
        <f>J289*IFERROR(VLOOKUP(A289,[1]Tørstofindhold!A$2:B$24,2,FALSE),0)</f>
        <v>0</v>
      </c>
      <c r="X289" s="193">
        <f t="shared" si="96"/>
        <v>308918.72108579637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184169.19735067486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184169.19735067486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IF(Landbrug!$E$47&gt;0,SUMIF(Landbrug!$B$32:$B$45,$B6,IF(I4=År2,Landbrug!$D$32:$D$45,Landbrug!$E$32:$E$45)),'[1]Afgrødefordeling - jordtype'!$G4)*(1-Landbrug!$E$5)*Arealanvendelse!P$26</f>
        <v>576591.97905547544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IF(Landbrug!$E$47&gt;0,SUMIF(Landbrug!$B$32:$B$45,$B6,IF(I4=År2,Landbrug!$D$32:$D$45,Landbrug!$E$32:$E$45)),'[1]Afgrødefordeling - jordtype'!$G4)*(Landbrug!$E$5)*Arealanvendelse!P$26</f>
        <v>122307.389496616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IF(Landbrug!$E$47&gt;0,SUMIF(Landbrug!$B$32:$B$45,$B7,IF(I5=År2,Landbrug!$D$32:$D$45,Landbrug!$E$32:$E$45)),'[1]Afgrødefordeling - jordtype'!$G5)*(1-Landbrug!$E$5)*Arealanvendelse!P$26</f>
        <v>44370.662327297228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IF(Landbrug!$E$47&gt;0,SUMIF(Landbrug!$B$32:$B$45,$B7,IF(I5=År2,Landbrug!$D$32:$D$45,Landbrug!$E$32:$E$45)),'[1]Afgrødefordeling - jordtype'!$G5)*(Landbrug!$E$5)*Arealanvendelse!P$26</f>
        <v>9411.9586754872907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IF(Landbrug!$E$47&gt;0,SUMIF(Landbrug!$B$32:$B$45,$B8,IF(I6=År2,Landbrug!$D$32:$D$45,Landbrug!$E$32:$E$45)),'[1]Afgrødefordeling - jordtype'!$G6)*(1-Landbrug!$E$5)*Arealanvendelse!P$26</f>
        <v>64930.608396310665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IF(Landbrug!$E$47&gt;0,SUMIF(Landbrug!$B$32:$B$45,$B8,IF(I6=År2,Landbrug!$D$32:$D$45,Landbrug!$E$32:$E$45)),'[1]Afgrødefordeling - jordtype'!$G6)*(Landbrug!$E$5)*Arealanvendelse!P$26</f>
        <v>13773.159356793169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IF(Landbrug!$E$47&gt;0,SUMIF(Landbrug!$B$32:$B$45,$B9,IF(I7=År2,Landbrug!$D$32:$D$45,Landbrug!$E$32:$E$45)),'[1]Afgrødefordeling - jordtype'!$G7)*(1-Landbrug!$E$5)*Arealanvendelse!P$26</f>
        <v>359534.40705289674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IF(Landbrug!$E$47&gt;0,SUMIF(Landbrug!$B$32:$B$45,$B9,IF(I7=År2,Landbrug!$D$32:$D$45,Landbrug!$E$32:$E$45)),'[1]Afgrødefordeling - jordtype'!$G7)*(Landbrug!$E$5)*Arealanvendelse!P$26</f>
        <v>76264.874223341743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IF(Landbrug!$E$47&gt;0,SUMIF(Landbrug!$B$32:$B$45,$B10,IF(I8=År2,Landbrug!$D$32:$D$45,Landbrug!$E$32:$E$45)),'[1]Afgrødefordeling - jordtype'!$G8)*(1-Landbrug!$E$5)*Arealanvendelse!P$26</f>
        <v>7457.2400160431316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IF(Landbrug!$E$47&gt;0,SUMIF(Landbrug!$B$32:$B$45,$B10,IF(I8=År2,Landbrug!$D$32:$D$45,Landbrug!$E$32:$E$45)),'[1]Afgrødefordeling - jordtype'!$G8)*(Landbrug!$E$5)*Arealanvendelse!P$26</f>
        <v>1581.8387912818764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IF(Landbrug!$E$47&gt;0,SUMIF(Landbrug!$B$32:$B$45,$B11,IF(I9=År2,Landbrug!$D$32:$D$45,Landbrug!$E$32:$E$45)),'[1]Afgrødefordeling - jordtype'!$G9)*(1-Landbrug!$E$5)*Arealanvendelse!P$26</f>
        <v>31365.844342236556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IF(Landbrug!$E$47&gt;0,SUMIF(Landbrug!$B$32:$B$45,$B11,IF(I9=År2,Landbrug!$D$32:$D$45,Landbrug!$E$32:$E$45)),'[1]Afgrødefordeling - jordtype'!$G9)*(Landbrug!$E$5)*Arealanvendelse!P$26</f>
        <v>6653.3609210804825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IF(Landbrug!$E$47&gt;0,SUMIF(Landbrug!$B$32:$B$45,$B12,IF(I10=År2,Landbrug!$D$32:$D$45,Landbrug!$E$32:$E$45)),'[1]Afgrødefordeling - jordtype'!$G10)*(1-Landbrug!$E$5)*Arealanvendelse!P$26</f>
        <v>47938.272936646019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IF(Landbrug!$E$47&gt;0,SUMIF(Landbrug!$B$32:$B$45,$B12,IF(I10=År2,Landbrug!$D$32:$D$45,Landbrug!$E$32:$E$45)),'[1]Afgrødefordeling - jordtype'!$G10)*(Landbrug!$E$5)*Arealanvendelse!P$26</f>
        <v>10168.724562318854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IF(Landbrug!$E$47&gt;0,SUMIF(Landbrug!$B$32:$B$45,$B13,IF(I11=År2,Landbrug!$D$32:$D$45,Landbrug!$E$32:$E$45)),'[1]Afgrødefordeling - jordtype'!$G11)*(1-Landbrug!$E$5)*Arealanvendelse!P$26</f>
        <v>97058.944942455943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IF(Landbrug!$E$47&gt;0,SUMIF(Landbrug!$B$32:$B$45,$B13,IF(I11=År2,Landbrug!$D$32:$D$45,Landbrug!$E$32:$E$45)),'[1]Afgrødefordeling - jordtype'!$G11)*(Landbrug!$E$5)*Arealanvendelse!P$26</f>
        <v>20588.261048399749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IF(Landbrug!$E$47&gt;0,SUMIF(Landbrug!$B$32:$B$45,$B14,IF(I12=År2,Landbrug!$D$32:$D$45,Landbrug!$E$32:$E$45)),'[1]Afgrødefordeling - jordtype'!$G12)*(1-Landbrug!$E$5)*Arealanvendelse!P$26</f>
        <v>2908.0623604905873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IF(Landbrug!$E$47&gt;0,SUMIF(Landbrug!$B$32:$B$45,$B14,IF(I12=År2,Landbrug!$D$32:$D$45,Landbrug!$E$32:$E$45)),'[1]Afgrødefordeling - jordtype'!$G12)*(Landbrug!$E$5)*Arealanvendelse!P$26</f>
        <v>616.86171283133672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IF(Landbrug!$E$47&gt;0,SUMIF(Landbrug!$B$32:$B$45,$B15,IF(I13=År2,Landbrug!$D$32:$D$45,Landbrug!$E$32:$E$45)),'[1]Afgrødefordeling - jordtype'!$G13)*(1-Landbrug!$E$5)*Arealanvendelse!P$26</f>
        <v>25738.466902719567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IF(Landbrug!$E$47&gt;0,SUMIF(Landbrug!$B$32:$B$45,$B15,IF(I13=År2,Landbrug!$D$32:$D$45,Landbrug!$E$32:$E$45)),'[1]Afgrødefordeling - jordtype'!$G13)*(Landbrug!$E$5)*Arealanvendelse!P$26</f>
        <v>5459.6747975465751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IF(Landbrug!$E$47&gt;0,SUMIF(Landbrug!$B$32:$B$45,$B16,IF(I14=År2,Landbrug!$D$32:$D$45,Landbrug!$E$32:$E$45)),'[1]Afgrødefordeling - jordtype'!$G14)*(1-Landbrug!$E$5)*Arealanvendelse!P$26</f>
        <v>57862.561202403813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IF(Landbrug!$E$47&gt;0,SUMIF(Landbrug!$B$32:$B$45,$B16,IF(I14=År2,Landbrug!$D$32:$D$45,Landbrug!$E$32:$E$45)),'[1]Afgrødefordeling - jordtype'!$G14)*(Landbrug!$E$5)*Arealanvendelse!P$26</f>
        <v>12273.876618691718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IF(Landbrug!$E$47&gt;0,SUMIF(Landbrug!$B$32:$B$45,$B17,IF(I15=År2,Landbrug!$D$32:$D$45,Landbrug!$E$32:$E$45)),'[1]Afgrødefordeling - jordtype'!$G15)*(1-Landbrug!$E$5)*Arealanvendelse!P$26</f>
        <v>10867.586324157863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IF(Landbrug!$E$47&gt;0,SUMIF(Landbrug!$B$32:$B$45,$B17,IF(I15=År2,Landbrug!$D$32:$D$45,Landbrug!$E$32:$E$45)),'[1]Afgrødefordeling - jordtype'!$G15)*(Landbrug!$E$5)*Arealanvendelse!P$26</f>
        <v>2305.2455839122736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IF(Landbrug!$E$47&gt;0,SUMIF(Landbrug!$B$32:$B$45,$B18,IF(I16=År2,Landbrug!$D$32:$D$45,Landbrug!$E$32:$E$45)),'[1]Afgrødefordeling - jordtype'!$G16)*(1-Landbrug!$E$5)*Arealanvendelse!P$26</f>
        <v>4179.063908207143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IF(Landbrug!$E$47&gt;0,SUMIF(Landbrug!$B$32:$B$45,$B18,IF(I16=År2,Landbrug!$D$32:$D$45,Landbrug!$E$32:$E$45)),'[1]Afgrødefordeling - jordtype'!$G16)*(Landbrug!$E$5)*Arealanvendelse!P$26</f>
        <v>886.46810174090911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IF(Landbrug!$E$47&gt;0,SUMIF(Landbrug!$B$32:$B$45,$B19,IF(I17=År2,Landbrug!$D$32:$D$45,Landbrug!$E$32:$E$45)),'[1]Afgrødefordeling - jordtype'!$G17)*(1-Landbrug!$E$5)*Arealanvendelse!P$26</f>
        <v>101375.57782061782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IF(Landbrug!$E$47&gt;0,SUMIF(Landbrug!$B$32:$B$45,$B19,IF(I17=År2,Landbrug!$D$32:$D$45,Landbrug!$E$32:$E$45)),'[1]Afgrødefordeling - jordtype'!$G17)*(Landbrug!$E$5)*Arealanvendelse!P$26</f>
        <v>21503.910446797723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1432179.2775879591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303795.60433683975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IF(Landbrug!$E$47&gt;0,SUMIF(Landbrug!$B$32:$B$45,$B33,IF(I32=År2,Landbrug!$D$32:$D$45,Landbrug!$E$32:$E$45)),'[1]Afgrødefordeling - jordtype'!$P4)*(1-Landbrug!$E$5)*Arealanvendelse!P$36</f>
        <v>179389.67006955924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IF(Landbrug!$E$47&gt;0,SUMIF(Landbrug!$B$32:$B$45,$B33,IF(R32=År2,Landbrug!$D$32:$D$45,Landbrug!$E$32:$E$45)),'[1]Afgrødefordeling - jordtype'!$P4)*(Landbrug!$E$5)*Arealanvendelse!P$36</f>
        <v>38052.354257179235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IF(Landbrug!$E$47&gt;0,SUMIF(Landbrug!$B$32:$B$45,$B34,IF(I33=År2,Landbrug!$D$32:$D$45,Landbrug!$E$32:$E$45)),'[1]Afgrødefordeling - jordtype'!$P5)*(1-Landbrug!$E$5)*Arealanvendelse!P$36</f>
        <v>13804.629208856637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IF(Landbrug!$E$47&gt;0,SUMIF(Landbrug!$B$32:$B$45,$B34,IF(R33=År2,Landbrug!$D$32:$D$45,Landbrug!$E$32:$E$45)),'[1]Afgrødefordeling - jordtype'!$P5)*(Landbrug!$E$5)*Arealanvendelse!P$36</f>
        <v>2928.2546806665596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IF(Landbrug!$E$47&gt;0,SUMIF(Landbrug!$B$32:$B$45,$B35,IF(I34=År2,Landbrug!$D$32:$D$45,Landbrug!$E$32:$E$45)),'[1]Afgrødefordeling - jordtype'!$P6)*(1-Landbrug!$E$5)*Arealanvendelse!P$36</f>
        <v>20201.252949634338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IF(Landbrug!$E$47&gt;0,SUMIF(Landbrug!$B$32:$B$45,$B35,IF(R34=År2,Landbrug!$D$32:$D$45,Landbrug!$E$32:$E$45)),'[1]Afgrødefordeling - jordtype'!$P6)*(Landbrug!$E$5)*Arealanvendelse!P$36</f>
        <v>4285.1142620436467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IF(Landbrug!$E$47&gt;0,SUMIF(Landbrug!$B$32:$B$45,$B36,IF(I35=År2,Landbrug!$D$32:$D$45,Landbrug!$E$32:$E$45)),'[1]Afgrødefordeling - jordtype'!$P7)*(1-Landbrug!$E$5)*Arealanvendelse!P$36</f>
        <v>111858.57764710314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IF(Landbrug!$E$47&gt;0,SUMIF(Landbrug!$B$32:$B$45,$B36,IF(R35=År2,Landbrug!$D$32:$D$45,Landbrug!$E$32:$E$45)),'[1]Afgrødefordeling - jordtype'!$P7)*(Landbrug!$E$5)*Arealanvendelse!P$36</f>
        <v>23727.577076658243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IF(Landbrug!$E$47&gt;0,SUMIF(Landbrug!$B$32:$B$45,$B37,IF(I36=År2,Landbrug!$D$32:$D$45,Landbrug!$E$32:$E$45)),'[1]Afgrødefordeling - jordtype'!$P8)*(1-Landbrug!$E$5)*Arealanvendelse!P$36</f>
        <v>2320.101344973416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IF(Landbrug!$E$47&gt;0,SUMIF(Landbrug!$B$32:$B$45,$B37,IF(R36=År2,Landbrug!$D$32:$D$45,Landbrug!$E$32:$E$45)),'[1]Afgrødefordeling - jordtype'!$P8)*(Landbrug!$E$5)*Arealanvendelse!P$36</f>
        <v>492.14270953981543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IF(Landbrug!$E$47&gt;0,SUMIF(Landbrug!$B$32:$B$45,$B38,IF(I37=År2,Landbrug!$D$32:$D$45,Landbrug!$E$32:$E$45)),'[1]Afgrødefordeling - jordtype'!$P9)*(1-Landbrug!$E$5)*Arealanvendelse!P$36</f>
        <v>9758.5618121573061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IF(Landbrug!$E$47&gt;0,SUMIF(Landbrug!$B$32:$B$45,$B38,IF(R37=År2,Landbrug!$D$32:$D$45,Landbrug!$E$32:$E$45)),'[1]Afgrødefordeling - jordtype'!$P9)*(Landbrug!$E$5)*Arealanvendelse!P$36</f>
        <v>2069.9979601545801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IF(Landbrug!$E$47&gt;0,SUMIF(Landbrug!$B$32:$B$45,$B39,IF(I38=År2,Landbrug!$D$32:$D$45,Landbrug!$E$32:$E$45)),'[1]Afgrødefordeling - jordtype'!$P10)*(1-Landbrug!$E$5)*Arealanvendelse!P$36</f>
        <v>14914.586532918138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IF(Landbrug!$E$47&gt;0,SUMIF(Landbrug!$B$32:$B$45,$B39,IF(R38=År2,Landbrug!$D$32:$D$45,Landbrug!$E$32:$E$45)),'[1]Afgrødefordeling - jordtype'!$P10)*(Landbrug!$E$5)*Arealanvendelse!P$36</f>
        <v>3163.7001736493021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IF(Landbrug!$E$47&gt;0,SUMIF(Landbrug!$B$32:$B$45,$B40,IF(I39=År2,Landbrug!$D$32:$D$45,Landbrug!$E$32:$E$45)),'[1]Afgrødefordeling - jordtype'!$P11)*(1-Landbrug!$E$5)*Arealanvendelse!P$36</f>
        <v>30197.041830253234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IF(Landbrug!$E$47&gt;0,SUMIF(Landbrug!$B$32:$B$45,$B40,IF(R39=År2,Landbrug!$D$32:$D$45,Landbrug!$E$32:$E$45)),'[1]Afgrødefordeling - jordtype'!$P11)*(Landbrug!$E$5)*Arealanvendelse!P$36</f>
        <v>6405.4331155082618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IF(Landbrug!$E$47&gt;0,SUMIF(Landbrug!$B$32:$B$45,$B41,IF(I40=År2,Landbrug!$D$32:$D$45,Landbrug!$E$32:$E$45)),'[1]Afgrødefordeling - jordtype'!$P12)*(1-Landbrug!$E$5)*Arealanvendelse!P$36</f>
        <v>904.75824558759291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IF(Landbrug!$E$47&gt;0,SUMIF(Landbrug!$B$32:$B$45,$B41,IF(R40=År2,Landbrug!$D$32:$D$45,Landbrug!$E$32:$E$45)),'[1]Afgrødefordeling - jordtype'!$P12)*(Landbrug!$E$5)*Arealanvendelse!P$36</f>
        <v>191.91841573070153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IF(Landbrug!$E$47&gt;0,SUMIF(Landbrug!$B$32:$B$45,$B42,IF(I41=År2,Landbrug!$D$32:$D$45,Landbrug!$E$32:$E$45)),'[1]Afgrødefordeling - jordtype'!$P13)*(1-Landbrug!$E$5)*Arealanvendelse!P$36</f>
        <v>8007.7684974714139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IF(Landbrug!$E$47&gt;0,SUMIF(Landbrug!$B$32:$B$45,$B42,IF(R41=År2,Landbrug!$D$32:$D$45,Landbrug!$E$32:$E$45)),'[1]Afgrødefordeling - jordtype'!$P13)*(Landbrug!$E$5)*Arealanvendelse!P$36</f>
        <v>1698.6175600696938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IF(Landbrug!$E$47&gt;0,SUMIF(Landbrug!$B$32:$B$45,$B43,IF(I42=År2,Landbrug!$D$32:$D$45,Landbrug!$E$32:$E$45)),'[1]Afgrødefordeling - jordtype'!$P14)*(1-Landbrug!$E$5)*Arealanvendelse!P$36</f>
        <v>18002.237527623009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IF(Landbrug!$E$47&gt;0,SUMIF(Landbrug!$B$32:$B$45,$B43,IF(R42=År2,Landbrug!$D$32:$D$45,Landbrug!$E$32:$E$45)),'[1]Afgrødefordeling - jordtype'!$P14)*(Landbrug!$E$5)*Arealanvendelse!P$36</f>
        <v>3818.6564452533657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IF(Landbrug!$E$47&gt;0,SUMIF(Landbrug!$B$32:$B$45,$B44,IF(I43=År2,Landbrug!$D$32:$D$45,Landbrug!$E$32:$E$45)),'[1]Afgrødefordeling - jordtype'!$P15)*(1-Landbrug!$E$5)*Arealanvendelse!P$36</f>
        <v>3381.1304977511027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IF(Landbrug!$E$47&gt;0,SUMIF(Landbrug!$B$32:$B$45,$B44,IF(R43=År2,Landbrug!$D$32:$D$45,Landbrug!$E$32:$E$45)),'[1]Afgrødefordeling - jordtype'!$P15)*(Landbrug!$E$5)*Arealanvendelse!P$36</f>
        <v>717.2094995229611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IF(Landbrug!$E$47&gt;0,SUMIF(Landbrug!$B$32:$B$45,$B45,IF(I44=År2,Landbrug!$D$32:$D$45,Landbrug!$E$32:$E$45)),'[1]Afgrødefordeling - jordtype'!$P16)*(1-Landbrug!$E$5)*Arealanvendelse!P$36</f>
        <v>1300.1930705330769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IF(Landbrug!$E$47&gt;0,SUMIF(Landbrug!$B$32:$B$45,$B45,IF(R44=År2,Landbrug!$D$32:$D$45,Landbrug!$E$32:$E$45)),'[1]Afgrødefordeling - jordtype'!$P16)*(Landbrug!$E$5)*Arealanvendelse!P$36</f>
        <v>275.79853011307694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IF(Landbrug!$E$47&gt;0,SUMIF(Landbrug!$B$32:$B$45,$B46,IF(I45=År2,Landbrug!$D$32:$D$45,Landbrug!$E$32:$E$45)),'[1]Afgrødefordeling - jordtype'!$P17)*(1-Landbrug!$E$5)*Arealanvendelse!P$36</f>
        <v>31540.035447842853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IF(Landbrug!$E$47&gt;0,SUMIF(Landbrug!$B$32:$B$45,$B46,IF(R45=År2,Landbrug!$D$32:$D$45,Landbrug!$E$32:$E$45)),'[1]Afgrødefordeling - jordtype'!$P17)*(Landbrug!$E$5)*Arealanvendelse!P$36</f>
        <v>6690.3105495424243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445580.54468226456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94517.08523563185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20984.90236249438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11357.999999999998</v>
      </c>
      <c r="S5" s="242">
        <v>29145673.580622546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33319229.334160008</v>
      </c>
      <c r="AC5" s="242"/>
      <c r="AD5" s="242"/>
      <c r="AE5" s="242"/>
      <c r="AF5" s="242"/>
      <c r="AG5" s="242"/>
      <c r="AH5" s="242"/>
      <c r="AI5" s="242"/>
      <c r="AJ5" s="242">
        <v>80569048.957583547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8138.6352546285043</v>
      </c>
      <c r="H7" s="242"/>
      <c r="I7" s="242"/>
      <c r="J7" s="242">
        <v>142742</v>
      </c>
      <c r="K7" s="242">
        <v>85677</v>
      </c>
      <c r="L7" s="242"/>
      <c r="M7" s="242">
        <v>75934.000000000015</v>
      </c>
      <c r="N7" s="242">
        <v>78</v>
      </c>
      <c r="O7" s="242"/>
      <c r="P7" s="242">
        <v>725967.99999999977</v>
      </c>
      <c r="Q7" s="242"/>
      <c r="R7" s="242">
        <v>3785.9999999999991</v>
      </c>
      <c r="S7" s="242">
        <v>12515657.295601793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2775329.8009308982</v>
      </c>
      <c r="AB7" s="242">
        <v>15533219.712531526</v>
      </c>
      <c r="AC7" s="242"/>
      <c r="AD7" s="242"/>
      <c r="AE7" s="242"/>
      <c r="AF7" s="242"/>
      <c r="AG7" s="242"/>
      <c r="AH7" s="242"/>
      <c r="AI7" s="242"/>
      <c r="AJ7" s="242">
        <v>34094686.908344358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8404.7671078658768</v>
      </c>
      <c r="H8" s="242"/>
      <c r="I8" s="242"/>
      <c r="J8" s="242">
        <v>142742</v>
      </c>
      <c r="K8" s="242">
        <v>85677.000000000015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12276506.618354084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2890677.9581297943</v>
      </c>
      <c r="AB8" s="242">
        <v>14871140.288295148</v>
      </c>
      <c r="AC8" s="242"/>
      <c r="AD8" s="242"/>
      <c r="AE8" s="242"/>
      <c r="AF8" s="242"/>
      <c r="AG8" s="242"/>
      <c r="AH8" s="242"/>
      <c r="AI8" s="242"/>
      <c r="AJ8" s="242">
        <v>33383944.549239181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5904271.7605436053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18619992.777539127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2080333.682561968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6277301.4995193612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1930172.8654460763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6133287.1249693846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4754.5965479558763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8248903.5783884171</v>
      </c>
      <c r="T25" s="242"/>
      <c r="U25" s="242"/>
      <c r="V25" s="242"/>
      <c r="W25" s="242"/>
      <c r="X25" s="242"/>
      <c r="Y25" s="242"/>
      <c r="Z25" s="242"/>
      <c r="AA25" s="242"/>
      <c r="AB25" s="242">
        <v>18120392.888980739</v>
      </c>
      <c r="AC25" s="242"/>
      <c r="AD25" s="242"/>
      <c r="AE25" s="242"/>
      <c r="AF25" s="242"/>
      <c r="AG25" s="242"/>
      <c r="AH25" s="242">
        <v>65062728.84579356</v>
      </c>
      <c r="AI25" s="242">
        <v>2770306.7090697121</v>
      </c>
      <c r="AJ25" s="242">
        <v>96197990.498873413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684.67883888144547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921291.4398151316</v>
      </c>
      <c r="T27" s="242"/>
      <c r="U27" s="242"/>
      <c r="V27" s="242"/>
      <c r="W27" s="242"/>
      <c r="X27" s="242"/>
      <c r="Y27" s="242"/>
      <c r="Z27" s="242"/>
      <c r="AA27" s="242"/>
      <c r="AB27" s="242">
        <v>1725913.3013923911</v>
      </c>
      <c r="AC27" s="242"/>
      <c r="AD27" s="242"/>
      <c r="AE27" s="242"/>
      <c r="AF27" s="242"/>
      <c r="AG27" s="242"/>
      <c r="AH27" s="242">
        <v>28521927.915010508</v>
      </c>
      <c r="AI27" s="242">
        <v>855956.11724253604</v>
      </c>
      <c r="AJ27" s="242">
        <v>32595709.127966251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707.0677090744307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903687.29273995303</v>
      </c>
      <c r="T28" s="242"/>
      <c r="U28" s="242"/>
      <c r="V28" s="242"/>
      <c r="W28" s="242"/>
      <c r="X28" s="242"/>
      <c r="Y28" s="242"/>
      <c r="Z28" s="242"/>
      <c r="AA28" s="242"/>
      <c r="AB28" s="242">
        <v>1652348.9209216826</v>
      </c>
      <c r="AC28" s="242"/>
      <c r="AD28" s="242"/>
      <c r="AE28" s="242"/>
      <c r="AF28" s="242"/>
      <c r="AG28" s="242"/>
      <c r="AH28" s="242">
        <v>27737309.195274569</v>
      </c>
      <c r="AI28" s="242">
        <v>805860.03783459379</v>
      </c>
      <c r="AJ28" s="242">
        <v>31697115.726048954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25739.498910450257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8735999.7852756213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37394577.159010962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1654596.9038416902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608691.6287406272</v>
      </c>
      <c r="AE33" s="242">
        <v>8733568.819759516</v>
      </c>
      <c r="AF33" s="242">
        <v>721133.62677978189</v>
      </c>
      <c r="AG33" s="242">
        <v>529471.00922934094</v>
      </c>
      <c r="AH33" s="242">
        <v>65062728.84579356</v>
      </c>
      <c r="AI33" s="242">
        <v>2770306.7090697121</v>
      </c>
      <c r="AJ33" s="242">
        <v>314737027.42563641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288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48</v>
      </c>
      <c r="F5" s="171" t="s">
        <v>116</v>
      </c>
      <c r="G5" s="171" t="s">
        <v>14</v>
      </c>
      <c r="H5" s="171" t="s">
        <v>159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1108490.5539925825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7949378.1351335607</v>
      </c>
    </row>
    <row r="7" spans="1:11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166931.44861219462</v>
      </c>
      <c r="F7" s="76">
        <v>855956.11724253604</v>
      </c>
      <c r="G7" s="76">
        <v>0</v>
      </c>
      <c r="H7" s="76">
        <v>142742</v>
      </c>
      <c r="I7" s="76">
        <v>439387.69075181423</v>
      </c>
      <c r="J7" s="76">
        <v>5421074.2654714435</v>
      </c>
      <c r="K7" s="76">
        <v>7246109.0907606976</v>
      </c>
    </row>
    <row r="8" spans="1:11" x14ac:dyDescent="0.25">
      <c r="A8" s="78">
        <v>2050</v>
      </c>
      <c r="B8" s="76">
        <v>0.18489040050189942</v>
      </c>
      <c r="C8" s="76">
        <v>236197.68983003267</v>
      </c>
      <c r="D8" s="76">
        <v>0.11492812394862995</v>
      </c>
      <c r="E8" s="76">
        <v>0</v>
      </c>
      <c r="F8" s="76">
        <v>805860.03783459379</v>
      </c>
      <c r="G8" s="76">
        <v>6687.6021110492293</v>
      </c>
      <c r="H8" s="76">
        <v>142742</v>
      </c>
      <c r="I8" s="76">
        <v>458817.74928054027</v>
      </c>
      <c r="J8" s="76">
        <v>5421074.2654714435</v>
      </c>
      <c r="K8" s="76">
        <v>7071379.6443461841</v>
      </c>
    </row>
    <row r="9" spans="1:11" x14ac:dyDescent="0.25">
      <c r="A9" s="78" t="s">
        <v>61</v>
      </c>
      <c r="B9" s="76">
        <v>370459.88762915425</v>
      </c>
      <c r="C9" s="76">
        <v>659864.85126099177</v>
      </c>
      <c r="D9" s="76">
        <v>282332.14526922622</v>
      </c>
      <c r="E9" s="76">
        <v>166931.44861219462</v>
      </c>
      <c r="F9" s="76">
        <v>2770306.7090697126</v>
      </c>
      <c r="G9" s="76">
        <v>6687.6021110492293</v>
      </c>
      <c r="H9" s="76">
        <v>428226</v>
      </c>
      <c r="I9" s="76">
        <v>1318835.4298737824</v>
      </c>
      <c r="J9" s="76">
        <v>16263222.796414331</v>
      </c>
      <c r="K9" s="76">
        <v>22266866.870240442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8" width="11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/>
      <c r="L7" s="98">
        <v>34449.731880352119</v>
      </c>
      <c r="M7" s="98">
        <v>952519.64833213156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5458842.7210985618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792440.79236345144</v>
      </c>
      <c r="X7" s="98">
        <v>469337.14858506783</v>
      </c>
      <c r="Y7" s="98">
        <v>219.61396718838785</v>
      </c>
      <c r="Z7" s="98">
        <v>4542635.2873380352</v>
      </c>
      <c r="AA7" s="98">
        <v>925011.48221335816</v>
      </c>
      <c r="AB7" s="98">
        <v>1327226.7147852567</v>
      </c>
      <c r="AC7" s="98">
        <v>632.81348314511342</v>
      </c>
      <c r="AD7" s="98">
        <v>54322844.465769023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226110.4756866793</v>
      </c>
      <c r="D8" s="98">
        <v>2952551.0288410094</v>
      </c>
      <c r="E8" s="98">
        <v>980314.70578320744</v>
      </c>
      <c r="F8" s="98">
        <v>119570.06432731522</v>
      </c>
      <c r="G8" s="98">
        <v>1502781.1107008122</v>
      </c>
      <c r="H8" s="98">
        <v>23911523.721627589</v>
      </c>
      <c r="I8" s="98"/>
      <c r="J8" s="98">
        <v>2114999.9774601497</v>
      </c>
      <c r="K8" s="98">
        <v>26163.144336591125</v>
      </c>
      <c r="L8" s="98">
        <v>2199.2700615431677</v>
      </c>
      <c r="M8" s="98">
        <v>1243684.2219918412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5622703.3534848932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871392.37125140009</v>
      </c>
      <c r="X8" s="98">
        <v>460368.99818827701</v>
      </c>
      <c r="Y8" s="98">
        <v>226.79530291066658</v>
      </c>
      <c r="Z8" s="98">
        <v>4731436.1314918958</v>
      </c>
      <c r="AA8" s="98">
        <v>949345.99548394862</v>
      </c>
      <c r="AB8" s="98">
        <v>1362725.53997907</v>
      </c>
      <c r="AC8" s="98">
        <v>6705.9786119636192</v>
      </c>
      <c r="AD8" s="98">
        <v>56601261.270743325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657297.37830029498</v>
      </c>
      <c r="D9" s="98">
        <v>9004397.8609129805</v>
      </c>
      <c r="E9" s="98">
        <v>3268087.5012847767</v>
      </c>
      <c r="F9" s="98">
        <v>388863.39451189141</v>
      </c>
      <c r="G9" s="98">
        <v>4468150.9301789645</v>
      </c>
      <c r="H9" s="98">
        <v>50528031.255932003</v>
      </c>
      <c r="I9" s="98">
        <v>0.40288562423666008</v>
      </c>
      <c r="J9" s="98">
        <v>6219636.9017398441</v>
      </c>
      <c r="K9" s="98">
        <v>2000833.4736480103</v>
      </c>
      <c r="L9" s="98">
        <v>88541.13456199161</v>
      </c>
      <c r="M9" s="98">
        <v>3462466.1165914652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12737910.716084369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2491526.3685370558</v>
      </c>
      <c r="X9" s="98">
        <v>4202271.6342733456</v>
      </c>
      <c r="Y9" s="98">
        <v>1525.0592700990542</v>
      </c>
      <c r="Z9" s="98">
        <v>13642395.32050859</v>
      </c>
      <c r="AA9" s="98">
        <v>2785932.1201823736</v>
      </c>
      <c r="AB9" s="98">
        <v>4695054.426165103</v>
      </c>
      <c r="AC9" s="98">
        <v>106164.82514106328</v>
      </c>
      <c r="AD9" s="98">
        <v>149650637.10044587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59.629497759472514</v>
      </c>
      <c r="E7" s="240">
        <v>21.501926063738726</v>
      </c>
      <c r="F7" s="240">
        <v>0.14596282488120896</v>
      </c>
      <c r="G7" s="240">
        <v>2.2528620676195708</v>
      </c>
      <c r="H7" s="240">
        <v>5.3986394353114884</v>
      </c>
      <c r="I7" s="240">
        <v>45.11802212469226</v>
      </c>
      <c r="J7" s="240">
        <v>0</v>
      </c>
      <c r="K7" s="240">
        <v>153.85766298070843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63.719282873772414</v>
      </c>
      <c r="E8" s="240">
        <v>20.039498044815318</v>
      </c>
      <c r="F8" s="240">
        <v>0.23461711386879117</v>
      </c>
      <c r="G8" s="240">
        <v>2.3447387190129585</v>
      </c>
      <c r="H8" s="240">
        <v>5.5346783341970225</v>
      </c>
      <c r="I8" s="240">
        <v>45.173390358640965</v>
      </c>
      <c r="J8" s="240">
        <v>0</v>
      </c>
      <c r="K8" s="240">
        <v>156.95116991278553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1.4201719861750002</v>
      </c>
      <c r="E11" s="240">
        <v>0.45076703432000015</v>
      </c>
      <c r="F11" s="240">
        <v>0</v>
      </c>
      <c r="G11" s="240">
        <v>16.27366559690411</v>
      </c>
      <c r="H11" s="240">
        <v>0</v>
      </c>
      <c r="I11" s="240">
        <v>0</v>
      </c>
      <c r="J11" s="240">
        <v>0</v>
      </c>
      <c r="K11" s="240">
        <v>25.613091245143636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16.022658393242192</v>
      </c>
      <c r="H12" s="240">
        <v>0</v>
      </c>
      <c r="I12" s="240">
        <v>0</v>
      </c>
      <c r="J12" s="240">
        <v>0</v>
      </c>
      <c r="K12" s="240">
        <v>25.428528919797543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123.34878063324493</v>
      </c>
      <c r="E13" s="240">
        <v>61.115014597111241</v>
      </c>
      <c r="F13" s="240">
        <v>0.38057993875000012</v>
      </c>
      <c r="G13" s="240">
        <v>4.5976007866325297</v>
      </c>
      <c r="H13" s="240">
        <v>14.884364897338088</v>
      </c>
      <c r="I13" s="240">
        <v>137.78050740767509</v>
      </c>
      <c r="J13" s="240">
        <v>0</v>
      </c>
      <c r="K13" s="240">
        <v>399.36649595872484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37.388606948151306</v>
      </c>
      <c r="H14" s="240">
        <v>0</v>
      </c>
      <c r="I14" s="240">
        <v>0</v>
      </c>
      <c r="J14" s="240">
        <v>0</v>
      </c>
      <c r="K14" s="240">
        <v>67.657478834656189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7805831.8694405425</v>
      </c>
      <c r="E4" s="241">
        <v>1834001.1901776728</v>
      </c>
      <c r="F4" s="241">
        <v>24394.90109435247</v>
      </c>
      <c r="G4" s="241">
        <v>2496360.7088010199</v>
      </c>
      <c r="H4" s="241">
        <v>1497777.1733240632</v>
      </c>
      <c r="I4" s="241">
        <v>14927579.577345751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8321598.9393502567</v>
      </c>
      <c r="E5" s="241">
        <v>1714475.0703735081</v>
      </c>
      <c r="F5" s="241">
        <v>39211.773905647548</v>
      </c>
      <c r="G5" s="241">
        <v>2479453.136644504</v>
      </c>
      <c r="H5" s="241">
        <v>1498433.9529448485</v>
      </c>
      <c r="I5" s="241">
        <v>15341021.218596067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16256157.168790799</v>
      </c>
      <c r="E6" s="241">
        <v>5223894.2512064083</v>
      </c>
      <c r="F6" s="241">
        <v>63606.675000000017</v>
      </c>
      <c r="G6" s="241">
        <v>5679829.9612788577</v>
      </c>
      <c r="H6" s="241">
        <v>4572084.6047000876</v>
      </c>
      <c r="I6" s="241">
        <v>35558407.48086156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12061659.217710676</v>
      </c>
      <c r="C4" s="98">
        <v>-24610.813181900667</v>
      </c>
      <c r="D4" s="98">
        <v>5507316.8818720337</v>
      </c>
      <c r="E4" s="98">
        <v>8852683.6564139053</v>
      </c>
      <c r="F4" s="98">
        <v>-1707739.728033402</v>
      </c>
      <c r="G4" s="98">
        <v>-565990.77935995674</v>
      </c>
      <c r="H4" s="98">
        <v>0</v>
      </c>
      <c r="I4" s="98">
        <v>24123318.435421359</v>
      </c>
    </row>
    <row r="5" spans="1:9" x14ac:dyDescent="0.25">
      <c r="A5" s="78">
        <v>2050</v>
      </c>
      <c r="B5" s="98">
        <v>11381001.09678873</v>
      </c>
      <c r="C5" s="98">
        <v>-40179.115818099352</v>
      </c>
      <c r="D5" s="98">
        <v>5485230.909845111</v>
      </c>
      <c r="E5" s="98">
        <v>8714081.1908516288</v>
      </c>
      <c r="F5" s="98">
        <v>-2227605.1235059141</v>
      </c>
      <c r="G5" s="98">
        <v>-550526.76458399382</v>
      </c>
      <c r="H5" s="98">
        <v>0</v>
      </c>
      <c r="I5" s="98">
        <v>22762002.193577465</v>
      </c>
    </row>
    <row r="6" spans="1:9" x14ac:dyDescent="0.25">
      <c r="A6" s="78" t="s">
        <v>61</v>
      </c>
      <c r="B6" s="98">
        <v>37960122.756875247</v>
      </c>
      <c r="C6" s="98">
        <v>-64948.366200000019</v>
      </c>
      <c r="D6" s="98">
        <v>16511809.692453861</v>
      </c>
      <c r="E6" s="98">
        <v>27292231.036999717</v>
      </c>
      <c r="F6" s="98">
        <v>-4497244.8515393157</v>
      </c>
      <c r="G6" s="98">
        <v>-1281724.7548390103</v>
      </c>
      <c r="H6" s="98">
        <v>0</v>
      </c>
      <c r="I6" s="98">
        <v>75920245.513750508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10369071.834223954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4031787.1463158978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1088045.8124689222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2154506.8629341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-1423024.3224583613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-516531.08471977338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9802558.8435188979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3906669.7542952816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1088045.8124689227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2154506.8629340995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-1849222.4776918571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-502600.52422498411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1692587.3834867217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1228927.7363285178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117269.43380756295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232146.66455890334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-284715.40557504073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-49459.694640183312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1578442.2532698335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1215442.6627868579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117269.43380756291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232146.66455890334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-378382.64581405697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-47926.24035900968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1025729.6203575714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713505.92728443746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5523408.7197105791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229440.63810667559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378080.80621229054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29404263.983943939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220830.77573350482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1818589.8087592444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5024574.3595380196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6101831.6290168501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32793.097303413146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1048609.453845398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1145476.8591293055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729011.95091777691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158491.06742829576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301497.09442768525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211505.55492892067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1683096.8033949384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69084.929808935805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116086.90219815794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8332694.7229536632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68513.709869912811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536733.47505489504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1571187.4884325294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1823285.6405542411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10163.089759541812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314116.08613367198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357304.25157150667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220334.04456617165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43858.564110476924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1736252.1166384006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545883.48119174724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540183.88336159918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139216.51880825273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576591.97905547544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4041909.7731788829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1900635.8217001744</v>
      </c>
      <c r="J30" s="76">
        <f t="shared" si="2"/>
        <v>1900635.8217001744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44370.662327297228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171270.75658336733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73253.400763838363</v>
      </c>
      <c r="J31" s="76">
        <f t="shared" si="2"/>
        <v>73253.400763838363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64930.608396310665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285694.67694376694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219833.69733892806</v>
      </c>
      <c r="J32" s="76">
        <f t="shared" si="2"/>
        <v>219833.69733892806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359534.40705289674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17840097.277964737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17840097.277964737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7457.2400160431316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154737.73033289498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154737.73033289498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31365.844342236556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1332135.6218790098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1332135.6218790098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47938.272936646019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3895163.5502552376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3895163.5502552376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97058.944942455943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4320093.639388714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4320093.639388714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2908.0623604905873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24689.449440565091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24689.449440565091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25738.466902719567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766901.90582075517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766901.90582075517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57862.561202403813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826790.08020882867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197882.43717926473</v>
      </c>
      <c r="J40" s="76">
        <f t="shared" si="2"/>
        <v>197882.43717926473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10867.586324157863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543379.31620789308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543379.31620789308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4179.063908207143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101928.38800505229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101928.38800505229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101375.57782061782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1397969.21814632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1397969.21814632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122307.389496616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574441.11624875641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270120.66678102472</v>
      </c>
      <c r="J72" s="76">
        <f t="shared" ref="J72:J139" si="15">IF(I72&lt;&gt;0,I72,H72)</f>
        <v>270120.66678102472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9411.9586754872907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20708.191477807137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8857.0020923550001</v>
      </c>
      <c r="J73" s="76">
        <f t="shared" si="15"/>
        <v>8857.0020923550001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13773.159356793169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33331.045643439473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25647.264689541604</v>
      </c>
      <c r="J74" s="76">
        <f t="shared" si="15"/>
        <v>25647.264689541604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76264.874223341743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2951725.1859905296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2951725.1859905296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1581.8387912818764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18709.198303886395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18709.198303886395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6653.3609210804825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161067.30700900755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161067.30700900755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10168.724562318854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470960.6838035878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470960.6838035878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20588.261048399749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760598.30438934651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760598.30438934651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616.86171283133672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2985.1788869046882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2985.1788869046882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5459.6747975465751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92725.412249236761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92725.412249236761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12273.876618691718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99966.436970703828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23925.78558622019</v>
      </c>
      <c r="J82" s="76">
        <f t="shared" si="15"/>
        <v>23925.78558622019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2305.2455839122736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65699.499141499793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65699.499141499793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886.46810174090911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12324.068731519956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12324.068731519956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21503.910446797723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296538.92506134062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296538.92506134062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179389.67006955924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1257521.5871876103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591327.04817660281</v>
      </c>
      <c r="J282" s="76">
        <f t="shared" si="55"/>
        <v>591327.04817660281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13804.629208856637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53285.868746186621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22790.645502950778</v>
      </c>
      <c r="J283" s="76">
        <f t="shared" si="55"/>
        <v>22790.645502950778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20201.252949634338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88885.512978391082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68394.802335617322</v>
      </c>
      <c r="J284" s="76">
        <f t="shared" si="55"/>
        <v>68394.802335617322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111858.57764710314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5550422.6228492586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5550422.6228492586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2320.101344973416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48142.102908198387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48142.102908198387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9758.5618121573061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414454.89770469151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414454.89770469151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14914.586532918138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1211865.8072418857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1211865.8072418857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30197.041830253234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1344070.3318645717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1344070.3318645717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904.75824558759291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7681.3975050386643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7681.3975050386643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8007.7684974714139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238599.01777729217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238599.01777729217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18002.237527623009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257231.46539153677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61565.312053592112</v>
      </c>
      <c r="J292" s="76">
        <f t="shared" si="55"/>
        <v>61565.312053592112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3381.1304977511027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169056.52488755516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169056.52488755516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1300.1930705330769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31712.026110562852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31712.026110562852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31540.035447842853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434937.08882575296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434937.08882575296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38052.354257179235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178720.49223969373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84040.116846917197</v>
      </c>
      <c r="J324" s="76">
        <f t="shared" si="55"/>
        <v>84040.116846917197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2928.2546806665596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6442.745948402564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2755.596228993139</v>
      </c>
      <c r="J325" s="76">
        <f t="shared" si="55"/>
        <v>2755.596228993139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4285.1142620436467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10369.976514145626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7979.3936058220206</v>
      </c>
      <c r="J326" s="76">
        <f t="shared" si="55"/>
        <v>7979.3936058220206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23727.577076658243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918342.65214414988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918342.65214414988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492.14270953981543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5820.8178970821664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5820.8178970821664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2069.9979601545801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50111.364904294518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50111.364904294518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3163.7001736493021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146525.59305742799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146525.59305742799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6405.4331155082618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236637.83721615636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236637.83721615636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191.91841573070153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928.75078924558386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928.75078924558386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1698.6175600696938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28848.790331254411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28848.790331254411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3818.6564452533657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31101.622633703992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7443.8059119343161</v>
      </c>
      <c r="J334" s="76">
        <f t="shared" si="55"/>
        <v>7443.8059119343161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717.2094995229611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20440.47073640439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20440.47073640439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275.79853011307694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3834.2722479135091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3834.2722479135091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6690.3105495424243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92259.382478190048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92259.382478190048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407517611980438</vt:r8>
  </property>
</Properties>
</file>