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D2EE13F9-77D0-46A1-A9BF-F88DB75F798B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60" r:id="rId37"/>
    <pivotCache cacheId="465" r:id="rId38"/>
    <pivotCache cacheId="470" r:id="rId39"/>
    <pivotCache cacheId="476" r:id="rId40"/>
    <pivotCache cacheId="481" r:id="rId41"/>
    <pivotCache cacheId="486" r:id="rId42"/>
    <pivotCache cacheId="490" r:id="rId43"/>
    <pivotCache cacheId="495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C5" i="9"/>
  <c r="D5" i="9" s="1"/>
  <c r="C33" i="17" l="1"/>
  <c r="D33" i="17" s="1"/>
  <c r="E33" i="17" s="1"/>
  <c r="C34" i="17"/>
  <c r="D34" i="17" s="1"/>
  <c r="C35" i="17"/>
  <c r="C36" i="17"/>
  <c r="D36" i="17" s="1"/>
  <c r="E36" i="17" s="1"/>
  <c r="C37" i="17"/>
  <c r="D37" i="17" s="1"/>
  <c r="E37" i="17" s="1"/>
  <c r="C38" i="17"/>
  <c r="C39" i="17"/>
  <c r="C40" i="17"/>
  <c r="D40" i="17" s="1"/>
  <c r="E40" i="17" s="1"/>
  <c r="C41" i="17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D39" i="17" l="1"/>
  <c r="E39" i="17" s="1"/>
  <c r="D41" i="17"/>
  <c r="E41" i="17" s="1"/>
  <c r="D38" i="17"/>
  <c r="E38" i="17" s="1"/>
  <c r="E34" i="17"/>
  <c r="E32" i="17"/>
  <c r="D46" i="17" l="1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C24" i="20" l="1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D24" i="20" l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71" i="35" l="1"/>
  <c r="H171" i="35"/>
  <c r="H173" i="35"/>
  <c r="I173" i="35"/>
  <c r="H172" i="35"/>
  <c r="H174" i="35"/>
  <c r="I172" i="35"/>
  <c r="I174" i="35"/>
  <c r="H175" i="35"/>
  <c r="H177" i="35"/>
  <c r="I175" i="35"/>
  <c r="J93" i="37" s="1"/>
  <c r="I177" i="35"/>
  <c r="J96" i="37" s="1"/>
  <c r="H176" i="35"/>
  <c r="I176" i="35"/>
  <c r="I178" i="35"/>
  <c r="H178" i="35"/>
  <c r="I102" i="58" s="1"/>
  <c r="I179" i="35"/>
  <c r="H179" i="35"/>
  <c r="I181" i="35"/>
  <c r="H181" i="35"/>
  <c r="I180" i="35"/>
  <c r="I182" i="35"/>
  <c r="H182" i="35"/>
  <c r="I116" i="58" s="1"/>
  <c r="H180" i="35"/>
  <c r="I110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99" i="58"/>
  <c r="I99" i="37"/>
  <c r="I102" i="37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58"/>
  <c r="J86" i="37"/>
  <c r="H113" i="37"/>
  <c r="H113" i="58"/>
  <c r="H81" i="58"/>
  <c r="H81" i="37"/>
  <c r="I113" i="37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58"/>
  <c r="H110" i="37"/>
  <c r="H110" i="58"/>
  <c r="H78" i="37"/>
  <c r="H78" i="58"/>
  <c r="I112" i="37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H99" i="58"/>
  <c r="H99" i="37"/>
  <c r="I118" i="37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J99" i="37" l="1"/>
  <c r="J101" i="37"/>
  <c r="J97" i="37"/>
  <c r="J98" i="37"/>
  <c r="I113" i="58"/>
  <c r="I115" i="58"/>
  <c r="I118" i="58"/>
  <c r="I112" i="58"/>
  <c r="I117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F140" i="66"/>
  <c r="J437" i="41"/>
  <c r="I413" i="41"/>
  <c r="F284" i="66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T11" i="66"/>
  <c r="C45" i="63"/>
  <c r="T155" i="66"/>
  <c r="E351" i="38"/>
  <c r="K27" i="66" s="1"/>
  <c r="H454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Z282" i="66"/>
  <c r="Z138" i="66"/>
  <c r="Y138" i="66"/>
  <c r="Y282" i="66"/>
  <c r="J189" i="66"/>
  <c r="H437" i="58"/>
  <c r="R171" i="66"/>
  <c r="S171" i="66"/>
  <c r="P171" i="66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J153" i="66" l="1"/>
  <c r="R153" i="66" s="1"/>
  <c r="P16" i="39"/>
  <c r="Q16" i="39" s="1"/>
  <c r="H456" i="41"/>
  <c r="H437" i="41"/>
  <c r="C36" i="63"/>
  <c r="T171" i="66"/>
  <c r="R189" i="66"/>
  <c r="S189" i="66"/>
  <c r="P189" i="66"/>
  <c r="P9" i="66"/>
  <c r="S9" i="66"/>
  <c r="R9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T45" i="66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P15" i="39" s="1"/>
  <c r="C6" i="39"/>
  <c r="E30" i="26"/>
  <c r="E32" i="22"/>
  <c r="E34" i="26"/>
  <c r="I198" i="35" s="1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AA3" i="39" l="1"/>
  <c r="E27" i="17"/>
  <c r="E25" i="17"/>
  <c r="O15" i="39"/>
  <c r="D27" i="17"/>
  <c r="D25" i="17"/>
  <c r="D26" i="17"/>
  <c r="D24" i="17"/>
  <c r="E26" i="17"/>
  <c r="E24" i="17"/>
  <c r="E28" i="17" s="1"/>
  <c r="D6" i="39"/>
  <c r="L42" i="39"/>
  <c r="E157" i="38" s="1"/>
  <c r="J236" i="66" s="1"/>
  <c r="D42" i="39"/>
  <c r="E106" i="38" s="1"/>
  <c r="J92" i="66" s="1"/>
  <c r="D15" i="39"/>
  <c r="AB3" i="39" s="1"/>
  <c r="Q10" i="9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D28" i="17" l="1"/>
  <c r="N92" i="66"/>
  <c r="F15" i="39"/>
  <c r="S92" i="66"/>
  <c r="P92" i="66"/>
  <c r="N236" i="66"/>
  <c r="S236" i="66"/>
  <c r="P236" i="66"/>
  <c r="E42" i="39"/>
  <c r="E123" i="38" s="1"/>
  <c r="J140" i="66" s="1"/>
  <c r="M42" i="39"/>
  <c r="E174" i="38" s="1"/>
  <c r="J284" i="66" s="1"/>
  <c r="E15" i="39"/>
  <c r="AC3" i="39" s="1"/>
  <c r="E48" i="17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Y92" i="66"/>
  <c r="Y236" i="66"/>
  <c r="O92" i="66"/>
  <c r="Q92" i="66" s="1"/>
  <c r="R92" i="66" s="1"/>
  <c r="T92" i="66" s="1"/>
  <c r="Z92" i="66"/>
  <c r="Z236" i="66"/>
  <c r="N284" i="66"/>
  <c r="P284" i="66"/>
  <c r="S284" i="66"/>
  <c r="N140" i="66"/>
  <c r="P140" i="66"/>
  <c r="S140" i="66"/>
  <c r="G15" i="39"/>
  <c r="O33" i="20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Y140" i="66"/>
  <c r="Z284" i="66"/>
  <c r="O140" i="66"/>
  <c r="Q140" i="66" s="1"/>
  <c r="R140" i="66" s="1"/>
  <c r="T140" i="66" s="1"/>
  <c r="Y284" i="66"/>
  <c r="Z140" i="66"/>
  <c r="R9" i="20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I19" i="20"/>
  <c r="R19" i="20"/>
  <c r="F18" i="20"/>
  <c r="O18" i="20"/>
  <c r="H49" i="35" s="1" a="1"/>
  <c r="H49" i="35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G69" i="18" a="1"/>
  <c r="G69" i="18" s="1"/>
  <c r="G62" i="18" a="1"/>
  <c r="G62" i="18" s="1"/>
  <c r="G61" i="18" a="1"/>
  <c r="G61" i="18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H57" i="35" l="1" a="1"/>
  <c r="H57" i="35" s="1"/>
  <c r="G64" i="18" a="1"/>
  <c r="G64" i="18" s="1"/>
  <c r="G16" i="18" a="1"/>
  <c r="G16" i="18" s="1"/>
  <c r="H6" i="35" a="1"/>
  <c r="H6" i="35" s="1"/>
  <c r="H55" i="35" a="1"/>
  <c r="H55" i="35" s="1"/>
  <c r="H15" i="35" a="1"/>
  <c r="H15" i="35" s="1"/>
  <c r="O20" i="20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3" i="18"/>
  <c r="I58" i="18"/>
  <c r="J335" i="18"/>
  <c r="F335" i="18"/>
  <c r="F280" i="18"/>
  <c r="F279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5" i="18" l="1"/>
  <c r="J25" i="18" s="1"/>
  <c r="I59" i="18"/>
  <c r="I27" i="18"/>
  <c r="J27" i="18" s="1"/>
  <c r="I71" i="18"/>
  <c r="J71" i="18" s="1"/>
  <c r="I60" i="18"/>
  <c r="I18" i="18"/>
  <c r="J18" i="18" s="1"/>
  <c r="F288" i="18"/>
  <c r="J328" i="18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332" i="18"/>
  <c r="J332" i="18"/>
  <c r="J291" i="18"/>
  <c r="F291" i="18"/>
  <c r="F64" i="18"/>
  <c r="J64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F17" i="18" l="1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37"/>
  <c r="J19" i="37"/>
  <c r="I55" i="37"/>
  <c r="I31" i="37"/>
  <c r="H163" i="58"/>
  <c r="H163" i="37"/>
  <c r="H71" i="58"/>
  <c r="H59" i="37"/>
  <c r="H47" i="58"/>
  <c r="H47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I54" i="58" s="1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42" i="37"/>
  <c r="H45" i="58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49" i="37"/>
  <c r="I65" i="58"/>
  <c r="I65" i="37"/>
  <c r="I53" i="58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J46" i="58"/>
  <c r="I58" i="37"/>
  <c r="I58" i="58"/>
  <c r="H58" i="37"/>
  <c r="H58" i="58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I70" i="58"/>
  <c r="I22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1" i="37"/>
  <c r="J21" i="58"/>
  <c r="J18" i="58"/>
  <c r="J18" i="37"/>
  <c r="J15" i="37"/>
  <c r="J15" i="58"/>
  <c r="I53" i="37" l="1"/>
  <c r="H35" i="37"/>
  <c r="H22" i="37"/>
  <c r="J34" i="58"/>
  <c r="I35" i="37"/>
  <c r="J19" i="58"/>
  <c r="J43" i="37"/>
  <c r="H21" i="37"/>
  <c r="J24" i="58"/>
  <c r="H40" i="58"/>
  <c r="J26" i="37"/>
  <c r="J26" i="41" s="1"/>
  <c r="G12" i="39"/>
  <c r="H45" i="37"/>
  <c r="I66" i="58"/>
  <c r="J34" i="37"/>
  <c r="H69" i="58"/>
  <c r="H40" i="37"/>
  <c r="J73" i="37"/>
  <c r="J67" i="58"/>
  <c r="J67" i="41" s="1"/>
  <c r="I70" i="37"/>
  <c r="G13" i="39"/>
  <c r="G16" i="39"/>
  <c r="H64" i="37"/>
  <c r="H64" i="41" s="1"/>
  <c r="H73" i="58"/>
  <c r="H33" i="37"/>
  <c r="H31" i="58"/>
  <c r="H31" i="41" s="1"/>
  <c r="I46" i="58"/>
  <c r="I25" i="37"/>
  <c r="J38" i="37"/>
  <c r="J54" i="37"/>
  <c r="J23" i="37"/>
  <c r="I45" i="37"/>
  <c r="J22" i="37"/>
  <c r="I17" i="37"/>
  <c r="I31" i="58"/>
  <c r="I31" i="41" s="1"/>
  <c r="I22" i="37"/>
  <c r="I22" i="41" s="1"/>
  <c r="H28" i="37"/>
  <c r="I30" i="37"/>
  <c r="I34" i="37"/>
  <c r="H27" i="37"/>
  <c r="H27" i="41" s="1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18" i="37"/>
  <c r="I18" i="41" s="1"/>
  <c r="J40" i="58"/>
  <c r="I55" i="58"/>
  <c r="I55" i="41" s="1"/>
  <c r="H62" i="58"/>
  <c r="I71" i="37"/>
  <c r="I71" i="41" s="1"/>
  <c r="J52" i="58"/>
  <c r="J35" i="37"/>
  <c r="I30" i="58"/>
  <c r="I69" i="37"/>
  <c r="I69" i="41" s="1"/>
  <c r="J62" i="37"/>
  <c r="H71" i="37"/>
  <c r="H71" i="41" s="1"/>
  <c r="H17" i="37"/>
  <c r="H17" i="41" s="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H450" i="41"/>
  <c r="H55" i="41"/>
  <c r="H47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J34" i="41" l="1"/>
  <c r="I25" i="41"/>
  <c r="I66" i="41"/>
  <c r="I30" i="41"/>
  <c r="J23" i="41"/>
  <c r="G27" i="39"/>
  <c r="H33" i="41"/>
  <c r="N59" i="66"/>
  <c r="H28" i="4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O237" i="66" l="1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216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72" i="66"/>
  <c r="Y72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Z216" i="66" l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P265" i="66"/>
  <c r="S265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H433" i="41" l="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T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O228" i="66" l="1"/>
  <c r="V228" i="66" s="1"/>
  <c r="X228" i="66" s="1"/>
  <c r="N211" i="66"/>
  <c r="O211" i="66" s="1"/>
  <c r="Q289" i="66"/>
  <c r="R289" i="66" s="1"/>
  <c r="T289" i="66" s="1"/>
  <c r="Q178" i="66"/>
  <c r="O184" i="66"/>
  <c r="Q184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Q228" i="66" l="1"/>
  <c r="R228" i="66" s="1"/>
  <c r="T228" i="66" s="1"/>
  <c r="U228" i="66"/>
  <c r="U184" i="66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F19" i="39" l="1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G19" i="39" l="1"/>
  <c r="H445" i="58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X260" i="66" s="1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X211" i="66" s="1"/>
  <c r="U163" i="66"/>
  <c r="U67" i="66"/>
  <c r="V67" i="66"/>
  <c r="V259" i="66"/>
  <c r="V115" i="66"/>
  <c r="U259" i="66"/>
  <c r="U115" i="66"/>
  <c r="U19" i="66"/>
  <c r="X68" i="66" l="1"/>
  <c r="X123" i="66"/>
  <c r="X284" i="66"/>
  <c r="X236" i="66"/>
  <c r="X285" i="66"/>
  <c r="X226" i="66"/>
  <c r="X22" i="66"/>
  <c r="X196" i="66"/>
  <c r="X265" i="66"/>
  <c r="X231" i="66"/>
  <c r="X89" i="66"/>
  <c r="X39" i="66"/>
  <c r="X255" i="66"/>
  <c r="X241" i="66"/>
  <c r="X287" i="66"/>
  <c r="X217" i="66"/>
  <c r="X31" i="66"/>
  <c r="X29" i="66"/>
  <c r="X104" i="66"/>
  <c r="X105" i="66"/>
  <c r="X107" i="66"/>
  <c r="X160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J4" i="37" l="1"/>
  <c r="J4" i="58"/>
  <c r="I4" i="37"/>
  <c r="I4" i="58"/>
  <c r="H4" i="37" l="1"/>
  <c r="H4" i="58"/>
  <c r="N4" i="58"/>
  <c r="F197" i="66"/>
  <c r="E25" i="53"/>
  <c r="L45" i="39"/>
  <c r="E19" i="53"/>
  <c r="I4" i="41"/>
  <c r="D45" i="39" s="1"/>
  <c r="F53" i="66"/>
  <c r="F245" i="66"/>
  <c r="E37" i="53"/>
  <c r="O4" i="58"/>
  <c r="M45" i="39"/>
  <c r="F101" i="66"/>
  <c r="J4" i="41"/>
  <c r="E45" i="39" s="1"/>
  <c r="E31" i="53"/>
  <c r="E107" i="38" l="1"/>
  <c r="D59" i="39"/>
  <c r="D60" i="39" s="1"/>
  <c r="D56" i="39"/>
  <c r="L59" i="39"/>
  <c r="L60" i="39" s="1"/>
  <c r="L56" i="39"/>
  <c r="E158" i="38"/>
  <c r="E59" i="39"/>
  <c r="E60" i="39" s="1"/>
  <c r="E124" i="38"/>
  <c r="E56" i="39"/>
  <c r="E13" i="53"/>
  <c r="F149" i="66"/>
  <c r="M4" i="58"/>
  <c r="M56" i="39"/>
  <c r="M59" i="39"/>
  <c r="M60" i="39" s="1"/>
  <c r="E175" i="38"/>
  <c r="F5" i="66"/>
  <c r="E7" i="53"/>
  <c r="H4" i="41"/>
  <c r="K45" i="39" s="1"/>
  <c r="C45" i="39"/>
  <c r="E58" i="39" l="1"/>
  <c r="E57" i="39"/>
  <c r="K59" i="39"/>
  <c r="K60" i="39" s="1"/>
  <c r="K56" i="39"/>
  <c r="E141" i="38"/>
  <c r="J197" i="66"/>
  <c r="I452" i="58"/>
  <c r="D25" i="53"/>
  <c r="F25" i="53" s="1"/>
  <c r="I444" i="58"/>
  <c r="D37" i="53"/>
  <c r="F37" i="53" s="1"/>
  <c r="J444" i="58"/>
  <c r="J245" i="66"/>
  <c r="J452" i="58"/>
  <c r="L58" i="39"/>
  <c r="L57" i="39"/>
  <c r="D31" i="53"/>
  <c r="F31" i="53" s="1"/>
  <c r="H37" i="53" s="1"/>
  <c r="J101" i="66"/>
  <c r="J452" i="37"/>
  <c r="J444" i="37"/>
  <c r="M58" i="39"/>
  <c r="M57" i="39"/>
  <c r="D57" i="39"/>
  <c r="D58" i="39"/>
  <c r="E90" i="38"/>
  <c r="C59" i="39"/>
  <c r="C60" i="39" s="1"/>
  <c r="C56" i="39"/>
  <c r="I452" i="37"/>
  <c r="D19" i="53"/>
  <c r="F19" i="53" s="1"/>
  <c r="H25" i="53" s="1"/>
  <c r="J53" i="66"/>
  <c r="I444" i="37"/>
  <c r="H444" i="37" l="1"/>
  <c r="D7" i="53"/>
  <c r="F7" i="53" s="1"/>
  <c r="H452" i="37"/>
  <c r="J5" i="66"/>
  <c r="W245" i="66"/>
  <c r="S245" i="66"/>
  <c r="G37" i="53"/>
  <c r="H31" i="53"/>
  <c r="G31" i="53" s="1"/>
  <c r="F246" i="66"/>
  <c r="J467" i="58"/>
  <c r="F198" i="66"/>
  <c r="I467" i="58"/>
  <c r="H19" i="53"/>
  <c r="G19" i="53" s="1"/>
  <c r="G25" i="53"/>
  <c r="I457" i="58"/>
  <c r="F199" i="66"/>
  <c r="W53" i="66"/>
  <c r="S53" i="66"/>
  <c r="W197" i="66"/>
  <c r="S197" i="66"/>
  <c r="H452" i="58"/>
  <c r="D13" i="53"/>
  <c r="F13" i="53" s="1"/>
  <c r="H7" i="53" s="1"/>
  <c r="J149" i="66"/>
  <c r="H444" i="58"/>
  <c r="I444" i="41"/>
  <c r="F54" i="66"/>
  <c r="I467" i="37"/>
  <c r="I457" i="37"/>
  <c r="I452" i="41"/>
  <c r="F55" i="66"/>
  <c r="K57" i="39"/>
  <c r="K58" i="39"/>
  <c r="C57" i="39"/>
  <c r="C58" i="39"/>
  <c r="F103" i="66"/>
  <c r="J457" i="37"/>
  <c r="J452" i="41"/>
  <c r="W101" i="66"/>
  <c r="S101" i="66"/>
  <c r="J444" i="41"/>
  <c r="F102" i="66"/>
  <c r="J467" i="37"/>
  <c r="J467" i="41" s="1"/>
  <c r="O3" i="41" s="1"/>
  <c r="F247" i="66"/>
  <c r="J457" i="58"/>
  <c r="L102" i="66" l="1"/>
  <c r="P102" i="66" s="1"/>
  <c r="N102" i="66"/>
  <c r="E337" i="38"/>
  <c r="E331" i="38"/>
  <c r="J457" i="41"/>
  <c r="J458" i="37"/>
  <c r="E366" i="38"/>
  <c r="K103" i="66" s="1"/>
  <c r="N103" i="66" s="1"/>
  <c r="J458" i="58"/>
  <c r="E385" i="38" s="1"/>
  <c r="K266" i="66" s="1"/>
  <c r="N266" i="66" s="1"/>
  <c r="E384" i="38"/>
  <c r="K247" i="66" s="1"/>
  <c r="N247" i="66" s="1"/>
  <c r="L246" i="66"/>
  <c r="P246" i="66" s="1"/>
  <c r="N246" i="66"/>
  <c r="O246" i="66" s="1"/>
  <c r="I467" i="41"/>
  <c r="E349" i="38"/>
  <c r="M245" i="66" s="1"/>
  <c r="E343" i="38"/>
  <c r="L198" i="66"/>
  <c r="P198" i="66" s="1"/>
  <c r="N198" i="66"/>
  <c r="E360" i="38"/>
  <c r="K55" i="66" s="1"/>
  <c r="N55" i="66" s="1"/>
  <c r="I457" i="41"/>
  <c r="I458" i="37"/>
  <c r="L54" i="66"/>
  <c r="P54" i="66" s="1"/>
  <c r="N54" i="66"/>
  <c r="F150" i="66"/>
  <c r="H467" i="58"/>
  <c r="S149" i="66"/>
  <c r="W149" i="66"/>
  <c r="E378" i="38"/>
  <c r="K199" i="66" s="1"/>
  <c r="N199" i="66" s="1"/>
  <c r="I458" i="58"/>
  <c r="E379" i="38" s="1"/>
  <c r="K218" i="66" s="1"/>
  <c r="N218" i="66" s="1"/>
  <c r="E319" i="38"/>
  <c r="E325" i="38"/>
  <c r="M197" i="66" s="1"/>
  <c r="S5" i="66"/>
  <c r="W5" i="66"/>
  <c r="F151" i="66"/>
  <c r="H457" i="58"/>
  <c r="E313" i="38"/>
  <c r="E307" i="38"/>
  <c r="H452" i="41"/>
  <c r="H457" i="37"/>
  <c r="F7" i="66"/>
  <c r="G7" i="53"/>
  <c r="H13" i="53"/>
  <c r="G13" i="53" s="1"/>
  <c r="H467" i="37"/>
  <c r="H444" i="41"/>
  <c r="F6" i="66"/>
  <c r="H467" i="41" l="1"/>
  <c r="M3" i="41" s="1"/>
  <c r="L6" i="66"/>
  <c r="P6" i="66" s="1"/>
  <c r="V6" i="66" s="1"/>
  <c r="X6" i="66" s="1"/>
  <c r="Q246" i="66"/>
  <c r="U246" i="66"/>
  <c r="V246" i="66"/>
  <c r="X246" i="66" s="1"/>
  <c r="E301" i="38"/>
  <c r="M149" i="66" s="1"/>
  <c r="E295" i="38"/>
  <c r="L150" i="66"/>
  <c r="P150" i="66" s="1"/>
  <c r="V150" i="66" s="1"/>
  <c r="X150" i="66" s="1"/>
  <c r="Z103" i="66"/>
  <c r="Y247" i="66"/>
  <c r="Z247" i="66"/>
  <c r="Y103" i="66"/>
  <c r="E289" i="38"/>
  <c r="E283" i="38"/>
  <c r="O198" i="66"/>
  <c r="O54" i="66"/>
  <c r="Z198" i="66"/>
  <c r="Y198" i="66"/>
  <c r="Z54" i="66"/>
  <c r="Y54" i="66"/>
  <c r="J458" i="41"/>
  <c r="E367" i="38"/>
  <c r="K122" i="66" s="1"/>
  <c r="N122" i="66" s="1"/>
  <c r="Y55" i="66"/>
  <c r="Z199" i="66"/>
  <c r="Z55" i="66"/>
  <c r="Y199" i="66"/>
  <c r="L53" i="66"/>
  <c r="I464" i="37"/>
  <c r="M53" i="66"/>
  <c r="F18" i="39" s="1"/>
  <c r="C22" i="8"/>
  <c r="J464" i="37"/>
  <c r="L101" i="66"/>
  <c r="E372" i="38"/>
  <c r="K151" i="66" s="1"/>
  <c r="N151" i="66" s="1"/>
  <c r="H458" i="58"/>
  <c r="E373" i="38" s="1"/>
  <c r="K170" i="66" s="1"/>
  <c r="N170" i="66" s="1"/>
  <c r="D22" i="8"/>
  <c r="M101" i="66"/>
  <c r="G18" i="39" s="1"/>
  <c r="H457" i="41"/>
  <c r="H458" i="37"/>
  <c r="E354" i="38"/>
  <c r="K7" i="66" s="1"/>
  <c r="N7" i="66" s="1"/>
  <c r="L197" i="66"/>
  <c r="I464" i="58"/>
  <c r="J464" i="58"/>
  <c r="L245" i="66"/>
  <c r="O102" i="66"/>
  <c r="Z102" i="66"/>
  <c r="Y102" i="66"/>
  <c r="Y246" i="66"/>
  <c r="Z246" i="66"/>
  <c r="I458" i="41"/>
  <c r="E361" i="38"/>
  <c r="K74" i="66" s="1"/>
  <c r="N74" i="66" s="1"/>
  <c r="N6" i="66" l="1"/>
  <c r="U102" i="66"/>
  <c r="Q102" i="66"/>
  <c r="V102" i="66"/>
  <c r="X102" i="66" s="1"/>
  <c r="N101" i="66"/>
  <c r="P101" i="66"/>
  <c r="N150" i="66"/>
  <c r="O150" i="66" s="1"/>
  <c r="P245" i="66"/>
  <c r="N245" i="66"/>
  <c r="O245" i="66" s="1"/>
  <c r="J464" i="41"/>
  <c r="Z266" i="66"/>
  <c r="Y122" i="66"/>
  <c r="Y266" i="66"/>
  <c r="Z122" i="66"/>
  <c r="H464" i="58"/>
  <c r="L149" i="66"/>
  <c r="N197" i="66"/>
  <c r="P197" i="66"/>
  <c r="I464" i="41"/>
  <c r="Q54" i="66"/>
  <c r="V54" i="66"/>
  <c r="X54" i="66" s="1"/>
  <c r="U54" i="66"/>
  <c r="Z151" i="66"/>
  <c r="Y151" i="66"/>
  <c r="Z7" i="66"/>
  <c r="Y7" i="66"/>
  <c r="N53" i="66"/>
  <c r="P53" i="66"/>
  <c r="V198" i="66"/>
  <c r="X198" i="66" s="1"/>
  <c r="U198" i="66"/>
  <c r="Q198" i="66"/>
  <c r="H458" i="41"/>
  <c r="E355" i="38"/>
  <c r="K26" i="66" s="1"/>
  <c r="N26" i="66" s="1"/>
  <c r="L5" i="66"/>
  <c r="H464" i="37"/>
  <c r="H464" i="41" s="1"/>
  <c r="Z74" i="66"/>
  <c r="Z218" i="66"/>
  <c r="Y218" i="66"/>
  <c r="Y74" i="66"/>
  <c r="B22" i="8"/>
  <c r="M5" i="66"/>
  <c r="Y6" i="66"/>
  <c r="O6" i="66"/>
  <c r="Z6" i="66"/>
  <c r="Z150" i="66"/>
  <c r="Y150" i="66"/>
  <c r="P5" i="66" l="1"/>
  <c r="V5" i="66" s="1"/>
  <c r="X5" i="66" s="1"/>
  <c r="R5" i="66"/>
  <c r="T5" i="66" s="1"/>
  <c r="N5" i="66"/>
  <c r="V245" i="66"/>
  <c r="X245" i="66" s="1"/>
  <c r="Q245" i="66"/>
  <c r="R245" i="66" s="1"/>
  <c r="T245" i="66" s="1"/>
  <c r="U245" i="66"/>
  <c r="Y170" i="66"/>
  <c r="Z170" i="66"/>
  <c r="Y26" i="66"/>
  <c r="Z26" i="66"/>
  <c r="Q150" i="66"/>
  <c r="U150" i="66"/>
  <c r="U6" i="66"/>
  <c r="Q6" i="66"/>
  <c r="O197" i="66"/>
  <c r="Z101" i="66"/>
  <c r="O101" i="66"/>
  <c r="Y245" i="66"/>
  <c r="Y101" i="66"/>
  <c r="Z245" i="66"/>
  <c r="R149" i="66"/>
  <c r="T149" i="66" s="1"/>
  <c r="P149" i="66"/>
  <c r="V149" i="66" s="1"/>
  <c r="X149" i="66" s="1"/>
  <c r="N149" i="66"/>
  <c r="O149" i="66" s="1"/>
  <c r="Z197" i="66"/>
  <c r="Y53" i="66"/>
  <c r="O53" i="66"/>
  <c r="Y197" i="66"/>
  <c r="Z53" i="66"/>
  <c r="U149" i="66" l="1"/>
  <c r="Q149" i="66"/>
  <c r="U101" i="66"/>
  <c r="Q101" i="66"/>
  <c r="R101" i="66" s="1"/>
  <c r="T101" i="66" s="1"/>
  <c r="V101" i="66"/>
  <c r="X101" i="66" s="1"/>
  <c r="V197" i="66"/>
  <c r="X197" i="66" s="1"/>
  <c r="Q197" i="66"/>
  <c r="R197" i="66" s="1"/>
  <c r="T197" i="66" s="1"/>
  <c r="U197" i="66"/>
  <c r="O5" i="66"/>
  <c r="Z149" i="66"/>
  <c r="Y5" i="66"/>
  <c r="Y149" i="66"/>
  <c r="Z5" i="66"/>
  <c r="U53" i="66"/>
  <c r="Q53" i="66"/>
  <c r="R53" i="66" s="1"/>
  <c r="T53" i="66" s="1"/>
  <c r="V53" i="66"/>
  <c r="X53" i="66" s="1"/>
  <c r="Q5" i="66" l="1"/>
  <c r="U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<sst xmlns="http://schemas.openxmlformats.org/spreadsheetml/2006/main" count="4029" uniqueCount="339">
  <si>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</si>
  <si>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</si>
  <si>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</si>
  <si>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</si>
  <si>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</si>
  <si>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</si>
  <si>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</si>
  <si>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</si>
  <si>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</si>
  <si>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</si>
  <si>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</si>
  <si>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</si>
  <si>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</si>
  <si>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</si>
  <si>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</si>
  <si>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</si>
  <si>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</si>
  <si>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</si>
  <si>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</si>
  <si>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</si>
  <si>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</si>
  <si>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</si>
  <si>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</si>
  <si>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</si>
  <si>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</si>
  <si>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</si>
  <si>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</si>
  <si>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</si>
  <si>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</si>
  <si>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</si>
  <si>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</si>
  <si>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</si>
  <si>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</si>
  <si>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</si>
  <si>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</si>
  <si>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</si>
  <si>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</si>
  <si>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</si>
  <si>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</si>
  <si>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</si>
  <si>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</si>
  <si>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</si>
  <si>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</si>
  <si>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</si>
  <si>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</si>
  <si>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</si>
  <si>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</si>
  <si>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</si>
  <si>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</si>
  <si>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</si>
  <si>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</si>
  <si>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</si>
  <si>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</si>
  <si>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</si>
  <si>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</si>
  <si>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</si>
  <si>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</si>
  <si>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</si>
  <si>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</si>
  <si>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</si>
  <si>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</si>
  <si>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</si>
  <si>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</si>
  <si>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</si>
  <si>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</si>
  <si>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</si>
  <si>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</si>
  <si>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</si>
  <si>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</si>
  <si>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</si>
  <si>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</si>
  <si>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</si>
  <si>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</si>
  <si>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</si>
  <si>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</si>
  <si>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</si>
  <si>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</si>
  <si>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</si>
  <si>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</si>
  <si>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</si>
  <si>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</si>
  <si>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</si>
  <si>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</si>
  <si>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</si>
  <si>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</si>
  <si>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</si>
  <si>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</si>
  <si>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</si>
  <si>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</si>
  <si>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</si>
  <si>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</si>
  <si>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</si>
  <si>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</si>
  <si>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</si>
  <si>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</si>
  <si>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</si>
  <si>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</si>
  <si>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</si>
  <si>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</si>
  <si>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</si>
  <si>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</si>
  <si>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</si>
  <si>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</si>
  <si>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</si>
  <si>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</si>
  <si>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</si>
  <si>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</si>
  <si>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</si>
  <si>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</si>
  <si>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</si>
  <si>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</si>
  <si>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</si>
  <si>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</si>
  <si>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</si>
  <si>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</si>
  <si>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</si>
  <si>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</si>
  <si>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</si>
  <si>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</si>
  <si>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</si>
  <si>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</si>
  <si>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</si>
  <si>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</si>
  <si>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</si>
  <si>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</si>
  <si>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</si>
  <si>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</si>
  <si>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</si>
  <si>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</si>
  <si>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</si>
  <si>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</si>
  <si>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</si>
  <si>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</si>
  <si>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</si>
  <si>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</si>
  <si>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</si>
  <si>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</si>
  <si>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</si>
  <si>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</si>
  <si>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</si>
  <si>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</si>
  <si>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</si>
  <si>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</si>
  <si>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</si>
  <si>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</si>
  <si>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</si>
  <si>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</si>
  <si>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</si>
  <si>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</si>
  <si>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</si>
  <si>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</si>
  <si>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</si>
  <si>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</si>
  <si>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</si>
  <si>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</si>
  <si>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</si>
  <si>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</si>
  <si>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</si>
  <si>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</si>
  <si>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</si>
  <si>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</si>
  <si>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</si>
  <si>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</si>
  <si>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</si>
  <si>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</si>
  <si>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</si>
  <si>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</si>
  <si>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</si>
  <si>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</si>
  <si>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</si>
  <si>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</si>
  <si>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</si>
  <si>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</si>
  <si>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</si>
  <si>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</si>
  <si>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</si>
  <si>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</si>
  <si>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</si>
  <si>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</si>
  <si>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</si>
  <si>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</si>
  <si>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</si>
  <si>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</si>
  <si>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</si>
  <si>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</si>
  <si>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</si>
  <si>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</si>
  <si>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</si>
  <si>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</si>
  <si>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</si>
  <si>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</si>
  <si>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</si>
  <si>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</si>
  <si>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</si>
  <si>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</si>
  <si>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</si>
  <si>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</si>
  <si>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</si>
  <si>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</si>
  <si>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</si>
  <si>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</si>
  <si>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</si>
  <si>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</si>
  <si>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</si>
  <si>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</si>
  <si>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</si>
  <si>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</si>
  <si>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</si>
  <si>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</si>
  <si>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</si>
  <si>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</si>
  <si>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</si>
  <si>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</si>
  <si>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</si>
  <si>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</si>
  <si>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</si>
  <si>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</si>
  <si>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</si>
  <si>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</si>
  <si>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</si>
  <si>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</si>
  <si>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</si>
  <si>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</si>
  <si>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</si>
  <si>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</si>
  <si>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</si>
  <si>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</si>
  <si>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</si>
  <si>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</si>
  <si>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</si>
  <si>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</si>
  <si>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</si>
  <si>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</si>
  <si>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</si>
  <si>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</si>
  <si>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</si>
  <si>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</si>
  <si>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</si>
  <si>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</si>
  <si>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</si>
  <si>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</si>
  <si>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</si>
  <si>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</si>
  <si>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</si>
  <si>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</si>
  <si>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</si>
  <si>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</si>
  <si>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</si>
  <si>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</si>
  <si>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</si>
  <si>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</si>
  <si>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</si>
  <si>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</si>
  <si>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</si>
  <si>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</si>
  <si>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</si>
  <si>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</si>
  <si>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</si>
  <si>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</si>
  <si>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</si>
  <si>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</si>
  <si>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</si>
  <si>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</si>
  <si>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</si>
  <si>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</si>
  <si>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</si>
  <si>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</si>
  <si>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</si>
  <si>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</si>
  <si>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</si>
  <si>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</si>
  <si>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</si>
  <si>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</si>
  <si>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</si>
  <si>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</si>
  <si>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</si>
  <si>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</si>
  <si>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</si>
  <si>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</si>
  <si>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</si>
  <si>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</si>
  <si>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</si>
  <si>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</si>
  <si>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</si>
  <si>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</si>
  <si>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</si>
  <si>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</si>
  <si>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</si>
  <si>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</si>
  <si>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</si>
  <si>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</si>
  <si>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</si>
  <si>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</si>
  <si>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</si>
  <si>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</si>
  <si>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</si>
  <si>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</si>
  <si>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</si>
  <si>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</si>
  <si>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</si>
  <si>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</si>
  <si>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</si>
  <si>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</si>
  <si>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</si>
  <si>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</si>
  <si>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</si>
  <si>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</si>
  <si>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</si>
  <si>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</si>
  <si>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</si>
  <si>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</si>
  <si>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</si>
  <si>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</si>
  <si>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</si>
  <si>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</si>
  <si>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</si>
  <si>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</si>
  <si>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</si>
  <si>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</si>
  <si>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</si>
  <si>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</si>
  <si>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</si>
  <si>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</si>
  <si>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</si>
  <si>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</si>
  <si>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</si>
  <si>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</si>
  <si>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</si>
  <si>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</si>
  <si>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</si>
  <si>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</si>
  <si>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</si>
  <si>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</si>
  <si>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</si>
  <si>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</si>
  <si>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</si>
  <si>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</si>
  <si>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</si>
  <si>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Biomasse-scenariet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</si>
</sst>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2440169.9999999995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685100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8714081.1908516288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-1707739.728033402</c:v>
                </c:pt>
                <c:pt idx="2">
                  <c:v>-2227605.1235059141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11073393.997208262</c:v>
                </c:pt>
                <c:pt idx="2">
                  <c:v>10394060.267736506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72275.665119207741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4728.1172142829364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598548.38396059559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11939.949346977701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17727.455506089249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51621.782251781951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941813.22356629348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158496.56058649404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42549.988492615776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105423.80184271638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76300.904828300088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253508.19426480078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7537.157461474726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97335.327401064031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69.758330664378917</c:v>
                </c:pt>
                <c:pt idx="2">
                  <c:v>73.848115778678817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28.962611400416186</c:v>
                </c:pt>
                <c:pt idx="2">
                  <c:v>28.064830771630888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1.8022896540956554</c:v>
                </c:pt>
                <c:pt idx="2">
                  <c:v>1.8757909752103661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5.5346783341970225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45.11802212469226</c:v>
                </c:pt>
                <c:pt idx="2">
                  <c:v>45.173390358640965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8994119.2792498432</c:v>
                </c:pt>
                <c:pt idx="2">
                  <c:v>9509886.3491595574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2480244.4196938737</c:v>
                </c:pt>
                <c:pt idx="2">
                  <c:v>2411885.668744409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1997088.5670408159</c:v>
                </c:pt>
                <c:pt idx="2">
                  <c:v>1983562.5093156029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1497777.1733240632</c:v>
                </c:pt>
                <c:pt idx="2">
                  <c:v>1498433.9529448485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3362.8500000000004</c:v>
                </c:pt>
                <c:pt idx="16">
                  <c:v>547.74307110515622</c:v>
                </c:pt>
                <c:pt idx="17">
                  <c:v>565.65416725954469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2269183.119763054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6423924.8458333323</c:v>
                </c:pt>
                <c:pt idx="16">
                  <c:v>737033.15185210551</c:v>
                </c:pt>
                <c:pt idx="17">
                  <c:v>722949.83419196249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202349.63153877269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2863430.3661416383</c:v>
                </c:pt>
                <c:pt idx="11">
                  <c:v>2859899.9612931921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158133.66669134353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1125633.7412362914</c:v>
                </c:pt>
                <c:pt idx="17">
                  <c:v>1068746.8498663581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236197.68983003267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1125633.7412362914</c:v>
                </c:pt>
                <c:pt idx="2">
                  <c:v>1068746.8498663581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458817.74928054027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240593.49413246571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26659475.31868159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2114999.9774601497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1346330.5062768157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2513965.6315076901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5811586.052382024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375469.71886805235</c:v>
                </c:pt>
                <c:pt idx="2">
                  <c:v>368295.19855062116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175.69117375071085</c:v>
                </c:pt>
                <c:pt idx="2">
                  <c:v>181.43624232853313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54781.553730615735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2440169.9999999995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685100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8714081.1908516288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-1707739.728033402</c:v>
                </c:pt>
                <c:pt idx="2">
                  <c:v>-2227605.1235059141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11073393.997208262</c:v>
                </c:pt>
                <c:pt idx="2">
                  <c:v>10394060.267736506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72275.665119207741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4728.1172142829364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598548.38396059559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11939.949346977701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17727.455506089249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51621.782251781951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941813.22356629348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158496.56058649404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42549.988492615776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105423.80184271638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76300.904828300088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253508.19426480078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7537.157461474726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97335.327401064031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9597731.076909367</c:v>
                </c:pt>
                <c:pt idx="2">
                  <c:v>9238493.3130771164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953433.53878271766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15770289.144075628</c:v>
                </c:pt>
                <c:pt idx="2">
                  <c:v>15029002.18033967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552772.32309063291</c:v>
                </c:pt>
                <c:pt idx="2">
                  <c:v>912010.08692288375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259505.66121728224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3034725.0559243709</c:v>
                </c:pt>
                <c:pt idx="2">
                  <c:v>3776012.0196603313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290890.985086801</c:v>
                </c:pt>
                <c:pt idx="2">
                  <c:v>298525.56791561138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41859.546279410672</c:v>
                </c:pt>
                <c:pt idx="2">
                  <c:v>42956.187062954959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36323938.809274264</c:v>
                </c:pt>
                <c:pt idx="2">
                  <c:v>37736958.706897601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284025.61835988262</c:v>
                </c:pt>
                <c:pt idx="2">
                  <c:v>289344.48560341762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2294255.2711495673</c:v>
                </c:pt>
                <c:pt idx="2">
                  <c:v>2355323.2838141397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6989859.2435773909</c:v>
                </c:pt>
                <c:pt idx="2">
                  <c:v>7206505.523105517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7633952.6959113814</c:v>
                </c:pt>
                <c:pt idx="2">
                  <c:v>7925117.269571091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196559.60980685451</c:v>
                </c:pt>
                <c:pt idx="2">
                  <c:v>202349.63153877269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482021.37815281149</c:v>
                </c:pt>
                <c:pt idx="2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6431901.2155842176</c:v>
                </c:pt>
                <c:pt idx="2">
                  <c:v>6595761.847970549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2863430.3661416383</c:v>
                </c:pt>
                <c:pt idx="2">
                  <c:v>2859899.9612931921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78924.795388364349</c:v>
                </c:pt>
                <c:pt idx="2">
                  <c:v>173770.20047568402</c:v>
                </c:pt>
                <c:pt idx="3">
                  <c:v>0</c:v>
                </c:pt>
                <c:pt idx="4">
                  <c:v>12818.566214461987</c:v>
                </c:pt>
                <c:pt idx="5">
                  <c:v>30297.171474632443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232958.9113036553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240593.49413246571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3362.8500000000004</c:v>
                </c:pt>
                <c:pt idx="16">
                  <c:v>547.74307110515622</c:v>
                </c:pt>
                <c:pt idx="17">
                  <c:v>565.65416725954469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2269183.119763054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6423924.8458333323</c:v>
                </c:pt>
                <c:pt idx="16">
                  <c:v>737033.15185210551</c:v>
                </c:pt>
                <c:pt idx="17">
                  <c:v>722949.83419196249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494167.70841044851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202349.63153877269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2863430.3661416383</c:v>
                </c:pt>
                <c:pt idx="11">
                  <c:v>2859899.9612931921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158133.66669134353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1125633.7412362914</c:v>
                </c:pt>
                <c:pt idx="17">
                  <c:v>1068746.8498663581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236197.68983003267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1125633.7412362914</c:v>
                </c:pt>
                <c:pt idx="2">
                  <c:v>1068746.8498663581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458817.74928054027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240593.49413246571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1502781.1107008122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26659475.31868159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2114999.9774601497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1346330.5062768157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2513965.6315076901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5811586.052382024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792440.79236345144</c:v>
                </c:pt>
                <c:pt idx="2">
                  <c:v>871392.37125140009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375469.71886805235</c:v>
                </c:pt>
                <c:pt idx="2">
                  <c:v>368295.19855062116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175.69117375071085</c:v>
                </c:pt>
                <c:pt idx="2">
                  <c:v>181.43624232853313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949345.99548394862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1362725.53997907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54781.553730615735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69.758330664378917</c:v>
                </c:pt>
                <c:pt idx="2">
                  <c:v>73.848115778678817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28.962611400416186</c:v>
                </c:pt>
                <c:pt idx="2">
                  <c:v>28.064830771630888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1.8022896540956554</c:v>
                </c:pt>
                <c:pt idx="2">
                  <c:v>1.8757909752103661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5.5346783341970225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45.11802212469226</c:v>
                </c:pt>
                <c:pt idx="2">
                  <c:v>45.173390358640965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8994119.2792498432</c:v>
                </c:pt>
                <c:pt idx="2">
                  <c:v>9509886.3491595574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2480244.4196938737</c:v>
                </c:pt>
                <c:pt idx="2">
                  <c:v>2411885.668744409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1997088.5670408159</c:v>
                </c:pt>
                <c:pt idx="2">
                  <c:v>1983562.5093156029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1497777.1733240632</c:v>
                </c:pt>
                <c:pt idx="2">
                  <c:v>1498433.9529448485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564814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9633758.54900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5763886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59953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9404263.9839439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6226855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645833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4828427.5390456235" maxValue="19547353.387803037"/>
    </cacheField>
    <cacheField name="Potentiale til energi [ton]" numFmtId="3">
      <sharedItems containsSemiMixedTypes="0" containsString="0" containsNumber="1" minValue="0" maxValue="19547353.387803037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5.964686814384116"/>
    </cacheField>
    <cacheField name="Forbrug/potentiale [PJ]" numFmtId="0">
      <sharedItems containsSemiMixedTypes="0" containsString="0" containsNumber="1" minValue="0" maxValue="36.08751442002157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5.964686814384116"/>
    </cacheField>
    <cacheField name="Potentiale til energi [Ton TS]" numFmtId="0">
      <sharedItems containsSemiMixedTypes="0" containsString="0" containsNumber="1" minValue="0" maxValue="5473258.9485848509"/>
    </cacheField>
    <cacheField name="Forbrug/potentiale [Ton TS]" numFmtId="0">
      <sharedItems containsSemiMixedTypes="0" containsString="0" containsNumber="1" minValue="0" maxValue="5491951.3758304445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473258.948584850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657407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4828427.5390456235" maxValue="19547353.387803037"/>
    </cacheField>
    <cacheField name="Potentiale til energi [ton]" numFmtId="3">
      <sharedItems containsSemiMixedTypes="0" containsString="0" containsNumber="1" minValue="0" maxValue="19547353.387803037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5.964686814384116"/>
    </cacheField>
    <cacheField name="Forbrug/potentiale [PJ]" numFmtId="0">
      <sharedItems containsSemiMixedTypes="0" containsString="0" containsNumber="1" minValue="0" maxValue="36.08751442002157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5.964686814384116"/>
    </cacheField>
    <cacheField name="Potentiale til energi [Ton TS]" numFmtId="0">
      <sharedItems containsSemiMixedTypes="0" containsString="0" containsNumber="1" minValue="0" maxValue="5473258.9485848509"/>
    </cacheField>
    <cacheField name="Forbrug/potentiale [Ton TS]" numFmtId="0">
      <sharedItems containsSemiMixedTypes="0" containsString="0" containsNumber="1" minValue="0" maxValue="5491951.3758304445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473258.948584850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703704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849222.4776918571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60328715277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484833.6848947219"/>
    </cacheField>
    <cacheField name="Produktion minus forbrug [ton]" numFmtId="3">
      <sharedItems containsSemiMixedTypes="0" containsString="0" containsNumber="1" minValue="-4828427.5390456235" maxValue="19547353.387803037"/>
    </cacheField>
    <cacheField name="Potentiale til energi [ton]" numFmtId="3">
      <sharedItems containsSemiMixedTypes="0" containsString="0" containsNumber="1" minValue="0" maxValue="19547353.387803037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5.964686814384116"/>
    </cacheField>
    <cacheField name="Forbrug/potentiale [PJ]" numFmtId="0">
      <sharedItems containsSemiMixedTypes="0" containsString="0" containsNumber="1" minValue="0" maxValue="36.08751442002157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5.964686814384116"/>
    </cacheField>
    <cacheField name="Potentiale til energi [Ton TS]" numFmtId="0">
      <sharedItems containsSemiMixedTypes="0" containsString="0" containsNumber="1" minValue="0" maxValue="5473258.9485848509"/>
    </cacheField>
    <cacheField name="Forbrug/potentiale [Ton TS]" numFmtId="0">
      <sharedItems containsSemiMixedTypes="0" containsString="0" containsNumber="1" minValue="0" maxValue="5491951.3758304445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473258.94858485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853879.88663437"/>
  </r>
  <r>
    <x v="1"/>
    <s v="Vestdanmark"/>
    <x v="15"/>
    <x v="1"/>
    <n v="9348117.6321617663"/>
  </r>
  <r>
    <x v="1"/>
    <s v="Vestdanmark"/>
    <x v="16"/>
    <x v="1"/>
    <n v="6006.7628175927466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6757.8833161388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0391250.072657285"/>
  </r>
  <r>
    <x v="1"/>
    <s v="Vestdanmark"/>
    <x v="15"/>
    <x v="2"/>
    <n v="9169492.6818358731"/>
  </r>
  <r>
    <x v="1"/>
    <s v="Vestdanmark"/>
    <x v="16"/>
    <x v="2"/>
    <n v="6203.1828401873436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6360.409398816068"/>
  </r>
  <r>
    <x v="1"/>
    <s v="Vestdanmark"/>
    <x v="0"/>
    <x v="2"/>
    <n v="2901.770538547059"/>
  </r>
  <r>
    <x v="1"/>
    <s v="Vestdanmark"/>
    <x v="23"/>
    <x v="2"/>
    <n v="66758.668734263701"/>
  </r>
  <r>
    <x v="1"/>
    <s v="Vestdanmark"/>
    <x v="24"/>
    <x v="2"/>
    <n v="254098.83749353027"/>
  </r>
  <r>
    <x v="1"/>
    <s v="Vestdanmark"/>
    <x v="25"/>
    <x v="2"/>
    <n v="21821.426523041016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72695.883390849"/>
  </r>
  <r>
    <x v="1"/>
    <s v="Østdanmark"/>
    <x v="15"/>
    <x v="1"/>
    <n v="664408.20431967056"/>
  </r>
  <r>
    <x v="1"/>
    <s v="Østdanmark"/>
    <x v="16"/>
    <x v="1"/>
    <n v="504.14538611005531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19176.116683861201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505662.1579788346"/>
  </r>
  <r>
    <x v="1"/>
    <s v="Østdanmark"/>
    <x v="15"/>
    <x v="2"/>
    <n v="651712.6128473935"/>
  </r>
  <r>
    <x v="1"/>
    <s v="Østdanmark"/>
    <x v="16"/>
    <x v="2"/>
    <n v="520.63084610535827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19573.590601183951"/>
  </r>
  <r>
    <x v="1"/>
    <s v="Østdanmark"/>
    <x v="0"/>
    <x v="2"/>
    <n v="884.229461452941"/>
  </r>
  <r>
    <x v="1"/>
    <s v="Østdanmark"/>
    <x v="23"/>
    <x v="2"/>
    <n v="18918.331265736317"/>
  </r>
  <r>
    <x v="1"/>
    <s v="Østdanmark"/>
    <x v="24"/>
    <x v="2"/>
    <n v="75927.162506469729"/>
  </r>
  <r>
    <x v="1"/>
    <s v="Østdanmark"/>
    <x v="25"/>
    <x v="2"/>
    <n v="6823.5734769589817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709437.3149926052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341.6308326661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0590.59860996436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088.73530897219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581173.6865962329"/>
  </r>
  <r>
    <x v="3"/>
    <s v="Vestdanmark"/>
    <x v="34"/>
    <x v="2"/>
    <n v="120985.85798793298"/>
  </r>
  <r>
    <x v="3"/>
    <s v="Vestdanmark"/>
    <x v="35"/>
    <x v="2"/>
    <n v="158491.06742829576"/>
  </r>
  <r>
    <x v="3"/>
    <s v="Vestdanmark"/>
    <x v="36"/>
    <x v="2"/>
    <n v="2235295.9759470159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88009.43316682125"/>
  </r>
  <r>
    <x v="3"/>
    <s v="Østdanmark"/>
    <x v="34"/>
    <x v="2"/>
    <n v="37147.808703410541"/>
  </r>
  <r>
    <x v="3"/>
    <s v="Østdanmark"/>
    <x v="35"/>
    <x v="2"/>
    <n v="43858.564110476924"/>
  </r>
  <r>
    <x v="3"/>
    <s v="Østdanmark"/>
    <x v="36"/>
    <x v="2"/>
    <n v="624603.9853461763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1205986.6540704854"/>
  </r>
  <r>
    <x v="5"/>
    <s v="Vestdanmark"/>
    <x v="15"/>
    <x v="1"/>
    <n v="688125.32570079644"/>
  </r>
  <r>
    <x v="5"/>
    <s v="Vestdanmark"/>
    <x v="16"/>
    <x v="1"/>
    <n v="505.33084021018328"/>
  </r>
  <r>
    <x v="5"/>
    <s v="Vestdanmark"/>
    <x v="20"/>
    <x v="1"/>
    <n v="401728.76679519669"/>
  </r>
  <r>
    <x v="5"/>
    <s v="Vestdanmark"/>
    <x v="37"/>
    <x v="1"/>
    <n v="19633758.54900625"/>
  </r>
  <r>
    <x v="5"/>
    <s v="Vestdanmark"/>
    <x v="38"/>
    <x v="1"/>
    <n v="771875.25410193205"/>
  </r>
  <r>
    <x v="5"/>
    <s v="Vestdanmark"/>
    <x v="14"/>
    <x v="2"/>
    <n v="1154583.3414063647"/>
  </r>
  <r>
    <x v="5"/>
    <s v="Vestdanmark"/>
    <x v="15"/>
    <x v="2"/>
    <n v="674976.54463514045"/>
  </r>
  <r>
    <x v="5"/>
    <s v="Vestdanmark"/>
    <x v="16"/>
    <x v="2"/>
    <n v="521.85506433322087"/>
  </r>
  <r>
    <x v="5"/>
    <s v="Vestdanmark"/>
    <x v="20"/>
    <x v="2"/>
    <n v="420665.19876426988"/>
  </r>
  <r>
    <x v="5"/>
    <s v="Vestdanmark"/>
    <x v="37"/>
    <x v="2"/>
    <n v="19034352.153405923"/>
  </r>
  <r>
    <x v="5"/>
    <s v="Vestdanmark"/>
    <x v="38"/>
    <x v="2"/>
    <n v="725594.03868632857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174743.98704342762"/>
  </r>
  <r>
    <x v="5"/>
    <s v="Østdanmark"/>
    <x v="15"/>
    <x v="1"/>
    <n v="48907.826151309069"/>
  </r>
  <r>
    <x v="5"/>
    <s v="Østdanmark"/>
    <x v="16"/>
    <x v="1"/>
    <n v="42.412230894972893"/>
  </r>
  <r>
    <x v="5"/>
    <s v="Østdanmark"/>
    <x v="20"/>
    <x v="1"/>
    <n v="54219.773738244621"/>
  </r>
  <r>
    <x v="5"/>
    <s v="Østdanmark"/>
    <x v="37"/>
    <x v="1"/>
    <n v="3424154.0812072256"/>
  </r>
  <r>
    <x v="5"/>
    <s v="Østdanmark"/>
    <x v="38"/>
    <x v="1"/>
    <n v="353758.48713435931"/>
  </r>
  <r>
    <x v="5"/>
    <s v="Østdanmark"/>
    <x v="14"/>
    <x v="2"/>
    <n v="167295.79533098158"/>
  </r>
  <r>
    <x v="5"/>
    <s v="Østdanmark"/>
    <x v="15"/>
    <x v="2"/>
    <n v="47973.289556822005"/>
  </r>
  <r>
    <x v="5"/>
    <s v="Østdanmark"/>
    <x v="16"/>
    <x v="2"/>
    <n v="43.799102926323776"/>
  </r>
  <r>
    <x v="5"/>
    <s v="Østdanmark"/>
    <x v="20"/>
    <x v="2"/>
    <n v="57097.370490994261"/>
  </r>
  <r>
    <x v="5"/>
    <s v="Østdanmark"/>
    <x v="37"/>
    <x v="2"/>
    <n v="3389908.2542493283"/>
  </r>
  <r>
    <x v="5"/>
    <s v="Østdanmark"/>
    <x v="38"/>
    <x v="2"/>
    <n v="343152.811180029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370490.27594297461"/>
  </r>
  <r>
    <x v="7"/>
    <s v="Vestdanmark"/>
    <x v="39"/>
    <x v="2"/>
    <n v="378080.80621229054"/>
  </r>
  <r>
    <x v="7"/>
    <s v="Østdanmark"/>
    <x v="39"/>
    <x v="0"/>
    <n v="193574.13238370849"/>
  </r>
  <r>
    <x v="7"/>
    <s v="Østdanmark"/>
    <x v="39"/>
    <x v="1"/>
    <n v="111531.10220983687"/>
  </r>
  <r>
    <x v="7"/>
    <s v="Østdanmark"/>
    <x v="39"/>
    <x v="2"/>
    <n v="116086.90219815794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36252.1166384006"/>
  </r>
  <r>
    <x v="0"/>
    <x v="2"/>
    <x v="2"/>
    <s v="JB1-10"/>
    <n v="545883.4811917472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0183.88336159918"/>
  </r>
  <r>
    <x v="1"/>
    <x v="2"/>
    <x v="2"/>
    <s v="JB1-10"/>
    <n v="139216.5188082527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523408.7197105791"/>
  </r>
  <r>
    <x v="1"/>
    <x v="0"/>
    <x v="2"/>
    <n v="229440.63810667559"/>
  </r>
  <r>
    <x v="2"/>
    <x v="0"/>
    <x v="2"/>
    <n v="378080.80621229054"/>
  </r>
  <r>
    <x v="3"/>
    <x v="0"/>
    <x v="2"/>
    <n v="29404263.983943939"/>
  </r>
  <r>
    <x v="4"/>
    <x v="0"/>
    <x v="2"/>
    <n v="220830.77573350482"/>
  </r>
  <r>
    <x v="5"/>
    <x v="0"/>
    <x v="2"/>
    <n v="1818589.8087592444"/>
  </r>
  <r>
    <x v="6"/>
    <x v="0"/>
    <x v="2"/>
    <n v="5024574.3595380196"/>
  </r>
  <r>
    <x v="7"/>
    <x v="0"/>
    <x v="2"/>
    <n v="6101831.6290168501"/>
  </r>
  <r>
    <x v="8"/>
    <x v="0"/>
    <x v="2"/>
    <n v="32793.097303413146"/>
  </r>
  <r>
    <x v="9"/>
    <x v="0"/>
    <x v="2"/>
    <n v="1048609.453845398"/>
  </r>
  <r>
    <x v="10"/>
    <x v="0"/>
    <x v="2"/>
    <n v="1145476.8591293055"/>
  </r>
  <r>
    <x v="11"/>
    <x v="0"/>
    <x v="2"/>
    <n v="729011.95091777691"/>
  </r>
  <r>
    <x v="12"/>
    <x v="0"/>
    <x v="2"/>
    <n v="158491.06742829576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83096.8033949384"/>
  </r>
  <r>
    <x v="1"/>
    <x v="1"/>
    <x v="2"/>
    <n v="69084.929808935805"/>
  </r>
  <r>
    <x v="2"/>
    <x v="1"/>
    <x v="2"/>
    <n v="116086.90219815794"/>
  </r>
  <r>
    <x v="3"/>
    <x v="1"/>
    <x v="2"/>
    <n v="8332694.7229536632"/>
  </r>
  <r>
    <x v="4"/>
    <x v="1"/>
    <x v="2"/>
    <n v="68513.709869912811"/>
  </r>
  <r>
    <x v="5"/>
    <x v="1"/>
    <x v="2"/>
    <n v="536733.47505489504"/>
  </r>
  <r>
    <x v="6"/>
    <x v="1"/>
    <x v="2"/>
    <n v="1571187.4884325294"/>
  </r>
  <r>
    <x v="7"/>
    <x v="1"/>
    <x v="2"/>
    <n v="1823285.6405542411"/>
  </r>
  <r>
    <x v="8"/>
    <x v="1"/>
    <x v="2"/>
    <n v="10163.089759541812"/>
  </r>
  <r>
    <x v="9"/>
    <x v="1"/>
    <x v="2"/>
    <n v="314116.08613367198"/>
  </r>
  <r>
    <x v="10"/>
    <x v="1"/>
    <x v="2"/>
    <n v="357304.25157150667"/>
  </r>
  <r>
    <x v="11"/>
    <x v="1"/>
    <x v="2"/>
    <n v="220334.04456617165"/>
  </r>
  <r>
    <x v="12"/>
    <x v="1"/>
    <x v="2"/>
    <n v="43858.56411047692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76591.97905547544"/>
    <n v="4041909.7731788829"/>
    <n v="1900635.8217001744"/>
    <n v="1900635.8217001744"/>
  </r>
  <r>
    <x v="0"/>
    <x v="1"/>
    <x v="2"/>
    <s v="Konventionel"/>
    <x v="0"/>
    <s v="Halm"/>
    <n v="44370.662327297228"/>
    <n v="171270.75658336733"/>
    <n v="73253.400763838363"/>
    <n v="73253.400763838363"/>
  </r>
  <r>
    <x v="0"/>
    <x v="2"/>
    <x v="2"/>
    <s v="Konventionel"/>
    <x v="0"/>
    <s v="Halm"/>
    <n v="64930.608396310665"/>
    <n v="285694.67694376694"/>
    <n v="219833.69733892806"/>
    <n v="219833.69733892806"/>
  </r>
  <r>
    <x v="0"/>
    <x v="3"/>
    <x v="2"/>
    <s v="Konventionel"/>
    <x v="0"/>
    <s v="Græs"/>
    <n v="359534.40705289674"/>
    <n v="17840097.277964737"/>
    <n v="0"/>
    <n v="17840097.277964737"/>
  </r>
  <r>
    <x v="0"/>
    <x v="4"/>
    <x v="2"/>
    <s v="Konventionel"/>
    <x v="0"/>
    <s v="Grøntsager"/>
    <n v="7457.2400160431316"/>
    <n v="154737.73033289498"/>
    <n v="0"/>
    <n v="154737.73033289498"/>
  </r>
  <r>
    <x v="0"/>
    <x v="5"/>
    <x v="2"/>
    <s v="Konventionel"/>
    <x v="0"/>
    <s v="Kartofler"/>
    <n v="31365.844342236556"/>
    <n v="1332135.6218790098"/>
    <n v="0"/>
    <n v="1332135.6218790098"/>
  </r>
  <r>
    <x v="0"/>
    <x v="6"/>
    <x v="2"/>
    <s v="Konventionel"/>
    <x v="0"/>
    <s v="Roer"/>
    <n v="47938.272936646019"/>
    <n v="3895163.5502552376"/>
    <n v="0"/>
    <n v="3895163.5502552376"/>
  </r>
  <r>
    <x v="0"/>
    <x v="7"/>
    <x v="2"/>
    <s v="Konventionel"/>
    <x v="0"/>
    <s v="Majs"/>
    <n v="97058.944942455943"/>
    <n v="4320093.639388714"/>
    <n v="0"/>
    <n v="4320093.639388714"/>
  </r>
  <r>
    <x v="0"/>
    <x v="8"/>
    <x v="2"/>
    <s v="Konventionel"/>
    <x v="0"/>
    <s v="Frugt"/>
    <n v="2908.0623604905873"/>
    <n v="24689.449440565091"/>
    <n v="0"/>
    <n v="24689.449440565091"/>
  </r>
  <r>
    <x v="0"/>
    <x v="9"/>
    <x v="2"/>
    <s v="Konventionel"/>
    <x v="0"/>
    <s v="Øvrige"/>
    <n v="25738.466902719567"/>
    <n v="766901.90582075517"/>
    <n v="0"/>
    <n v="766901.90582075517"/>
  </r>
  <r>
    <x v="0"/>
    <x v="10"/>
    <x v="2"/>
    <s v="Konventionel"/>
    <x v="0"/>
    <s v="Halm"/>
    <n v="57862.561202403813"/>
    <n v="826790.08020882867"/>
    <n v="197882.43717926473"/>
    <n v="197882.43717926473"/>
  </r>
  <r>
    <x v="0"/>
    <x v="11"/>
    <x v="2"/>
    <s v="Konventionel"/>
    <x v="0"/>
    <s v="Juletræer"/>
    <n v="10867.586324157863"/>
    <n v="543379.31620789308"/>
    <n v="0"/>
    <n v="543379.31620789308"/>
  </r>
  <r>
    <x v="0"/>
    <x v="12"/>
    <x v="2"/>
    <s v="Konventionel"/>
    <x v="0"/>
    <s v="Pil &amp; poppel"/>
    <n v="4179.063908207143"/>
    <n v="101928.38800505229"/>
    <n v="0"/>
    <n v="101928.38800505229"/>
  </r>
  <r>
    <x v="0"/>
    <x v="13"/>
    <x v="2"/>
    <s v="Konventionel"/>
    <x v="0"/>
    <s v="Græs"/>
    <n v="101375.57782061782"/>
    <n v="1397969.21814632"/>
    <n v="0"/>
    <n v="1397969.21814632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22307.389496616"/>
    <n v="574441.11624875641"/>
    <n v="270120.66678102472"/>
    <n v="270120.66678102472"/>
  </r>
  <r>
    <x v="0"/>
    <x v="1"/>
    <x v="2"/>
    <s v="Økologisk"/>
    <x v="0"/>
    <s v="Halm"/>
    <n v="9411.9586754872907"/>
    <n v="20708.191477807137"/>
    <n v="8857.0020923550001"/>
    <n v="8857.0020923550001"/>
  </r>
  <r>
    <x v="0"/>
    <x v="2"/>
    <x v="2"/>
    <s v="Økologisk"/>
    <x v="0"/>
    <s v="Halm"/>
    <n v="13773.159356793169"/>
    <n v="33331.045643439473"/>
    <n v="25647.264689541604"/>
    <n v="25647.264689541604"/>
  </r>
  <r>
    <x v="0"/>
    <x v="3"/>
    <x v="2"/>
    <s v="Økologisk"/>
    <x v="0"/>
    <s v="Græs"/>
    <n v="76264.874223341743"/>
    <n v="2951725.1859905296"/>
    <n v="0"/>
    <n v="2951725.1859905296"/>
  </r>
  <r>
    <x v="0"/>
    <x v="4"/>
    <x v="2"/>
    <s v="Økologisk"/>
    <x v="0"/>
    <s v="Grøntsager"/>
    <n v="1581.8387912818764"/>
    <n v="18709.198303886395"/>
    <n v="0"/>
    <n v="18709.198303886395"/>
  </r>
  <r>
    <x v="0"/>
    <x v="5"/>
    <x v="2"/>
    <s v="Økologisk"/>
    <x v="0"/>
    <s v="Kartofler"/>
    <n v="6653.3609210804825"/>
    <n v="161067.30700900755"/>
    <n v="0"/>
    <n v="161067.30700900755"/>
  </r>
  <r>
    <x v="0"/>
    <x v="6"/>
    <x v="2"/>
    <s v="Økologisk"/>
    <x v="0"/>
    <s v="Roer"/>
    <n v="10168.724562318854"/>
    <n v="470960.6838035878"/>
    <n v="0"/>
    <n v="470960.6838035878"/>
  </r>
  <r>
    <x v="0"/>
    <x v="7"/>
    <x v="2"/>
    <s v="Økologisk"/>
    <x v="0"/>
    <s v="Majs"/>
    <n v="20588.261048399749"/>
    <n v="760598.30438934651"/>
    <n v="0"/>
    <n v="760598.30438934651"/>
  </r>
  <r>
    <x v="0"/>
    <x v="8"/>
    <x v="2"/>
    <s v="Økologisk"/>
    <x v="0"/>
    <s v="Frugt"/>
    <n v="616.86171283133672"/>
    <n v="2985.1788869046882"/>
    <n v="0"/>
    <n v="2985.1788869046882"/>
  </r>
  <r>
    <x v="0"/>
    <x v="9"/>
    <x v="2"/>
    <s v="Økologisk"/>
    <x v="0"/>
    <s v="Øvrige"/>
    <n v="5459.6747975465751"/>
    <n v="92725.412249236761"/>
    <n v="0"/>
    <n v="92725.412249236761"/>
  </r>
  <r>
    <x v="0"/>
    <x v="10"/>
    <x v="2"/>
    <s v="Økologisk"/>
    <x v="0"/>
    <s v="Halm"/>
    <n v="12273.876618691718"/>
    <n v="99966.436970703828"/>
    <n v="23925.78558622019"/>
    <n v="23925.78558622019"/>
  </r>
  <r>
    <x v="0"/>
    <x v="11"/>
    <x v="2"/>
    <s v="Økologisk"/>
    <x v="0"/>
    <s v="Juletræer"/>
    <n v="2305.2455839122736"/>
    <n v="65699.499141499793"/>
    <n v="0"/>
    <n v="65699.499141499793"/>
  </r>
  <r>
    <x v="0"/>
    <x v="12"/>
    <x v="2"/>
    <s v="Økologisk"/>
    <x v="0"/>
    <s v="Pil &amp; poppel"/>
    <n v="886.46810174090911"/>
    <n v="12324.068731519956"/>
    <n v="0"/>
    <n v="12324.068731519956"/>
  </r>
  <r>
    <x v="0"/>
    <x v="13"/>
    <x v="2"/>
    <s v="Økologisk"/>
    <x v="0"/>
    <s v="Græs"/>
    <n v="21503.910446797723"/>
    <n v="296538.92506134062"/>
    <n v="0"/>
    <n v="296538.92506134062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9389.67006955924"/>
    <n v="1257521.5871876103"/>
    <n v="591327.04817660281"/>
    <n v="591327.04817660281"/>
  </r>
  <r>
    <x v="1"/>
    <x v="1"/>
    <x v="2"/>
    <s v="Konventionel"/>
    <x v="0"/>
    <s v="Halm"/>
    <n v="13804.629208856637"/>
    <n v="53285.868746186621"/>
    <n v="22790.645502950778"/>
    <n v="22790.645502950778"/>
  </r>
  <r>
    <x v="1"/>
    <x v="2"/>
    <x v="2"/>
    <s v="Konventionel"/>
    <x v="0"/>
    <s v="Halm"/>
    <n v="20201.252949634338"/>
    <n v="88885.512978391082"/>
    <n v="68394.802335617322"/>
    <n v="68394.802335617322"/>
  </r>
  <r>
    <x v="1"/>
    <x v="3"/>
    <x v="2"/>
    <s v="Konventionel"/>
    <x v="0"/>
    <s v="Græs"/>
    <n v="111858.57764710314"/>
    <n v="5550422.6228492586"/>
    <n v="0"/>
    <n v="5550422.6228492586"/>
  </r>
  <r>
    <x v="1"/>
    <x v="4"/>
    <x v="2"/>
    <s v="Konventionel"/>
    <x v="0"/>
    <s v="Grøntsager"/>
    <n v="2320.101344973416"/>
    <n v="48142.102908198387"/>
    <n v="0"/>
    <n v="48142.102908198387"/>
  </r>
  <r>
    <x v="1"/>
    <x v="5"/>
    <x v="2"/>
    <s v="Konventionel"/>
    <x v="0"/>
    <s v="Kartofler"/>
    <n v="9758.5618121573061"/>
    <n v="414454.89770469151"/>
    <n v="0"/>
    <n v="414454.89770469151"/>
  </r>
  <r>
    <x v="1"/>
    <x v="6"/>
    <x v="2"/>
    <s v="Konventionel"/>
    <x v="0"/>
    <s v="Roer"/>
    <n v="14914.586532918138"/>
    <n v="1211865.8072418857"/>
    <n v="0"/>
    <n v="1211865.8072418857"/>
  </r>
  <r>
    <x v="1"/>
    <x v="7"/>
    <x v="2"/>
    <s v="Konventionel"/>
    <x v="0"/>
    <s v="Majs"/>
    <n v="30197.041830253234"/>
    <n v="1344070.3318645717"/>
    <n v="0"/>
    <n v="1344070.3318645717"/>
  </r>
  <r>
    <x v="1"/>
    <x v="8"/>
    <x v="2"/>
    <s v="Konventionel"/>
    <x v="0"/>
    <s v="Frugt"/>
    <n v="904.75824558759291"/>
    <n v="7681.3975050386643"/>
    <n v="0"/>
    <n v="7681.3975050386643"/>
  </r>
  <r>
    <x v="1"/>
    <x v="9"/>
    <x v="2"/>
    <s v="Konventionel"/>
    <x v="0"/>
    <s v="Øvrige"/>
    <n v="8007.7684974714139"/>
    <n v="238599.01777729217"/>
    <n v="0"/>
    <n v="238599.01777729217"/>
  </r>
  <r>
    <x v="1"/>
    <x v="10"/>
    <x v="2"/>
    <s v="Konventionel"/>
    <x v="0"/>
    <s v="Halm"/>
    <n v="18002.237527623009"/>
    <n v="257231.46539153677"/>
    <n v="61565.312053592112"/>
    <n v="61565.312053592112"/>
  </r>
  <r>
    <x v="1"/>
    <x v="11"/>
    <x v="2"/>
    <s v="Konventionel"/>
    <x v="0"/>
    <s v="Juletræer"/>
    <n v="3381.1304977511027"/>
    <n v="169056.52488755516"/>
    <n v="0"/>
    <n v="169056.52488755516"/>
  </r>
  <r>
    <x v="1"/>
    <x v="12"/>
    <x v="2"/>
    <s v="Konventionel"/>
    <x v="0"/>
    <s v="Pil &amp; poppel"/>
    <n v="1300.1930705330769"/>
    <n v="31712.026110562852"/>
    <n v="0"/>
    <n v="31712.026110562852"/>
  </r>
  <r>
    <x v="1"/>
    <x v="13"/>
    <x v="2"/>
    <s v="Konventionel"/>
    <x v="0"/>
    <s v="Græs"/>
    <n v="31540.035447842853"/>
    <n v="434937.08882575296"/>
    <n v="0"/>
    <n v="434937.08882575296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8052.354257179235"/>
    <n v="178720.49223969373"/>
    <n v="84040.116846917197"/>
    <n v="84040.116846917197"/>
  </r>
  <r>
    <x v="1"/>
    <x v="1"/>
    <x v="2"/>
    <s v="Økologisk"/>
    <x v="0"/>
    <s v="Halm"/>
    <n v="2928.2546806665596"/>
    <n v="6442.745948402564"/>
    <n v="2755.596228993139"/>
    <n v="2755.596228993139"/>
  </r>
  <r>
    <x v="1"/>
    <x v="2"/>
    <x v="2"/>
    <s v="Økologisk"/>
    <x v="0"/>
    <s v="Halm"/>
    <n v="4285.1142620436467"/>
    <n v="10369.976514145626"/>
    <n v="7979.3936058220206"/>
    <n v="7979.3936058220206"/>
  </r>
  <r>
    <x v="1"/>
    <x v="3"/>
    <x v="2"/>
    <s v="Økologisk"/>
    <x v="0"/>
    <s v="Græs"/>
    <n v="23727.577076658243"/>
    <n v="918342.65214414988"/>
    <n v="0"/>
    <n v="918342.65214414988"/>
  </r>
  <r>
    <x v="1"/>
    <x v="4"/>
    <x v="2"/>
    <s v="Økologisk"/>
    <x v="0"/>
    <s v="Grøntsager"/>
    <n v="492.14270953981543"/>
    <n v="5820.8178970821664"/>
    <n v="0"/>
    <n v="5820.8178970821664"/>
  </r>
  <r>
    <x v="1"/>
    <x v="5"/>
    <x v="2"/>
    <s v="Økologisk"/>
    <x v="0"/>
    <s v="Kartofler"/>
    <n v="2069.9979601545801"/>
    <n v="50111.364904294518"/>
    <n v="0"/>
    <n v="50111.364904294518"/>
  </r>
  <r>
    <x v="1"/>
    <x v="6"/>
    <x v="2"/>
    <s v="Økologisk"/>
    <x v="0"/>
    <s v="Roer"/>
    <n v="3163.7001736493021"/>
    <n v="146525.59305742799"/>
    <n v="0"/>
    <n v="146525.59305742799"/>
  </r>
  <r>
    <x v="1"/>
    <x v="7"/>
    <x v="2"/>
    <s v="Økologisk"/>
    <x v="0"/>
    <s v="Majs"/>
    <n v="6405.4331155082618"/>
    <n v="236637.83721615636"/>
    <n v="0"/>
    <n v="236637.83721615636"/>
  </r>
  <r>
    <x v="1"/>
    <x v="8"/>
    <x v="2"/>
    <s v="Økologisk"/>
    <x v="0"/>
    <s v="Frugt"/>
    <n v="191.91841573070153"/>
    <n v="928.75078924558386"/>
    <n v="0"/>
    <n v="928.75078924558386"/>
  </r>
  <r>
    <x v="1"/>
    <x v="9"/>
    <x v="2"/>
    <s v="Økologisk"/>
    <x v="0"/>
    <s v="Øvrige"/>
    <n v="1698.6175600696938"/>
    <n v="28848.790331254411"/>
    <n v="0"/>
    <n v="28848.790331254411"/>
  </r>
  <r>
    <x v="1"/>
    <x v="10"/>
    <x v="2"/>
    <s v="Økologisk"/>
    <x v="0"/>
    <s v="Halm"/>
    <n v="3818.6564452533657"/>
    <n v="31101.622633703992"/>
    <n v="7443.8059119343161"/>
    <n v="7443.8059119343161"/>
  </r>
  <r>
    <x v="1"/>
    <x v="11"/>
    <x v="2"/>
    <s v="Økologisk"/>
    <x v="0"/>
    <s v="Juletræer"/>
    <n v="717.2094995229611"/>
    <n v="20440.47073640439"/>
    <n v="0"/>
    <n v="20440.47073640439"/>
  </r>
  <r>
    <x v="1"/>
    <x v="12"/>
    <x v="2"/>
    <s v="Økologisk"/>
    <x v="0"/>
    <s v="Pil &amp; poppel"/>
    <n v="275.79853011307694"/>
    <n v="3834.2722479135091"/>
    <n v="0"/>
    <n v="3834.2722479135091"/>
  </r>
  <r>
    <x v="1"/>
    <x v="13"/>
    <x v="2"/>
    <s v="Økologisk"/>
    <x v="0"/>
    <s v="Græs"/>
    <n v="6690.3105495424243"/>
    <n v="92259.382478190048"/>
    <n v="0"/>
    <n v="92259.382478190048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x v="0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6006.7628175927466"/>
    <n v="505.33084021018328"/>
    <n v="0"/>
    <n v="0"/>
    <n v="162.08725063345537"/>
    <n v="162.08725063345537"/>
    <n v="6006.7628175927466"/>
    <n v="7.6228013100407724E-5"/>
    <n v="2.9011484985861005E-3"/>
    <n v="2.8249204854856927E-3"/>
    <n v="7.6228013100407711E-5"/>
    <n v="10.211496789907688"/>
    <n v="388.63755429825073"/>
    <n v="378.42605750834304"/>
    <n v="10.211496789907699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  <x v="0"/>
  </r>
  <r>
    <x v="23"/>
    <s v=""/>
    <n v="0"/>
    <x v="1"/>
    <s v="Vestdanmark"/>
    <n v="0"/>
    <n v="0"/>
    <n v="0"/>
    <n v="0"/>
    <n v="0"/>
    <n v="771875.25410193205"/>
    <n v="0"/>
    <n v="0"/>
    <n v="-771875.25410193205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9348117.6321617663"/>
    <n v="688125.32570079644"/>
    <n v="0"/>
    <n v="0"/>
    <n v="350554.41120606475"/>
    <n v="350554.41120606475"/>
    <n v="9348117.6321617663"/>
    <n v="0.17744713740839793"/>
    <n v="4.9093708016323632"/>
    <n v="4.7319236642239648"/>
    <n v="0.17744713740839835"/>
    <n v="26642.135251660919"/>
    <n v="737099.07529595518"/>
    <n v="710456.94004429423"/>
    <n v="26642.135251660948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  <x v="0"/>
  </r>
  <r>
    <x v="47"/>
    <s v="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29440.63810667559"/>
    <n v="51598.780380153592"/>
    <n v="0"/>
    <n v="0"/>
    <n v="0"/>
    <n v="0"/>
    <n v="0"/>
    <n v="0"/>
    <n v="177841.85772652199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01057849.5712257"/>
    <n v="0"/>
    <n v="0"/>
    <n v="0"/>
    <n v="0"/>
    <n v="0"/>
    <n v="501057849.5712257"/>
    <n v="0"/>
    <n v="0"/>
    <n v="0"/>
    <n v="501057849.5712257"/>
    <n v="0"/>
    <n v="0"/>
    <n v="0"/>
    <n v="0"/>
    <n v="0"/>
    <n v="0"/>
    <n v="0"/>
    <n v="0"/>
    <x v="0"/>
  </r>
  <r>
    <x v="4"/>
    <s v=""/>
    <n v="0"/>
    <x v="2"/>
    <s v="Vestdanmark"/>
    <n v="21558531.376915034"/>
    <n v="0"/>
    <n v="0"/>
    <n v="0"/>
    <n v="0"/>
    <n v="19034352.153405923"/>
    <n v="0"/>
    <n v="0"/>
    <n v="2524179.2235091105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6203.1828401873436"/>
    <n v="521.85506433322087"/>
    <n v="0"/>
    <n v="0"/>
    <n v="167.38747346537275"/>
    <n v="167.38747346537275"/>
    <n v="6203.1828401873436"/>
    <n v="7.8720654896030152E-5"/>
    <n v="2.9960155128077363E-3"/>
    <n v="2.917294857911706E-3"/>
    <n v="7.8720654896030206E-5"/>
    <n v="10.545410828318483"/>
    <n v="401.34592976012112"/>
    <n v="390.80051893180263"/>
    <n v="10.545410828318495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  <x v="0"/>
  </r>
  <r>
    <x v="11"/>
    <s v="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9404263.983943939"/>
    <n v="9790151.9274066389"/>
    <n v="0"/>
    <n v="0"/>
    <n v="66758.668734263701"/>
    <n v="0"/>
    <n v="0"/>
    <n v="0"/>
    <n v="19547353.387803037"/>
    <n v="19547353.387803037"/>
    <n v="66758.668734263701"/>
    <n v="35.964686814384116"/>
    <n v="36.08751442002157"/>
    <n v="0.12282760563745343"/>
    <n v="35.964686814384116"/>
    <n v="5473258.9485848509"/>
    <n v="5491951.3758304445"/>
    <n v="18692.427245593837"/>
    <n v="5473258.9485848509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835213.6153094829"/>
    <n v="618468.71483434096"/>
    <n v="579210.80448009283"/>
    <n v="0"/>
    <n v="56360.409398816068"/>
    <n v="0"/>
    <n v="1581173.6865962329"/>
    <n v="0"/>
    <n v="0"/>
    <n v="0"/>
    <n v="1637534.095995049"/>
    <n v="0"/>
    <n v="16.667653207999045"/>
    <n v="0.32494819480525"/>
    <n v="16.342705013193797"/>
    <n v="0"/>
    <n v="1391903.9815957916"/>
    <n v="47906.347988993657"/>
    <n v="1343997.63360679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  <x v="0"/>
  </r>
  <r>
    <x v="21"/>
    <s v="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523408.7197105791"/>
    <n v="4703372.1615964994"/>
    <n v="0"/>
    <n v="307470.55071854044"/>
    <n v="2901.770538547059"/>
    <n v="0"/>
    <n v="0"/>
    <n v="0"/>
    <n v="509664.23685699236"/>
    <n v="509664.23685699236"/>
    <n v="2901.770538547059"/>
    <n v="1.7455286582420391"/>
    <n v="1.7554668160886873"/>
    <n v="9.9381578466482823E-3"/>
    <n v="1.7455286582420391"/>
    <n v="157995.91342566762"/>
    <n v="158895.46229261722"/>
    <n v="899.54886694958827"/>
    <n v="157995.91342566762"/>
    <x v="0"/>
  </r>
  <r>
    <x v="23"/>
    <s v=""/>
    <n v="0"/>
    <x v="2"/>
    <s v="Vestdanmark"/>
    <n v="0"/>
    <n v="0"/>
    <n v="0"/>
    <n v="0"/>
    <n v="0"/>
    <n v="725594.03868632857"/>
    <n v="0"/>
    <n v="0"/>
    <n v="-725594.03868632857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9169492.6818358731"/>
    <n v="674976.54463514045"/>
    <n v="0"/>
    <n v="0"/>
    <n v="343855.97556884401"/>
    <n v="343855.97556884401"/>
    <n v="9169492.6818358731"/>
    <n v="0.17405645627319316"/>
    <n v="4.8155619568916936"/>
    <n v="4.6415055006185009"/>
    <n v="0.17405645627319277"/>
    <n v="26133.054143232144"/>
    <n v="723014.49796275853"/>
    <n v="696881.44381952635"/>
    <n v="26133.054143232177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6101831.6290168501"/>
    <n v="4525643.0291759707"/>
    <n v="0"/>
    <n v="0"/>
    <n v="254098.83749353027"/>
    <n v="0"/>
    <n v="0"/>
    <n v="0"/>
    <n v="1322089.762347349"/>
    <n v="1322089.762347349"/>
    <n v="254098.83749353027"/>
    <n v="4.7463022468269829"/>
    <n v="5.6585170734287562"/>
    <n v="0.91221482660177378"/>
    <n v="4.746302246826982"/>
    <n v="396626.92870420468"/>
    <n v="472856.57995226374"/>
    <n v="76229.651248059075"/>
    <n v="396626.92870420468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9040.40310614527"/>
    <n v="171279.2848730098"/>
    <n v="0"/>
    <n v="0"/>
    <n v="0"/>
    <n v="0"/>
    <n v="0"/>
    <n v="0"/>
    <n v="17761.11823313546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  <x v="0"/>
  </r>
  <r>
    <x v="38"/>
    <s v="Græs og urter"/>
    <n v="1"/>
    <x v="2"/>
    <s v="Vestdanmark"/>
    <n v="5024574.3595380196"/>
    <n v="672934.09412450308"/>
    <n v="0"/>
    <n v="0"/>
    <n v="21821.426523041016"/>
    <n v="0"/>
    <n v="0"/>
    <n v="0"/>
    <n v="4329818.8388904752"/>
    <n v="4329818.8388904752"/>
    <n v="21821.426523041016"/>
    <n v="11.751301521502306"/>
    <n v="11.8105257459429"/>
    <n v="5.9224224440594241E-2"/>
    <n v="11.751301521502306"/>
    <n v="865963.76777809509"/>
    <n v="870328.05308270326"/>
    <n v="4364.2853046082037"/>
    <n v="865963.76777809509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  <x v="0"/>
  </r>
  <r>
    <x v="47"/>
    <s v="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x v="0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504.14538611005531"/>
    <n v="42.412230894972893"/>
    <n v="0"/>
    <n v="0"/>
    <n v="13.603923117255476"/>
    <n v="13.603923117255476"/>
    <n v="504.14538611005531"/>
    <n v="6.397789002814078E-6"/>
    <n v="2.4349232263651198E-4"/>
    <n v="2.3709453363369792E-4"/>
    <n v="6.3977890028140653E-6"/>
    <n v="0.85704715638709505"/>
    <n v="32.618206481320577"/>
    <n v="31.761159324933484"/>
    <n v="0.85704715638709317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  <x v="0"/>
  </r>
  <r>
    <x v="23"/>
    <s v=""/>
    <n v="0"/>
    <x v="1"/>
    <s v="Østdanmark"/>
    <n v="0"/>
    <n v="0"/>
    <n v="0"/>
    <n v="0"/>
    <n v="0"/>
    <n v="353758.48713435931"/>
    <n v="0"/>
    <n v="0"/>
    <n v="-353758.4871343593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664408.20431967056"/>
    <n v="48907.826151309069"/>
    <n v="0"/>
    <n v="0"/>
    <n v="24915.307661987608"/>
    <n v="24915.307661987608"/>
    <n v="664408.20431967056"/>
    <n v="1.2611879585421509E-2"/>
    <n v="0.3489286685299956"/>
    <n v="0.33631678894457406"/>
    <n v="1.2611879585421537E-2"/>
    <n v="1893.5633823110581"/>
    <n v="52388.58691060602"/>
    <n v="50495.023528294958"/>
    <n v="1893.563382311062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  <x v="0"/>
  </r>
  <r>
    <x v="47"/>
    <s v="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69084.929808935805"/>
    <n v="6333.293402992078"/>
    <n v="0"/>
    <n v="0"/>
    <n v="0"/>
    <n v="0"/>
    <n v="0"/>
    <n v="0"/>
    <n v="62751.63640594372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7860054.55405192"/>
    <n v="0"/>
    <n v="0"/>
    <n v="0"/>
    <n v="0"/>
    <n v="0"/>
    <n v="117860054.55405192"/>
    <n v="0"/>
    <n v="0"/>
    <n v="0"/>
    <n v="117860054.55405192"/>
    <n v="0"/>
    <n v="0"/>
    <n v="0"/>
    <n v="0"/>
    <n v="0"/>
    <n v="0"/>
    <n v="0"/>
    <n v="0"/>
    <x v="0"/>
  </r>
  <r>
    <x v="4"/>
    <s v=""/>
    <n v="0"/>
    <x v="2"/>
    <s v="Østdanmark"/>
    <n v="3839450.0046601556"/>
    <n v="0"/>
    <n v="0"/>
    <n v="0"/>
    <n v="0"/>
    <n v="3389908.2542493283"/>
    <n v="0"/>
    <n v="0"/>
    <n v="449541.7504108273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520.63084610535827"/>
    <n v="43.799102926323776"/>
    <n v="0"/>
    <n v="0"/>
    <n v="14.048768863160376"/>
    <n v="14.048768863160376"/>
    <n v="520.63084610535827"/>
    <n v="6.6069955086556931E-6"/>
    <n v="2.5145447612354464E-4"/>
    <n v="2.4484748061488895E-4"/>
    <n v="6.6069955086556914E-6"/>
    <n v="0.88507243837910365"/>
    <n v="33.684815743016678"/>
    <n v="32.799743304637573"/>
    <n v="0.88507243837910465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  <x v="0"/>
  </r>
  <r>
    <x v="11"/>
    <s v="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332694.7229536632"/>
    <n v="1201654.4608093717"/>
    <n v="0"/>
    <n v="0"/>
    <n v="18918.331265736317"/>
    <n v="0"/>
    <n v="0"/>
    <n v="0"/>
    <n v="7112121.9308785554"/>
    <n v="7112121.9308785554"/>
    <n v="18918.331265736317"/>
    <n v="13.085415337575183"/>
    <n v="13.120222702312729"/>
    <n v="3.4807364737546607E-2"/>
    <n v="13.085415337575183"/>
    <n v="1991394.1406459957"/>
    <n v="1996691.2734004019"/>
    <n v="5297.1327544061696"/>
    <n v="1991394.140645995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65944.52172148146"/>
    <n v="75911.55842753005"/>
    <n v="82449.939525946174"/>
    <n v="0"/>
    <n v="19573.590601183951"/>
    <n v="0"/>
    <n v="688009.43316682125"/>
    <n v="0"/>
    <n v="0"/>
    <n v="0"/>
    <n v="707583.02376800519"/>
    <n v="0"/>
    <n v="7.2239845802646228"/>
    <n v="0.11285231955475013"/>
    <n v="7.1111322607098728"/>
    <n v="0"/>
    <n v="601445.5702028044"/>
    <n v="16637.552011006359"/>
    <n v="584808.018191798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  <x v="0"/>
  </r>
  <r>
    <x v="21"/>
    <s v="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83096.8033949384"/>
    <n v="577297.28616440273"/>
    <n v="0"/>
    <n v="268249.01834925939"/>
    <n v="884.229461452941"/>
    <n v="0"/>
    <n v="0"/>
    <n v="0"/>
    <n v="836666.26941982331"/>
    <n v="836666.26941982331"/>
    <n v="884.229461452941"/>
    <n v="2.8654648394851767"/>
    <n v="2.8684932015985285"/>
    <n v="3.0283621133517201E-3"/>
    <n v="2.8654648394851767"/>
    <n v="259366.54352014523"/>
    <n v="259640.65465319564"/>
    <n v="274.11113305041169"/>
    <n v="259366.54352014523"/>
    <x v="0"/>
  </r>
  <r>
    <x v="23"/>
    <s v=""/>
    <n v="0"/>
    <x v="2"/>
    <s v="Østdanmark"/>
    <n v="0"/>
    <n v="0"/>
    <n v="0"/>
    <n v="0"/>
    <n v="0"/>
    <n v="343152.81118002941"/>
    <n v="0"/>
    <n v="0"/>
    <n v="-343152.811180029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651712.6128473935"/>
    <n v="47973.289556822005"/>
    <n v="0"/>
    <n v="0"/>
    <n v="24439.222981777159"/>
    <n v="24439.222981777159"/>
    <n v="651712.6128473935"/>
    <n v="1.2370890281145781E-2"/>
    <n v="0.34226129777836795"/>
    <n v="0.32989040749722215"/>
    <n v="1.2370890281145797E-2"/>
    <n v="1857.380946615064"/>
    <n v="51387.539523016967"/>
    <n v="49530.158576401904"/>
    <n v="1857.3809466150633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23285.6405542411"/>
    <n v="555482.60888743005"/>
    <n v="0"/>
    <n v="0"/>
    <n v="75927.162506469729"/>
    <n v="0"/>
    <n v="0"/>
    <n v="0"/>
    <n v="1191875.8691603413"/>
    <n v="1191875.8691603413"/>
    <n v="75927.162506469729"/>
    <n v="4.278834370285626"/>
    <n v="4.5514128836838523"/>
    <n v="0.27257851339822636"/>
    <n v="4.278834370285626"/>
    <n v="357562.76074810239"/>
    <n v="380340.90950004332"/>
    <n v="22778.148751940917"/>
    <n v="357562.76074810239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8043.451099078971"/>
    <n v="21023.015601598701"/>
    <n v="0"/>
    <n v="0"/>
    <n v="0"/>
    <n v="0"/>
    <n v="0"/>
    <n v="0"/>
    <n v="37020.4354974802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  <x v="0"/>
  </r>
  <r>
    <x v="38"/>
    <s v="Græs og urter"/>
    <n v="1"/>
    <x v="2"/>
    <s v="Østdanmark"/>
    <n v="1571187.4884325294"/>
    <n v="82596.70146402168"/>
    <n v="0"/>
    <n v="0"/>
    <n v="6823.5734769589817"/>
    <n v="0"/>
    <n v="0"/>
    <n v="0"/>
    <n v="1481767.2134915488"/>
    <n v="1481767.2134915488"/>
    <n v="6823.5734769589817"/>
    <n v="4.0215754881046033"/>
    <n v="4.0400949394640087"/>
    <n v="1.8519451359405754E-2"/>
    <n v="4.0215754881046033"/>
    <n v="296353.44269830978"/>
    <n v="297718.15739370155"/>
    <n v="1364.7146953917963"/>
    <n v="296353.44269830978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  <x v="0"/>
  </r>
  <r>
    <x v="47"/>
    <s v="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n v="0"/>
    <x v="1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6006.7628175927466"/>
    <n v="505.33084021018328"/>
    <n v="0"/>
    <n v="0"/>
    <n v="162.08725063345537"/>
    <n v="162.08725063345537"/>
    <n v="6006.7628175927466"/>
    <n v="7.6228013100407724E-5"/>
    <n v="2.9011484985861005E-3"/>
    <n v="2.8249204854856927E-3"/>
    <n v="7.6228013100407711E-5"/>
    <n v="10.211496789907688"/>
    <n v="388.63755429825073"/>
    <n v="378.42605750834304"/>
    <n v="10.211496789907699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  <n v="0"/>
    <x v="0"/>
  </r>
  <r>
    <x v="23"/>
    <s v=""/>
    <n v="0"/>
    <x v="1"/>
    <s v="Vestdanmark"/>
    <n v="0"/>
    <n v="0"/>
    <n v="0"/>
    <n v="0"/>
    <n v="0"/>
    <n v="771875.25410193205"/>
    <n v="0"/>
    <n v="0"/>
    <n v="-771875.2541019320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9348117.6321617663"/>
    <n v="688125.32570079644"/>
    <n v="0"/>
    <n v="0"/>
    <n v="350554.41120606475"/>
    <n v="350554.41120606475"/>
    <n v="9348117.6321617663"/>
    <n v="0.17744713740839793"/>
    <n v="4.9093708016323632"/>
    <n v="4.7319236642239648"/>
    <n v="0.17744713740839835"/>
    <n v="26642.135251660919"/>
    <n v="737099.07529595518"/>
    <n v="710456.94004429423"/>
    <n v="26642.135251660948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  <n v="0"/>
    <x v="1"/>
  </r>
  <r>
    <x v="47"/>
    <s v="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9440.63810667559"/>
    <n v="51598.780380153592"/>
    <n v="0"/>
    <n v="0"/>
    <n v="0"/>
    <n v="0"/>
    <n v="0"/>
    <n v="0"/>
    <n v="177841.8577265219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01057849.5712257"/>
    <n v="0"/>
    <n v="0"/>
    <n v="0"/>
    <n v="0"/>
    <n v="0"/>
    <n v="501057849.5712257"/>
    <n v="0"/>
    <n v="0"/>
    <n v="0"/>
    <n v="501057849.5712257"/>
    <n v="0"/>
    <n v="0"/>
    <n v="0"/>
    <n v="0"/>
    <n v="0"/>
    <n v="0"/>
    <n v="0"/>
    <n v="0"/>
    <n v="0"/>
    <x v="1"/>
  </r>
  <r>
    <x v="4"/>
    <s v=""/>
    <n v="0"/>
    <x v="2"/>
    <s v="Vestdanmark"/>
    <n v="21558531.376915034"/>
    <n v="0"/>
    <n v="0"/>
    <n v="0"/>
    <n v="0"/>
    <n v="19034352.153405923"/>
    <n v="0"/>
    <n v="0"/>
    <n v="2524179.223509110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6203.1828401873436"/>
    <n v="521.85506433322087"/>
    <n v="0"/>
    <n v="0"/>
    <n v="167.38747346537275"/>
    <n v="167.38747346537275"/>
    <n v="6203.1828401873436"/>
    <n v="7.8720654896030152E-5"/>
    <n v="2.9960155128077363E-3"/>
    <n v="2.917294857911706E-3"/>
    <n v="7.8720654896030206E-5"/>
    <n v="10.545410828318483"/>
    <n v="401.34592976012112"/>
    <n v="390.80051893180263"/>
    <n v="10.545410828318495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9404263.983943939"/>
    <n v="9790151.9274066389"/>
    <n v="0"/>
    <n v="0"/>
    <n v="66758.668734263701"/>
    <n v="0"/>
    <n v="0"/>
    <n v="0"/>
    <n v="19547353.387803037"/>
    <n v="19547353.387803037"/>
    <n v="66758.668734263701"/>
    <n v="35.964686814384116"/>
    <n v="36.08751442002157"/>
    <n v="0.12282760563745343"/>
    <n v="35.964686814384116"/>
    <n v="5473258.9485848509"/>
    <n v="5491951.3758304445"/>
    <n v="18692.427245593837"/>
    <n v="5473258.9485848509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835213.6153094829"/>
    <n v="618468.71483434096"/>
    <n v="579210.80448009283"/>
    <n v="0"/>
    <n v="56360.409398816068"/>
    <n v="0"/>
    <n v="1581173.6865962329"/>
    <n v="0"/>
    <n v="0"/>
    <n v="0"/>
    <n v="1637534.095995049"/>
    <n v="0"/>
    <n v="16.667653207999045"/>
    <n v="0.32494819480525"/>
    <n v="16.342705013193797"/>
    <n v="0"/>
    <n v="1391903.9815957916"/>
    <n v="47906.347988993657"/>
    <n v="1343997.63360679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523408.7197105791"/>
    <n v="4703372.1615964994"/>
    <n v="0"/>
    <n v="307470.55071854044"/>
    <n v="2901.770538547059"/>
    <n v="0"/>
    <n v="0"/>
    <n v="0"/>
    <n v="509664.23685699236"/>
    <n v="509664.23685699236"/>
    <n v="2901.770538547059"/>
    <n v="1.7455286582420391"/>
    <n v="1.7554668160886873"/>
    <n v="9.9381578466482823E-3"/>
    <n v="1.7455286582420391"/>
    <n v="157995.91342566762"/>
    <n v="158895.46229261722"/>
    <n v="899.54886694958827"/>
    <n v="157995.91342566762"/>
    <n v="0"/>
    <x v="0"/>
  </r>
  <r>
    <x v="23"/>
    <s v=""/>
    <n v="0"/>
    <x v="2"/>
    <s v="Vestdanmark"/>
    <n v="0"/>
    <n v="0"/>
    <n v="0"/>
    <n v="0"/>
    <n v="0"/>
    <n v="725594.03868632857"/>
    <n v="0"/>
    <n v="0"/>
    <n v="-725594.0386863285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9169492.6818358731"/>
    <n v="674976.54463514045"/>
    <n v="0"/>
    <n v="0"/>
    <n v="343855.97556884401"/>
    <n v="343855.97556884401"/>
    <n v="9169492.6818358731"/>
    <n v="0.17405645627319316"/>
    <n v="4.8155619568916936"/>
    <n v="4.6415055006185009"/>
    <n v="0.17405645627319277"/>
    <n v="26133.054143232144"/>
    <n v="723014.49796275853"/>
    <n v="696881.44381952635"/>
    <n v="26133.054143232177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6101831.6290168501"/>
    <n v="4525643.0291759707"/>
    <n v="0"/>
    <n v="0"/>
    <n v="254098.83749353027"/>
    <n v="0"/>
    <n v="0"/>
    <n v="0"/>
    <n v="1322089.762347349"/>
    <n v="1322089.762347349"/>
    <n v="254098.83749353027"/>
    <n v="4.7463022468269829"/>
    <n v="5.6585170734287562"/>
    <n v="0.91221482660177378"/>
    <n v="4.746302246826982"/>
    <n v="396626.92870420468"/>
    <n v="472856.57995226374"/>
    <n v="76229.651248059075"/>
    <n v="396626.92870420468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9040.40310614527"/>
    <n v="171279.2848730098"/>
    <n v="0"/>
    <n v="0"/>
    <n v="0"/>
    <n v="0"/>
    <n v="0"/>
    <n v="0"/>
    <n v="17761.11823313546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  <n v="0"/>
    <x v="1"/>
  </r>
  <r>
    <x v="38"/>
    <s v="Græs og urter"/>
    <n v="1"/>
    <x v="2"/>
    <s v="Vestdanmark"/>
    <n v="5024574.3595380196"/>
    <n v="672934.09412450308"/>
    <n v="0"/>
    <n v="0"/>
    <n v="21821.426523041016"/>
    <n v="0"/>
    <n v="0"/>
    <n v="0"/>
    <n v="4329818.8388904752"/>
    <n v="4329818.8388904752"/>
    <n v="21821.426523041016"/>
    <n v="11.751301521502306"/>
    <n v="11.8105257459429"/>
    <n v="5.9224224440594241E-2"/>
    <n v="11.751301521502306"/>
    <n v="865963.76777809509"/>
    <n v="870328.05308270326"/>
    <n v="4364.2853046082037"/>
    <n v="865963.76777809509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  <n v="0"/>
    <x v="1"/>
  </r>
  <r>
    <x v="47"/>
    <s v="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n v="0"/>
    <x v="1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504.14538611005531"/>
    <n v="42.412230894972893"/>
    <n v="0"/>
    <n v="0"/>
    <n v="13.603923117255476"/>
    <n v="13.603923117255476"/>
    <n v="504.14538611005531"/>
    <n v="6.397789002814078E-6"/>
    <n v="2.4349232263651198E-4"/>
    <n v="2.3709453363369792E-4"/>
    <n v="6.3977890028140653E-6"/>
    <n v="0.85704715638709505"/>
    <n v="32.618206481320577"/>
    <n v="31.761159324933484"/>
    <n v="0.85704715638709317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  <n v="0"/>
    <x v="0"/>
  </r>
  <r>
    <x v="23"/>
    <s v=""/>
    <n v="0"/>
    <x v="1"/>
    <s v="Østdanmark"/>
    <n v="0"/>
    <n v="0"/>
    <n v="0"/>
    <n v="0"/>
    <n v="0"/>
    <n v="353758.48713435931"/>
    <n v="0"/>
    <n v="0"/>
    <n v="-353758.4871343593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664408.20431967056"/>
    <n v="48907.826151309069"/>
    <n v="0"/>
    <n v="0"/>
    <n v="24915.307661987608"/>
    <n v="24915.307661987608"/>
    <n v="664408.20431967056"/>
    <n v="1.2611879585421509E-2"/>
    <n v="0.3489286685299956"/>
    <n v="0.33631678894457406"/>
    <n v="1.2611879585421537E-2"/>
    <n v="1893.5633823110581"/>
    <n v="52388.58691060602"/>
    <n v="50495.023528294958"/>
    <n v="1893.563382311062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  <n v="0"/>
    <x v="1"/>
  </r>
  <r>
    <x v="47"/>
    <s v="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9084.929808935805"/>
    <n v="6333.293402992078"/>
    <n v="0"/>
    <n v="0"/>
    <n v="0"/>
    <n v="0"/>
    <n v="0"/>
    <n v="0"/>
    <n v="62751.63640594372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7860054.55405192"/>
    <n v="0"/>
    <n v="0"/>
    <n v="0"/>
    <n v="0"/>
    <n v="0"/>
    <n v="117860054.55405192"/>
    <n v="0"/>
    <n v="0"/>
    <n v="0"/>
    <n v="117860054.55405192"/>
    <n v="0"/>
    <n v="0"/>
    <n v="0"/>
    <n v="0"/>
    <n v="0"/>
    <n v="0"/>
    <n v="0"/>
    <n v="0"/>
    <n v="0"/>
    <x v="1"/>
  </r>
  <r>
    <x v="4"/>
    <s v=""/>
    <n v="0"/>
    <x v="2"/>
    <s v="Østdanmark"/>
    <n v="3839450.0046601556"/>
    <n v="0"/>
    <n v="0"/>
    <n v="0"/>
    <n v="0"/>
    <n v="3389908.2542493283"/>
    <n v="0"/>
    <n v="0"/>
    <n v="449541.7504108273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520.63084610535827"/>
    <n v="43.799102926323776"/>
    <n v="0"/>
    <n v="0"/>
    <n v="14.048768863160376"/>
    <n v="14.048768863160376"/>
    <n v="520.63084610535827"/>
    <n v="6.6069955086556931E-6"/>
    <n v="2.5145447612354464E-4"/>
    <n v="2.4484748061488895E-4"/>
    <n v="6.6069955086556914E-6"/>
    <n v="0.88507243837910365"/>
    <n v="33.684815743016678"/>
    <n v="32.799743304637573"/>
    <n v="0.88507243837910465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332694.7229536632"/>
    <n v="1201654.4608093717"/>
    <n v="0"/>
    <n v="0"/>
    <n v="18918.331265736317"/>
    <n v="0"/>
    <n v="0"/>
    <n v="0"/>
    <n v="7112121.9308785554"/>
    <n v="7112121.9308785554"/>
    <n v="18918.331265736317"/>
    <n v="13.085415337575183"/>
    <n v="13.120222702312729"/>
    <n v="3.4807364737546607E-2"/>
    <n v="13.085415337575183"/>
    <n v="1991394.1406459957"/>
    <n v="1996691.2734004019"/>
    <n v="5297.1327544061696"/>
    <n v="1991394.140645995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65944.52172148146"/>
    <n v="75911.55842753005"/>
    <n v="82449.939525946174"/>
    <n v="0"/>
    <n v="19573.590601183951"/>
    <n v="0"/>
    <n v="688009.43316682125"/>
    <n v="0"/>
    <n v="0"/>
    <n v="0"/>
    <n v="707583.02376800519"/>
    <n v="0"/>
    <n v="7.2239845802646228"/>
    <n v="0.11285231955475013"/>
    <n v="7.1111322607098728"/>
    <n v="0"/>
    <n v="601445.5702028044"/>
    <n v="16637.552011006359"/>
    <n v="584808.018191798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83096.8033949384"/>
    <n v="577297.28616440273"/>
    <n v="0"/>
    <n v="268249.01834925939"/>
    <n v="884.229461452941"/>
    <n v="0"/>
    <n v="0"/>
    <n v="0"/>
    <n v="836666.26941982331"/>
    <n v="836666.26941982331"/>
    <n v="884.229461452941"/>
    <n v="2.8654648394851767"/>
    <n v="2.8684932015985285"/>
    <n v="3.0283621133517201E-3"/>
    <n v="2.8654648394851767"/>
    <n v="259366.54352014523"/>
    <n v="259640.65465319564"/>
    <n v="274.11113305041169"/>
    <n v="259366.54352014523"/>
    <n v="0"/>
    <x v="0"/>
  </r>
  <r>
    <x v="23"/>
    <s v=""/>
    <n v="0"/>
    <x v="2"/>
    <s v="Østdanmark"/>
    <n v="0"/>
    <n v="0"/>
    <n v="0"/>
    <n v="0"/>
    <n v="0"/>
    <n v="343152.81118002941"/>
    <n v="0"/>
    <n v="0"/>
    <n v="-343152.811180029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651712.6128473935"/>
    <n v="47973.289556822005"/>
    <n v="0"/>
    <n v="0"/>
    <n v="24439.222981777159"/>
    <n v="24439.222981777159"/>
    <n v="651712.6128473935"/>
    <n v="1.2370890281145781E-2"/>
    <n v="0.34226129777836795"/>
    <n v="0.32989040749722215"/>
    <n v="1.2370890281145797E-2"/>
    <n v="1857.380946615064"/>
    <n v="51387.539523016967"/>
    <n v="49530.158576401904"/>
    <n v="1857.3809466150633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23285.6405542411"/>
    <n v="555482.60888743005"/>
    <n v="0"/>
    <n v="0"/>
    <n v="75927.162506469729"/>
    <n v="0"/>
    <n v="0"/>
    <n v="0"/>
    <n v="1191875.8691603413"/>
    <n v="1191875.8691603413"/>
    <n v="75927.162506469729"/>
    <n v="4.278834370285626"/>
    <n v="4.5514128836838523"/>
    <n v="0.27257851339822636"/>
    <n v="4.278834370285626"/>
    <n v="357562.76074810239"/>
    <n v="380340.90950004332"/>
    <n v="22778.148751940917"/>
    <n v="357562.76074810239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8043.451099078971"/>
    <n v="21023.015601598701"/>
    <n v="0"/>
    <n v="0"/>
    <n v="0"/>
    <n v="0"/>
    <n v="0"/>
    <n v="0"/>
    <n v="37020.4354974802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  <n v="0"/>
    <x v="1"/>
  </r>
  <r>
    <x v="38"/>
    <s v="Græs og urter"/>
    <n v="1"/>
    <x v="2"/>
    <s v="Østdanmark"/>
    <n v="1571187.4884325294"/>
    <n v="82596.70146402168"/>
    <n v="0"/>
    <n v="0"/>
    <n v="6823.5734769589817"/>
    <n v="0"/>
    <n v="0"/>
    <n v="0"/>
    <n v="1481767.2134915488"/>
    <n v="1481767.2134915488"/>
    <n v="6823.5734769589817"/>
    <n v="4.0215754881046033"/>
    <n v="4.0400949394640087"/>
    <n v="1.8519451359405754E-2"/>
    <n v="4.0215754881046033"/>
    <n v="296353.44269830978"/>
    <n v="297718.15739370155"/>
    <n v="1364.7146953917963"/>
    <n v="296353.44269830978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  <n v="0"/>
    <x v="1"/>
  </r>
  <r>
    <x v="47"/>
    <s v="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  <n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9460733.3446546644"/>
    <s v="CO2 - atmosfære"/>
    <x v="0"/>
  </r>
  <r>
    <s v="Vestdanmark"/>
    <x v="1"/>
    <n v="4046578.8260529838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024.3224583613"/>
    <s v="Skov"/>
    <x v="4"/>
  </r>
  <r>
    <s v="Vestdanmark"/>
    <x v="1"/>
    <n v="-413224.8677758188"/>
    <s v="Biogasanlæg"/>
    <x v="5"/>
  </r>
  <r>
    <s v="Vestdanmark"/>
    <x v="1"/>
    <n v="0"/>
    <s v="Pyrolyseproces"/>
    <x v="6"/>
  </r>
  <r>
    <s v="Vestdanmark"/>
    <x v="2"/>
    <n v="8895624.8229493164"/>
    <s v="CO2 - atmosfære"/>
    <x v="0"/>
  </r>
  <r>
    <s v="Vestdanmark"/>
    <x v="2"/>
    <n v="4029816.5016583097"/>
    <s v="Landbrug"/>
    <x v="1"/>
  </r>
  <r>
    <s v="Vestdanmark"/>
    <x v="2"/>
    <n v="3906669.7542952816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1849222.4776918571"/>
    <s v="Skov"/>
    <x v="4"/>
  </r>
  <r>
    <s v="Vestdanmark"/>
    <x v="2"/>
    <n v="-402080.41937998723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612660.652553597"/>
    <s v="CO2 - atmosfære"/>
    <x v="0"/>
  </r>
  <r>
    <s v="Østdanmark"/>
    <x v="1"/>
    <n v="359274.6794446436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15.40557504073"/>
    <s v="Skov"/>
    <x v="4"/>
  </r>
  <r>
    <s v="Østdanmark"/>
    <x v="1"/>
    <n v="-39567.755712146653"/>
    <s v="Biogasanlæg"/>
    <x v="5"/>
  </r>
  <r>
    <s v="Østdanmark"/>
    <x v="1"/>
    <n v="0"/>
    <s v="Pyrolyseproces"/>
    <x v="6"/>
  </r>
  <r>
    <s v="Østdanmark"/>
    <x v="2"/>
    <n v="1498435.4447871903"/>
    <s v="CO2 - atmosfære"/>
    <x v="0"/>
  </r>
  <r>
    <s v="Østdanmark"/>
    <x v="2"/>
    <n v="358368.22621777962"/>
    <s v="Landbrug"/>
    <x v="1"/>
  </r>
  <r>
    <s v="Østdanmark"/>
    <x v="2"/>
    <n v="1215442.66278685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378382.64581405697"/>
    <s v="Skov"/>
    <x v="4"/>
  </r>
  <r>
    <s v="Østdanmark"/>
    <x v="2"/>
    <n v="-38340.992287207751"/>
    <s v="Biogasanlæg"/>
    <x v="5"/>
  </r>
  <r>
    <s v="Østdanmark"/>
    <x v="2"/>
    <n v="0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</r>
  <r>
    <x v="4"/>
    <x v="10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6006.7628175927466"/>
    <n v="505.33084021018328"/>
    <n v="0"/>
    <n v="0"/>
    <n v="162.08725063345537"/>
    <n v="162.08725063345537"/>
    <n v="6006.7628175927466"/>
    <n v="7.6228013100407724E-5"/>
    <n v="2.9011484985861005E-3"/>
    <n v="2.8249204854856927E-3"/>
    <n v="7.6228013100407711E-5"/>
    <n v="10.211496789907688"/>
    <n v="388.63755429825073"/>
    <n v="378.42605750834304"/>
    <n v="10.211496789907699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</r>
  <r>
    <x v="23"/>
    <x v="10"/>
    <n v="0"/>
    <x v="1"/>
    <s v="Vestdanmark"/>
    <n v="0"/>
    <n v="0"/>
    <n v="0"/>
    <n v="0"/>
    <n v="0"/>
    <n v="771875.25410193205"/>
    <n v="0"/>
    <n v="0"/>
    <n v="-771875.25410193205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9348117.6321617663"/>
    <n v="688125.32570079644"/>
    <n v="0"/>
    <n v="0"/>
    <n v="350554.41120606475"/>
    <n v="350554.41120606475"/>
    <n v="9348117.6321617663"/>
    <n v="0.17744713740839793"/>
    <n v="4.9093708016323632"/>
    <n v="4.7319236642239648"/>
    <n v="0.17744713740839835"/>
    <n v="26642.135251660919"/>
    <n v="737099.07529595518"/>
    <n v="710456.94004429423"/>
    <n v="26642.135251660948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341.6308326661"/>
    <n v="0"/>
    <n v="0"/>
    <n v="0"/>
    <n v="0"/>
    <n v="0"/>
    <n v="2216341.6308326661"/>
    <n v="0"/>
    <n v="0"/>
    <n v="0"/>
    <n v="2216341.6308326661"/>
    <n v="0"/>
    <n v="32.122700134129985"/>
    <n v="0"/>
    <n v="32.122700134129985"/>
    <n v="0"/>
    <n v="1096165.6315826562"/>
    <n v="0"/>
    <n v="1096165.6315826562"/>
  </r>
  <r>
    <x v="47"/>
    <x v="10"/>
    <n v="0"/>
    <x v="1"/>
    <s v="Vestdanmark"/>
    <n v="613803.17949896643"/>
    <n v="0"/>
    <n v="0"/>
    <n v="0"/>
    <n v="0"/>
    <n v="0"/>
    <n v="0"/>
    <n v="0"/>
    <n v="613803.17949896643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29440.63810667559"/>
    <n v="51598.780380153592"/>
    <n v="0"/>
    <n v="0"/>
    <n v="0"/>
    <n v="0"/>
    <n v="0"/>
    <n v="0"/>
    <n v="177841.85772652199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01057849.5712257"/>
    <n v="0"/>
    <n v="0"/>
    <n v="0"/>
    <n v="0"/>
    <n v="0"/>
    <n v="501057849.5712257"/>
    <n v="0"/>
    <n v="0"/>
    <n v="0"/>
    <n v="501057849.5712257"/>
    <n v="0"/>
    <n v="0"/>
    <n v="0"/>
    <n v="0"/>
    <n v="0"/>
    <n v="0"/>
    <n v="0"/>
    <n v="0"/>
  </r>
  <r>
    <x v="4"/>
    <x v="10"/>
    <n v="0"/>
    <x v="2"/>
    <s v="Vestdanmark"/>
    <n v="21558531.376915034"/>
    <n v="0"/>
    <n v="0"/>
    <n v="0"/>
    <n v="0"/>
    <n v="19034352.153405923"/>
    <n v="0"/>
    <n v="0"/>
    <n v="2524179.2235091105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6203.1828401873436"/>
    <n v="521.85506433322087"/>
    <n v="0"/>
    <n v="0"/>
    <n v="167.38747346537275"/>
    <n v="167.38747346537275"/>
    <n v="6203.1828401873436"/>
    <n v="7.8720654896030152E-5"/>
    <n v="2.9960155128077363E-3"/>
    <n v="2.917294857911706E-3"/>
    <n v="7.8720654896030206E-5"/>
    <n v="10.545410828318483"/>
    <n v="401.34592976012112"/>
    <n v="390.80051893180263"/>
    <n v="10.545410828318495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1145476.8591293055"/>
    <n v="0"/>
    <n v="0"/>
    <n v="0"/>
    <n v="0"/>
    <n v="0"/>
    <n v="0"/>
    <n v="0"/>
    <n v="1145476.8591293055"/>
    <n v="0"/>
    <n v="0"/>
    <n v="0"/>
    <n v="0"/>
    <n v="0"/>
    <n v="0"/>
    <n v="0"/>
    <n v="0"/>
    <n v="0"/>
    <n v="0"/>
  </r>
  <r>
    <x v="11"/>
    <x v="10"/>
    <n v="0"/>
    <x v="2"/>
    <s v="Vestdanmark"/>
    <n v="32793.097303413146"/>
    <n v="0"/>
    <n v="0"/>
    <n v="267978.92035102146"/>
    <n v="0"/>
    <n v="0"/>
    <n v="0"/>
    <n v="0"/>
    <n v="-235185.8230476083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9404263.983943939"/>
    <n v="9790151.9274066389"/>
    <n v="0"/>
    <n v="0"/>
    <n v="66758.668734263701"/>
    <n v="0"/>
    <n v="0"/>
    <n v="0"/>
    <n v="19547353.387803037"/>
    <n v="19547353.387803037"/>
    <n v="66758.668734263701"/>
    <n v="35.964686814384116"/>
    <n v="36.08751442002157"/>
    <n v="0.12282760563745343"/>
    <n v="35.964686814384116"/>
    <n v="5473258.9485848509"/>
    <n v="5491951.3758304445"/>
    <n v="18692.427245593837"/>
    <n v="5473258.9485848509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20830.77573350482"/>
    <n v="0"/>
    <n v="0"/>
    <n v="280672.65868343826"/>
    <n v="0"/>
    <n v="0"/>
    <n v="0"/>
    <n v="0"/>
    <n v="-59841.882949933439"/>
    <n v="0"/>
    <n v="0"/>
    <n v="0"/>
    <n v="0"/>
    <n v="0"/>
    <n v="0"/>
    <n v="0"/>
    <n v="0"/>
    <n v="0"/>
    <n v="0"/>
  </r>
  <r>
    <x v="16"/>
    <x v="5"/>
    <n v="1"/>
    <x v="2"/>
    <s v="Vestdanmark"/>
    <n v="2835213.6153094829"/>
    <n v="618468.71483434096"/>
    <n v="579210.80448009283"/>
    <n v="0"/>
    <n v="56360.409398816068"/>
    <n v="0"/>
    <n v="1581173.6865962329"/>
    <n v="0"/>
    <n v="0"/>
    <n v="0"/>
    <n v="1637534.095995049"/>
    <n v="0"/>
    <n v="16.667653207999045"/>
    <n v="0.32494819480525"/>
    <n v="16.342705013193797"/>
    <n v="0"/>
    <n v="1391903.9815957916"/>
    <n v="47906.347988993657"/>
    <n v="1343997.63360679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729011.95091777691"/>
    <n v="0"/>
    <n v="0"/>
    <n v="0"/>
    <n v="0"/>
    <n v="0"/>
    <n v="0"/>
    <n v="0"/>
    <n v="729011.95091777691"/>
    <n v="0"/>
    <n v="0"/>
    <n v="0"/>
    <n v="0"/>
    <n v="0"/>
    <n v="0"/>
    <n v="0"/>
    <n v="0"/>
    <n v="0"/>
    <n v="0"/>
  </r>
  <r>
    <x v="21"/>
    <x v="10"/>
    <n v="0"/>
    <x v="2"/>
    <s v="Vestdanmark"/>
    <n v="1818589.8087592444"/>
    <n v="0"/>
    <n v="0"/>
    <n v="128347.79869443661"/>
    <n v="0"/>
    <n v="0"/>
    <n v="0"/>
    <n v="0"/>
    <n v="1690242.0100648077"/>
    <n v="0"/>
    <n v="0"/>
    <n v="0"/>
    <n v="0"/>
    <n v="0"/>
    <n v="0"/>
    <n v="0"/>
    <n v="0"/>
    <n v="0"/>
    <n v="0"/>
  </r>
  <r>
    <x v="22"/>
    <x v="5"/>
    <n v="1"/>
    <x v="2"/>
    <s v="Vestdanmark"/>
    <n v="5523408.7197105791"/>
    <n v="4703372.1615964994"/>
    <n v="0"/>
    <n v="307470.55071854044"/>
    <n v="2901.770538547059"/>
    <n v="0"/>
    <n v="0"/>
    <n v="0"/>
    <n v="509664.23685699236"/>
    <n v="509664.23685699236"/>
    <n v="2901.770538547059"/>
    <n v="1.7455286582420391"/>
    <n v="1.7554668160886873"/>
    <n v="9.9381578466482823E-3"/>
    <n v="1.7455286582420391"/>
    <n v="157995.91342566762"/>
    <n v="158895.46229261722"/>
    <n v="899.54886694958827"/>
    <n v="157995.91342566762"/>
  </r>
  <r>
    <x v="23"/>
    <x v="10"/>
    <n v="0"/>
    <x v="2"/>
    <s v="Vestdanmark"/>
    <n v="0"/>
    <n v="0"/>
    <n v="0"/>
    <n v="0"/>
    <n v="0"/>
    <n v="725594.03868632857"/>
    <n v="0"/>
    <n v="0"/>
    <n v="-725594.03868632857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9169492.6818358731"/>
    <n v="674976.54463514045"/>
    <n v="0"/>
    <n v="0"/>
    <n v="343855.97556884401"/>
    <n v="343855.97556884401"/>
    <n v="9169492.6818358731"/>
    <n v="0.17405645627319316"/>
    <n v="4.8155619568916936"/>
    <n v="4.6415055006185009"/>
    <n v="0.17405645627319277"/>
    <n v="26133.054143232144"/>
    <n v="723014.49796275853"/>
    <n v="696881.44381952635"/>
    <n v="26133.054143232177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6101831.6290168501"/>
    <n v="4525643.0291759707"/>
    <n v="0"/>
    <n v="0"/>
    <n v="254098.83749353027"/>
    <n v="0"/>
    <n v="0"/>
    <n v="0"/>
    <n v="1322089.762347349"/>
    <n v="1322089.762347349"/>
    <n v="254098.83749353027"/>
    <n v="4.7463022468269829"/>
    <n v="5.6585170734287562"/>
    <n v="0.91221482660177378"/>
    <n v="4.746302246826982"/>
    <n v="396626.92870420468"/>
    <n v="472856.57995226374"/>
    <n v="76229.651248059075"/>
    <n v="396626.92870420468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048609.453845398"/>
    <n v="0"/>
    <n v="0"/>
    <n v="0"/>
    <n v="0"/>
    <n v="0"/>
    <n v="0"/>
    <n v="0"/>
    <n v="1048609.453845398"/>
    <n v="0"/>
    <n v="0"/>
    <n v="0"/>
    <n v="0"/>
    <n v="0"/>
    <n v="0"/>
    <n v="0"/>
    <n v="0"/>
    <n v="0"/>
    <n v="0"/>
  </r>
  <r>
    <x v="31"/>
    <x v="7"/>
    <n v="1"/>
    <x v="2"/>
    <s v="Vestdanmark"/>
    <n v="158491.06742829576"/>
    <n v="0"/>
    <n v="0"/>
    <n v="0"/>
    <n v="0"/>
    <n v="0"/>
    <n v="158491.06742829576"/>
    <n v="0"/>
    <n v="0"/>
    <n v="0"/>
    <n v="158491.06742829576"/>
    <n v="0"/>
    <n v="2.9162356406806413"/>
    <n v="0"/>
    <n v="2.9162356406806413"/>
    <n v="0"/>
    <n v="65773.792982742743"/>
    <n v="0"/>
    <n v="65773.79298274274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378080.80621229054"/>
    <n v="0"/>
    <n v="0"/>
    <n v="0"/>
    <n v="0"/>
    <n v="0"/>
    <n v="0"/>
    <n v="378080.8062122905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9040.40310614527"/>
    <n v="171279.2848730098"/>
    <n v="0"/>
    <n v="0"/>
    <n v="0"/>
    <n v="0"/>
    <n v="0"/>
    <n v="0"/>
    <n v="17761.118233135465"/>
    <n v="0"/>
    <n v="0"/>
    <n v="0"/>
    <n v="0"/>
    <n v="0"/>
    <n v="0"/>
    <n v="0"/>
    <n v="0"/>
    <n v="0"/>
    <n v="0"/>
  </r>
  <r>
    <x v="37"/>
    <x v="9"/>
    <n v="1"/>
    <x v="2"/>
    <s v="Vestdanmark"/>
    <n v="120985.85798793298"/>
    <n v="0"/>
    <n v="0"/>
    <n v="0"/>
    <n v="0"/>
    <n v="0"/>
    <n v="120985.85798793298"/>
    <n v="0"/>
    <n v="0"/>
    <n v="0"/>
    <n v="120985.85798793298"/>
    <n v="0"/>
    <n v="4.2345050295776536"/>
    <n v="0"/>
    <n v="4.2345050295776536"/>
    <n v="0"/>
    <n v="0"/>
    <n v="0"/>
    <n v="0"/>
  </r>
  <r>
    <x v="38"/>
    <x v="4"/>
    <n v="1"/>
    <x v="2"/>
    <s v="Vestdanmark"/>
    <n v="5024574.3595380196"/>
    <n v="672934.09412450308"/>
    <n v="0"/>
    <n v="0"/>
    <n v="21821.426523041016"/>
    <n v="0"/>
    <n v="0"/>
    <n v="0"/>
    <n v="4329818.8388904752"/>
    <n v="4329818.8388904752"/>
    <n v="21821.426523041016"/>
    <n v="11.751301521502306"/>
    <n v="11.8105257459429"/>
    <n v="5.9224224440594241E-2"/>
    <n v="11.751301521502306"/>
    <n v="865963.76777809509"/>
    <n v="870328.05308270326"/>
    <n v="4364.2853046082037"/>
    <n v="865963.76777809509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35295.9759470159"/>
    <n v="0"/>
    <n v="0"/>
    <n v="0"/>
    <n v="0"/>
    <n v="0"/>
    <n v="2235295.9759470159"/>
    <n v="0"/>
    <n v="0"/>
    <n v="0"/>
    <n v="2235295.9759470159"/>
    <n v="0"/>
    <n v="32.397416241013886"/>
    <n v="0"/>
    <n v="32.397416241013886"/>
    <n v="0"/>
    <n v="1105540.1347704616"/>
    <n v="0"/>
    <n v="1105540.1347704616"/>
  </r>
  <r>
    <x v="47"/>
    <x v="10"/>
    <n v="0"/>
    <x v="2"/>
    <s v="Vestdanmark"/>
    <n v="687223.1739007252"/>
    <n v="0"/>
    <n v="0"/>
    <n v="0"/>
    <n v="0"/>
    <n v="0"/>
    <n v="0"/>
    <n v="0"/>
    <n v="687223.1739007252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</r>
  <r>
    <x v="4"/>
    <x v="10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504.14538611005531"/>
    <n v="42.412230894972893"/>
    <n v="0"/>
    <n v="0"/>
    <n v="13.603923117255476"/>
    <n v="13.603923117255476"/>
    <n v="504.14538611005531"/>
    <n v="6.397789002814078E-6"/>
    <n v="2.4349232263651198E-4"/>
    <n v="2.3709453363369792E-4"/>
    <n v="6.3977890028140653E-6"/>
    <n v="0.85704715638709505"/>
    <n v="32.618206481320577"/>
    <n v="31.761159324933484"/>
    <n v="0.85704715638709317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</r>
  <r>
    <x v="23"/>
    <x v="10"/>
    <n v="0"/>
    <x v="1"/>
    <s v="Østdanmark"/>
    <n v="0"/>
    <n v="0"/>
    <n v="0"/>
    <n v="0"/>
    <n v="0"/>
    <n v="353758.48713435931"/>
    <n v="0"/>
    <n v="0"/>
    <n v="-353758.48713435931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664408.20431967056"/>
    <n v="48907.826151309069"/>
    <n v="0"/>
    <n v="0"/>
    <n v="24915.307661987608"/>
    <n v="24915.307661987608"/>
    <n v="664408.20431967056"/>
    <n v="1.2611879585421509E-2"/>
    <n v="0.3489286685299956"/>
    <n v="0.33631678894457406"/>
    <n v="1.2611879585421537E-2"/>
    <n v="1893.5633823110581"/>
    <n v="52388.58691060602"/>
    <n v="50495.023528294958"/>
    <n v="1893.563382311062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088.73530897219"/>
    <n v="0"/>
    <n v="0"/>
    <n v="0"/>
    <n v="0"/>
    <n v="0"/>
    <n v="647088.73530897219"/>
    <n v="0"/>
    <n v="0"/>
    <n v="0"/>
    <n v="647088.73530897219"/>
    <n v="0"/>
    <n v="9.3786251701161518"/>
    <n v="0"/>
    <n v="9.3786251701161518"/>
    <n v="0"/>
    <n v="320039.30367156246"/>
    <n v="0"/>
    <n v="320039.30367156246"/>
  </r>
  <r>
    <x v="47"/>
    <x v="10"/>
    <n v="0"/>
    <x v="1"/>
    <s v="Østdanmark"/>
    <n v="178637.61286448501"/>
    <n v="0"/>
    <n v="0"/>
    <n v="0"/>
    <n v="0"/>
    <n v="0"/>
    <n v="0"/>
    <n v="0"/>
    <n v="178637.61286448501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69084.929808935805"/>
    <n v="6333.293402992078"/>
    <n v="0"/>
    <n v="0"/>
    <n v="0"/>
    <n v="0"/>
    <n v="0"/>
    <n v="0"/>
    <n v="62751.63640594372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7860054.55405192"/>
    <n v="0"/>
    <n v="0"/>
    <n v="0"/>
    <n v="0"/>
    <n v="0"/>
    <n v="117860054.55405192"/>
    <n v="0"/>
    <n v="0"/>
    <n v="0"/>
    <n v="117860054.55405192"/>
    <n v="0"/>
    <n v="0"/>
    <n v="0"/>
    <n v="0"/>
    <n v="0"/>
    <n v="0"/>
    <n v="0"/>
    <n v="0"/>
  </r>
  <r>
    <x v="4"/>
    <x v="10"/>
    <n v="0"/>
    <x v="2"/>
    <s v="Østdanmark"/>
    <n v="3839450.0046601556"/>
    <n v="0"/>
    <n v="0"/>
    <n v="0"/>
    <n v="0"/>
    <n v="3389908.2542493283"/>
    <n v="0"/>
    <n v="0"/>
    <n v="449541.7504108273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520.63084610535827"/>
    <n v="43.799102926323776"/>
    <n v="0"/>
    <n v="0"/>
    <n v="14.048768863160376"/>
    <n v="14.048768863160376"/>
    <n v="520.63084610535827"/>
    <n v="6.6069955086556931E-6"/>
    <n v="2.5145447612354464E-4"/>
    <n v="2.4484748061488895E-4"/>
    <n v="6.6069955086556914E-6"/>
    <n v="0.88507243837910365"/>
    <n v="33.684815743016678"/>
    <n v="32.799743304637573"/>
    <n v="0.88507243837910465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357304.25157150667"/>
    <n v="0"/>
    <n v="0"/>
    <n v="0"/>
    <n v="0"/>
    <n v="0"/>
    <n v="0"/>
    <n v="0"/>
    <n v="357304.25157150667"/>
    <n v="0"/>
    <n v="0"/>
    <n v="0"/>
    <n v="0"/>
    <n v="0"/>
    <n v="0"/>
    <n v="0"/>
    <n v="0"/>
    <n v="0"/>
    <n v="0"/>
  </r>
  <r>
    <x v="11"/>
    <x v="10"/>
    <n v="0"/>
    <x v="2"/>
    <s v="Østdanmark"/>
    <n v="10163.089759541812"/>
    <n v="0"/>
    <n v="0"/>
    <n v="233795.01599247381"/>
    <n v="0"/>
    <n v="0"/>
    <n v="0"/>
    <n v="0"/>
    <n v="-223631.926232931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332694.7229536632"/>
    <n v="1201654.4608093717"/>
    <n v="0"/>
    <n v="0"/>
    <n v="18918.331265736317"/>
    <n v="0"/>
    <n v="0"/>
    <n v="0"/>
    <n v="7112121.9308785554"/>
    <n v="7112121.9308785554"/>
    <n v="18918.331265736317"/>
    <n v="13.085415337575183"/>
    <n v="13.120222702312729"/>
    <n v="3.4807364737546607E-2"/>
    <n v="13.085415337575183"/>
    <n v="1991394.1406459957"/>
    <n v="1996691.2734004019"/>
    <n v="5297.1327544061696"/>
    <n v="1991394.140645995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8513.709869912811"/>
    <n v="0"/>
    <n v="0"/>
    <n v="244869.51675001203"/>
    <n v="0"/>
    <n v="0"/>
    <n v="0"/>
    <n v="0"/>
    <n v="-176355.80688009923"/>
    <n v="0"/>
    <n v="0"/>
    <n v="0"/>
    <n v="0"/>
    <n v="0"/>
    <n v="0"/>
    <n v="0"/>
    <n v="0"/>
    <n v="0"/>
    <n v="0"/>
  </r>
  <r>
    <x v="16"/>
    <x v="5"/>
    <n v="1"/>
    <x v="2"/>
    <s v="Østdanmark"/>
    <n v="865944.52172148146"/>
    <n v="75911.55842753005"/>
    <n v="82449.939525946174"/>
    <n v="0"/>
    <n v="19573.590601183951"/>
    <n v="0"/>
    <n v="688009.43316682125"/>
    <n v="0"/>
    <n v="0"/>
    <n v="0"/>
    <n v="707583.02376800519"/>
    <n v="0"/>
    <n v="7.2239845802646228"/>
    <n v="0.11285231955475013"/>
    <n v="7.1111322607098728"/>
    <n v="0"/>
    <n v="601445.5702028044"/>
    <n v="16637.552011006359"/>
    <n v="584808.018191798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220334.04456617165"/>
    <n v="0"/>
    <n v="0"/>
    <n v="0"/>
    <n v="0"/>
    <n v="0"/>
    <n v="0"/>
    <n v="0"/>
    <n v="220334.04456617165"/>
    <n v="0"/>
    <n v="0"/>
    <n v="0"/>
    <n v="0"/>
    <n v="0"/>
    <n v="0"/>
    <n v="0"/>
    <n v="0"/>
    <n v="0"/>
    <n v="0"/>
  </r>
  <r>
    <x v="21"/>
    <x v="10"/>
    <n v="0"/>
    <x v="2"/>
    <s v="Østdanmark"/>
    <n v="536733.47505489504"/>
    <n v="0"/>
    <n v="0"/>
    <n v="111975.50765955324"/>
    <n v="0"/>
    <n v="0"/>
    <n v="0"/>
    <n v="0"/>
    <n v="424757.96739534178"/>
    <n v="0"/>
    <n v="0"/>
    <n v="0"/>
    <n v="0"/>
    <n v="0"/>
    <n v="0"/>
    <n v="0"/>
    <n v="0"/>
    <n v="0"/>
    <n v="0"/>
  </r>
  <r>
    <x v="22"/>
    <x v="5"/>
    <n v="1"/>
    <x v="2"/>
    <s v="Østdanmark"/>
    <n v="1683096.8033949384"/>
    <n v="577297.28616440273"/>
    <n v="0"/>
    <n v="268249.01834925939"/>
    <n v="884.229461452941"/>
    <n v="0"/>
    <n v="0"/>
    <n v="0"/>
    <n v="836666.26941982331"/>
    <n v="836666.26941982331"/>
    <n v="884.229461452941"/>
    <n v="2.8654648394851767"/>
    <n v="2.8684932015985285"/>
    <n v="3.0283621133517201E-3"/>
    <n v="2.8654648394851767"/>
    <n v="259366.54352014523"/>
    <n v="259640.65465319564"/>
    <n v="274.11113305041169"/>
    <n v="259366.54352014523"/>
  </r>
  <r>
    <x v="23"/>
    <x v="10"/>
    <n v="0"/>
    <x v="2"/>
    <s v="Østdanmark"/>
    <n v="0"/>
    <n v="0"/>
    <n v="0"/>
    <n v="0"/>
    <n v="0"/>
    <n v="343152.81118002941"/>
    <n v="0"/>
    <n v="0"/>
    <n v="-343152.81118002941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651712.6128473935"/>
    <n v="47973.289556822005"/>
    <n v="0"/>
    <n v="0"/>
    <n v="24439.222981777159"/>
    <n v="24439.222981777159"/>
    <n v="651712.6128473935"/>
    <n v="1.2370890281145781E-2"/>
    <n v="0.34226129777836795"/>
    <n v="0.32989040749722215"/>
    <n v="1.2370890281145797E-2"/>
    <n v="1857.380946615064"/>
    <n v="51387.539523016967"/>
    <n v="49530.158576401904"/>
    <n v="1857.3809466150633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1823285.6405542411"/>
    <n v="555482.60888743005"/>
    <n v="0"/>
    <n v="0"/>
    <n v="75927.162506469729"/>
    <n v="0"/>
    <n v="0"/>
    <n v="0"/>
    <n v="1191875.8691603413"/>
    <n v="1191875.8691603413"/>
    <n v="75927.162506469729"/>
    <n v="4.278834370285626"/>
    <n v="4.5514128836838523"/>
    <n v="0.27257851339822636"/>
    <n v="4.278834370285626"/>
    <n v="357562.76074810239"/>
    <n v="380340.90950004332"/>
    <n v="22778.148751940917"/>
    <n v="357562.76074810239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314116.08613367198"/>
    <n v="0"/>
    <n v="0"/>
    <n v="0"/>
    <n v="0"/>
    <n v="0"/>
    <n v="0"/>
    <n v="0"/>
    <n v="314116.08613367198"/>
    <n v="0"/>
    <n v="0"/>
    <n v="0"/>
    <n v="0"/>
    <n v="0"/>
    <n v="0"/>
    <n v="0"/>
    <n v="0"/>
    <n v="0"/>
    <n v="0"/>
  </r>
  <r>
    <x v="31"/>
    <x v="7"/>
    <n v="1"/>
    <x v="2"/>
    <s v="Østdanmark"/>
    <n v="43858.564110476924"/>
    <n v="0"/>
    <n v="0"/>
    <n v="0"/>
    <n v="0"/>
    <n v="0"/>
    <n v="43858.564110476924"/>
    <n v="0"/>
    <n v="0"/>
    <n v="0"/>
    <n v="43858.564110476924"/>
    <n v="0"/>
    <n v="0.8069975796327753"/>
    <n v="0"/>
    <n v="0.8069975796327753"/>
    <n v="0"/>
    <n v="18201.304105847925"/>
    <n v="0"/>
    <n v="18201.3041058479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116086.90219815794"/>
    <n v="0"/>
    <n v="0"/>
    <n v="0"/>
    <n v="0"/>
    <n v="0"/>
    <n v="0"/>
    <n v="116086.90219815794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8043.451099078971"/>
    <n v="21023.015601598701"/>
    <n v="0"/>
    <n v="0"/>
    <n v="0"/>
    <n v="0"/>
    <n v="0"/>
    <n v="0"/>
    <n v="37020.43549748027"/>
    <n v="0"/>
    <n v="0"/>
    <n v="0"/>
    <n v="0"/>
    <n v="0"/>
    <n v="0"/>
    <n v="0"/>
    <n v="0"/>
    <n v="0"/>
    <n v="0"/>
  </r>
  <r>
    <x v="37"/>
    <x v="9"/>
    <n v="1"/>
    <x v="2"/>
    <s v="Østdanmark"/>
    <n v="37147.808703410541"/>
    <n v="0"/>
    <n v="0"/>
    <n v="0"/>
    <n v="0"/>
    <n v="0"/>
    <n v="37147.808703410541"/>
    <n v="0"/>
    <n v="0"/>
    <n v="0"/>
    <n v="37147.808703410541"/>
    <n v="0"/>
    <n v="1.3001733046193689"/>
    <n v="0"/>
    <n v="1.3001733046193689"/>
    <n v="0"/>
    <n v="0"/>
    <n v="0"/>
    <n v="0"/>
  </r>
  <r>
    <x v="38"/>
    <x v="4"/>
    <n v="1"/>
    <x v="2"/>
    <s v="Østdanmark"/>
    <n v="1571187.4884325294"/>
    <n v="82596.70146402168"/>
    <n v="0"/>
    <n v="0"/>
    <n v="6823.5734769589817"/>
    <n v="0"/>
    <n v="0"/>
    <n v="0"/>
    <n v="1481767.2134915488"/>
    <n v="1481767.2134915488"/>
    <n v="6823.5734769589817"/>
    <n v="4.0215754881046033"/>
    <n v="4.0400949394640087"/>
    <n v="1.8519451359405754E-2"/>
    <n v="4.0215754881046033"/>
    <n v="296353.44269830978"/>
    <n v="297718.15739370155"/>
    <n v="1364.7146953917963"/>
    <n v="296353.44269830978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4603.98534617631"/>
    <n v="0"/>
    <n v="0"/>
    <n v="0"/>
    <n v="0"/>
    <n v="0"/>
    <n v="624603.98534617631"/>
    <n v="0"/>
    <n v="0"/>
    <n v="0"/>
    <n v="624603.98534617631"/>
    <n v="0"/>
    <n v="9.0527408973136652"/>
    <n v="0"/>
    <n v="9.0527408973136652"/>
    <n v="0"/>
    <n v="308918.72108579637"/>
    <n v="0"/>
    <n v="308918.72108579637"/>
  </r>
  <r>
    <x v="47"/>
    <x v="10"/>
    <n v="0"/>
    <x v="2"/>
    <s v="Østdanmark"/>
    <n v="184169.19735067486"/>
    <n v="0"/>
    <n v="0"/>
    <n v="0"/>
    <n v="0"/>
    <n v="0"/>
    <n v="0"/>
    <n v="0"/>
    <n v="184169.19735067486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8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48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9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9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47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6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2" sqref="B2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ht="30" x14ac:dyDescent="0.25">
      <c r="A2" s="6" t="s">
        <v>0</v>
      </c>
      <c r="B2" s="227" t="s">
        <v>338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312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313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abSelected="1" zoomScale="60" zoomScaleNormal="60" workbookViewId="0">
      <selection activeCell="T57" sqref="T5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: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5600*11</f>
        <v>61600</v>
      </c>
      <c r="D5" s="9">
        <f>C5+11*5600</f>
        <v>123200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2338036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2276436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685100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1791858.8572342743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1736252.1166384006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545883.48119174724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546177.14276572561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540183.88336159918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139216.51880825273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11" sqref="E11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85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1.1499999999999999</v>
      </c>
      <c r="F18" s="12"/>
      <c r="G18" s="182"/>
    </row>
    <row r="20" spans="2:11" x14ac:dyDescent="0.25">
      <c r="B20" s="342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45538.812624915096</v>
      </c>
      <c r="E28" s="236">
        <f>SUM(E24:E25)</f>
        <v>45538.812624915096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333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246</v>
      </c>
      <c r="C47" s="87"/>
      <c r="D47" s="115" cm="1">
        <f t="array" ref="D47">SUMPRODUCT((D32:D45&gt;$C$32:$C$45)*(D32:D45-$C$32:$C$45))*Arealanvendelse!M6</f>
        <v>397092.79591034743</v>
      </c>
      <c r="E47" s="115" cm="1">
        <f t="array" ref="E47">SUMPRODUCT((E32:E45&gt;$C$32:$C$45)*(E32:E45-$C$32:$C$45))*Arealanvendelse!P6</f>
        <v>386630.63184269518</v>
      </c>
      <c r="K47" s="12"/>
    </row>
    <row r="48" spans="2:11" x14ac:dyDescent="0.25">
      <c r="B48" s="25" t="s">
        <v>245</v>
      </c>
      <c r="C48" s="109"/>
      <c r="D48" s="115">
        <f>1%*Arealanvendelse!M6</f>
        <v>23380.36</v>
      </c>
      <c r="E48" s="115">
        <f>1%*Arealanvendelse!P6</f>
        <v>22764.36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324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326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C15" sqref="C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0</v>
      </c>
      <c r="D13" s="8">
        <v>0</v>
      </c>
    </row>
    <row r="14" spans="1:4" x14ac:dyDescent="0.25">
      <c r="A14" s="2" t="s">
        <v>179</v>
      </c>
      <c r="B14" s="7">
        <v>0</v>
      </c>
      <c r="C14" s="8">
        <v>1</v>
      </c>
      <c r="D14" s="8">
        <v>1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25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0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0</v>
      </c>
    </row>
    <row r="23" spans="1:13" x14ac:dyDescent="0.25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0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0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0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0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0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0</v>
      </c>
    </row>
    <row r="26" spans="1:13" x14ac:dyDescent="0.25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71749.813989422139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47422.702543659834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11653.242013147261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8739.3026300852289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7174.9813989422137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47422.702543659834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1165.324201314726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8739.3026300852289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71749.813989422139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11653.242013147261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7174.9813989422137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1165.324201314726</v>
      </c>
    </row>
    <row r="30" spans="1:13" x14ac:dyDescent="0.25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25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25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25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25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25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25">
      <c r="A49" s="2" t="s">
        <v>178</v>
      </c>
      <c r="B49" s="109">
        <f t="shared" si="0"/>
        <v>0</v>
      </c>
      <c r="C49" s="109">
        <f t="shared" si="0"/>
        <v>0</v>
      </c>
      <c r="D49" s="109">
        <f t="shared" si="0"/>
        <v>0</v>
      </c>
      <c r="E49" s="109">
        <f t="shared" si="0"/>
        <v>0</v>
      </c>
      <c r="F49" s="109">
        <f t="shared" si="0"/>
        <v>0</v>
      </c>
      <c r="G49" s="109">
        <f t="shared" si="0"/>
        <v>0</v>
      </c>
    </row>
    <row r="50" spans="1:7" x14ac:dyDescent="0.25">
      <c r="A50" s="2" t="s">
        <v>179</v>
      </c>
      <c r="B50" s="109">
        <f t="shared" si="0"/>
        <v>0</v>
      </c>
      <c r="C50" s="109">
        <f t="shared" si="0"/>
        <v>78924.795388364349</v>
      </c>
      <c r="D50" s="109">
        <f t="shared" si="0"/>
        <v>173770.20047568402</v>
      </c>
      <c r="E50" s="109">
        <f t="shared" si="0"/>
        <v>0</v>
      </c>
      <c r="F50" s="109">
        <f t="shared" si="0"/>
        <v>12818.566214461987</v>
      </c>
      <c r="G50" s="109">
        <f t="shared" si="0"/>
        <v>30297.171474632443</v>
      </c>
    </row>
    <row r="51" spans="1:7" x14ac:dyDescent="0.25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25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25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327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329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232958.9113036553</v>
      </c>
      <c r="J5" s="10">
        <f>SUMIFS('Resultat-Produktion &amp; forbrug'!$N$3:$N$1000,'Resultat-Produktion &amp; forbrug'!$A$3:$A$1000,Adfærd!$G5,'Resultat-Produktion &amp; forbrug'!$D$3:$D$1000,Adfærd!J$4)</f>
        <v>240593.49413246571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335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>
        <f>N12/SUMIFS('Resultater - Danmark'!H$3:H$482,'Resultater - Danmark'!$F$3:$F$482,$A3)</f>
        <v>0.16508293217043288</v>
      </c>
      <c r="C3" s="181">
        <v>0.9</v>
      </c>
      <c r="D3" s="181">
        <f t="shared" ref="D3:D5" si="0">C3</f>
        <v>0.9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0.89030850260522276</v>
      </c>
      <c r="AC3" s="126">
        <f>SUM(E12:E14)/SUM(E12:E15)</f>
        <v>0.88291506599507918</v>
      </c>
    </row>
    <row r="4" spans="1:29" x14ac:dyDescent="0.2">
      <c r="A4" s="180" t="s">
        <v>137</v>
      </c>
      <c r="B4" s="235">
        <f>N13/SUMIFS('Resultater - Danmark'!H$3:H$482,'Resultater - Danmark'!$F$3:$F$482,$A4)</f>
        <v>0.30985833926453143</v>
      </c>
      <c r="C4" s="181">
        <v>0.9</v>
      </c>
      <c r="D4" s="181">
        <f t="shared" si="0"/>
        <v>0.9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0.9</v>
      </c>
      <c r="D5" s="181">
        <f t="shared" si="0"/>
        <v>0.9</v>
      </c>
      <c r="E5" s="158"/>
      <c r="F5" s="174"/>
      <c r="G5" s="175"/>
      <c r="H5" s="127"/>
      <c r="N5" s="250"/>
      <c r="Z5" s="125" t="s">
        <v>136</v>
      </c>
      <c r="AA5" s="147">
        <f t="shared" ref="AA5:AC6" si="1">C12/C$29</f>
        <v>0.22267199142680771</v>
      </c>
      <c r="AB5" s="147">
        <f t="shared" si="1"/>
        <v>0.44109208426101976</v>
      </c>
      <c r="AC5" s="147">
        <f t="shared" si="1"/>
        <v>0.43061813650898434</v>
      </c>
    </row>
    <row r="6" spans="1:29" x14ac:dyDescent="0.2">
      <c r="A6" s="180" t="s">
        <v>141</v>
      </c>
      <c r="B6" s="235">
        <f>N15/SUMIFS('Resultater - Danmark'!H$3:H$482,'Resultater - Danmark'!$F$3:$F$482,$A6)</f>
        <v>0.37924884410556858</v>
      </c>
      <c r="C6" s="181">
        <f t="shared" ref="C6" si="2">B6</f>
        <v>0.37924884410556858</v>
      </c>
      <c r="D6" s="181">
        <f>C6</f>
        <v>0.37924884410556858</v>
      </c>
      <c r="E6" s="158"/>
      <c r="F6" s="174"/>
      <c r="G6" s="175"/>
      <c r="H6" s="128"/>
      <c r="Z6" s="129" t="s">
        <v>137</v>
      </c>
      <c r="AA6" s="147">
        <f t="shared" si="1"/>
        <v>0.33257225498473725</v>
      </c>
      <c r="AB6" s="147">
        <f t="shared" si="1"/>
        <v>0.35540328821589312</v>
      </c>
      <c r="AC6" s="147">
        <f t="shared" si="1"/>
        <v>0.35548628419548717</v>
      </c>
    </row>
    <row r="7" spans="1:29" x14ac:dyDescent="0.2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f>C7</f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336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12426575.77002522</v>
      </c>
      <c r="E12" s="133">
        <f>SUMIFS('Resultater - Danmark'!J$3:J$482,'Resultater - Danmark'!$F$3:$F$482,$A12)*D3</f>
        <v>11896912.230636118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1380730.6411139127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1321879.1367373448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3">C12/C$29</f>
        <v>0.22267199142680771</v>
      </c>
      <c r="K12" s="134">
        <f t="shared" ref="K12:K28" si="4">D12/D$29</f>
        <v>0.44109208426101976</v>
      </c>
      <c r="L12" s="134">
        <f t="shared" ref="L12:L28" si="5">E12/E$29</f>
        <v>0.43061813650898434</v>
      </c>
      <c r="M12" s="125" t="s">
        <v>214</v>
      </c>
      <c r="N12" s="125">
        <f>S12+2/3*T12</f>
        <v>2914869.3333333335</v>
      </c>
      <c r="O12" s="152">
        <f t="shared" ref="O12:O16" si="6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10012525.836481437</v>
      </c>
      <c r="E13" s="136">
        <f>SUMIFS('Resultater - Danmark'!J$3:J$482,'Resultater - Danmark'!$F$3:$F$482,$A13)*D4</f>
        <v>9821205.2946832664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1112502.8707201593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1091245.0327425841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3"/>
        <v>0.33257225498473725</v>
      </c>
      <c r="K13" s="137">
        <f t="shared" si="4"/>
        <v>0.35540328821589312</v>
      </c>
      <c r="L13" s="137">
        <f t="shared" si="5"/>
        <v>0.35548628419548717</v>
      </c>
      <c r="M13" s="125" t="s">
        <v>215</v>
      </c>
      <c r="N13" s="125">
        <f>S13+1/3*T13</f>
        <v>4353509.666666667</v>
      </c>
      <c r="O13" s="152">
        <f t="shared" si="6"/>
        <v>0</v>
      </c>
      <c r="P13" s="141">
        <f t="shared" ref="P13:P28" si="7">C13*I13</f>
        <v>61384486.300000004</v>
      </c>
      <c r="Q13" s="125">
        <f t="shared" ref="Q13:Q28" si="8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6510.9082037028029</v>
      </c>
      <c r="E14" s="136">
        <f>SUMIFS('Resultater - Danmark'!J$3:J$482,'Resultater - Danmark'!$F$3:$F$482,$A14)*D5</f>
        <v>6723.8136862927013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723.43424485586638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747.09040958807782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3"/>
        <v>3.3929399119623192E-4</v>
      </c>
      <c r="K14" s="137">
        <f t="shared" si="4"/>
        <v>2.3111033346216928E-4</v>
      </c>
      <c r="L14" s="137">
        <f t="shared" si="5"/>
        <v>2.4337374805278808E-4</v>
      </c>
      <c r="M14" s="129" t="s">
        <v>146</v>
      </c>
      <c r="N14" s="130">
        <v>11417</v>
      </c>
      <c r="O14" s="152">
        <f t="shared" si="6"/>
        <v>6975.5</v>
      </c>
      <c r="P14" s="141">
        <f t="shared" si="7"/>
        <v>58183.65</v>
      </c>
      <c r="Q14" s="125">
        <f t="shared" si="8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2765437.8672976275</v>
      </c>
      <c r="E15" s="136">
        <f>SUMIFS('Resultater - Danmark'!J$3:J$482,'Resultater - Danmark'!$F$3:$F$482,$A15)*D6</f>
        <v>2880969.7698136591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3"/>
        <v>0.20387691989197443</v>
      </c>
      <c r="K15" s="137">
        <f t="shared" si="4"/>
        <v>9.8161615504975444E-2</v>
      </c>
      <c r="L15" s="137">
        <f t="shared" si="5"/>
        <v>0.10427897672651332</v>
      </c>
      <c r="M15" s="139" t="s">
        <v>301</v>
      </c>
      <c r="N15" s="140">
        <f>SUM(S15:Z15)</f>
        <v>2668834</v>
      </c>
      <c r="O15" s="152">
        <f t="shared" si="6"/>
        <v>0</v>
      </c>
      <c r="P15" s="141">
        <f>C15*I15</f>
        <v>37096792.600000001</v>
      </c>
      <c r="Q15" s="125">
        <f t="shared" si="8"/>
        <v>1.3317748543399999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1204392.371220411</v>
      </c>
      <c r="E16" s="136">
        <f>SUMIFS('Resultater - Danmark'!J$3:J$482,'Resultater - Danmark'!$F$3:$F$482,$A16)*D7</f>
        <v>1262014.3338818299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3"/>
        <v>5.7835206554718369E-2</v>
      </c>
      <c r="K16" s="137">
        <f t="shared" si="4"/>
        <v>4.2750951760269572E-2</v>
      </c>
      <c r="L16" s="137">
        <f t="shared" si="5"/>
        <v>4.567960578076511E-2</v>
      </c>
      <c r="M16" s="248" t="s">
        <v>157</v>
      </c>
      <c r="N16" s="249">
        <v>757087</v>
      </c>
      <c r="O16" s="152">
        <f t="shared" si="6"/>
        <v>0</v>
      </c>
      <c r="P16" s="141">
        <f t="shared" si="7"/>
        <v>45425220</v>
      </c>
      <c r="Q16" s="125">
        <f t="shared" si="8"/>
        <v>1.6307653980000001</v>
      </c>
    </row>
    <row r="17" spans="1:23" x14ac:dyDescent="0.2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3"/>
        <v>0</v>
      </c>
      <c r="K17" s="137">
        <f t="shared" si="4"/>
        <v>0</v>
      </c>
      <c r="L17" s="137">
        <f t="shared" si="5"/>
        <v>0</v>
      </c>
      <c r="M17" s="125" t="s">
        <v>150</v>
      </c>
      <c r="N17" s="141"/>
      <c r="O17" s="152"/>
      <c r="P17" s="141">
        <f t="shared" si="7"/>
        <v>0</v>
      </c>
      <c r="Q17" s="125">
        <f t="shared" si="8"/>
        <v>0</v>
      </c>
    </row>
    <row r="18" spans="1:23" x14ac:dyDescent="0.2">
      <c r="A18" s="127" t="s">
        <v>103</v>
      </c>
      <c r="B18" s="127" t="s">
        <v>140</v>
      </c>
      <c r="C18" s="251">
        <f t="shared" ref="C18" si="9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3"/>
        <v>5.5699827755684647E-2</v>
      </c>
      <c r="K18" s="137">
        <f t="shared" si="4"/>
        <v>1.2920318210095623E-2</v>
      </c>
      <c r="L18" s="137">
        <f t="shared" si="5"/>
        <v>1.3384370631384297E-2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3"/>
        <v>7.6059758980185313E-2</v>
      </c>
      <c r="K19" s="137">
        <f t="shared" si="4"/>
        <v>2.5768863776553796E-2</v>
      </c>
      <c r="L19" s="137">
        <f t="shared" si="5"/>
        <v>2.6170714420721275E-2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2420027.9136025696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2269183.1197630544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3"/>
        <v>5.8007317184497744E-3</v>
      </c>
      <c r="K20" s="137">
        <f t="shared" si="4"/>
        <v>2.6953431859377216E-3</v>
      </c>
      <c r="L20" s="137">
        <f t="shared" si="5"/>
        <v>2.7484911163310186E-3</v>
      </c>
      <c r="M20" s="125" t="s">
        <v>147</v>
      </c>
      <c r="N20" s="141">
        <v>75934</v>
      </c>
      <c r="O20" s="152">
        <f t="shared" ref="O20:O28" si="10">N20-C20</f>
        <v>0</v>
      </c>
      <c r="P20" s="141">
        <f t="shared" si="7"/>
        <v>12195000.4</v>
      </c>
      <c r="Q20" s="125">
        <f t="shared" si="8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11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1153235.9133280306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1346330.5062768147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3"/>
        <v>2.8921919411661239E-4</v>
      </c>
      <c r="K21" s="137">
        <f t="shared" si="4"/>
        <v>1.3438735351700443E-4</v>
      </c>
      <c r="L21" s="137">
        <f t="shared" si="5"/>
        <v>1.3703726086376639E-4</v>
      </c>
      <c r="M21" s="125" t="s">
        <v>158</v>
      </c>
      <c r="N21" s="141">
        <v>3786</v>
      </c>
      <c r="O21" s="152">
        <f t="shared" si="10"/>
        <v>0</v>
      </c>
      <c r="P21" s="141">
        <f t="shared" si="7"/>
        <v>361184.4</v>
      </c>
      <c r="Q21" s="125">
        <f t="shared" si="8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11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25246455.421058252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26659475.31868159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3"/>
        <v>6.5450166123425784E-3</v>
      </c>
      <c r="K22" s="137">
        <f t="shared" si="4"/>
        <v>3.0411794208337001E-3</v>
      </c>
      <c r="L22" s="137">
        <f t="shared" si="5"/>
        <v>3.1011466981048369E-3</v>
      </c>
      <c r="M22" s="165" t="s">
        <v>302</v>
      </c>
      <c r="N22" s="166">
        <f>SUM(S22:Z22)</f>
        <v>85677</v>
      </c>
      <c r="O22" s="152">
        <f t="shared" si="10"/>
        <v>0</v>
      </c>
      <c r="P22" s="141">
        <f t="shared" si="7"/>
        <v>4390946.25</v>
      </c>
      <c r="Q22" s="125">
        <f t="shared" si="8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11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2222801.0578479804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2513965.6315076901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3"/>
        <v>2.5211266180012976E-2</v>
      </c>
      <c r="K23" s="137">
        <f t="shared" si="4"/>
        <v>1.1714559094506843E-2</v>
      </c>
      <c r="L23" s="137">
        <f t="shared" si="5"/>
        <v>1.1945551783894708E-2</v>
      </c>
      <c r="M23" s="125" t="s">
        <v>148</v>
      </c>
      <c r="N23" s="141">
        <v>330026</v>
      </c>
      <c r="O23" s="152">
        <f t="shared" si="10"/>
        <v>0</v>
      </c>
      <c r="P23" s="141">
        <f t="shared" si="7"/>
        <v>33002600</v>
      </c>
      <c r="Q23" s="125">
        <f t="shared" si="8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11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5647725.4199956926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5811586.052382024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3"/>
        <v>2.1882418952642265E-3</v>
      </c>
      <c r="K24" s="137">
        <f t="shared" si="4"/>
        <v>1.0167791181971981E-3</v>
      </c>
      <c r="L24" s="137">
        <f t="shared" si="5"/>
        <v>1.0368284039732141E-3</v>
      </c>
      <c r="M24" s="125" t="s">
        <v>149</v>
      </c>
      <c r="N24" s="141">
        <v>28645</v>
      </c>
      <c r="O24" s="152">
        <f t="shared" si="10"/>
        <v>0</v>
      </c>
      <c r="P24" s="141">
        <f t="shared" si="7"/>
        <v>2165562</v>
      </c>
      <c r="Q24" s="125">
        <f t="shared" si="8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11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3"/>
        <v>5.9585570895657067E-6</v>
      </c>
      <c r="K25" s="137">
        <f t="shared" si="4"/>
        <v>2.7686776477354319E-6</v>
      </c>
      <c r="L25" s="137">
        <f t="shared" si="5"/>
        <v>2.8232716184294185E-6</v>
      </c>
      <c r="M25" s="125" t="s">
        <v>164</v>
      </c>
      <c r="N25" s="141">
        <v>78</v>
      </c>
      <c r="O25" s="152">
        <f t="shared" si="10"/>
        <v>0</v>
      </c>
      <c r="P25" s="141">
        <f t="shared" si="7"/>
        <v>3689.3999999999996</v>
      </c>
      <c r="Q25" s="125">
        <f t="shared" si="8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11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3"/>
        <v>1.090431225742036E-2</v>
      </c>
      <c r="K26" s="137">
        <f t="shared" si="4"/>
        <v>5.0667510870903978E-3</v>
      </c>
      <c r="L26" s="137">
        <f t="shared" si="5"/>
        <v>5.1666594533057953E-3</v>
      </c>
      <c r="M26" s="125" t="s">
        <v>162</v>
      </c>
      <c r="N26" s="125">
        <v>142742</v>
      </c>
      <c r="O26" s="152">
        <f t="shared" si="10"/>
        <v>0</v>
      </c>
      <c r="P26" s="141">
        <f t="shared" si="7"/>
        <v>60431253.120000005</v>
      </c>
      <c r="Q26" s="125">
        <f t="shared" si="8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11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3"/>
        <v>0</v>
      </c>
      <c r="K27" s="137">
        <f t="shared" si="4"/>
        <v>0</v>
      </c>
      <c r="L27" s="137">
        <f t="shared" si="5"/>
        <v>0</v>
      </c>
      <c r="M27" s="125" t="s">
        <v>150</v>
      </c>
      <c r="O27" s="152">
        <f t="shared" si="10"/>
        <v>0</v>
      </c>
      <c r="P27" s="141">
        <f t="shared" si="7"/>
        <v>0</v>
      </c>
      <c r="Q27" s="125">
        <f t="shared" si="8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11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3"/>
        <v>0</v>
      </c>
      <c r="K28" s="143">
        <f t="shared" si="4"/>
        <v>0</v>
      </c>
      <c r="L28" s="143">
        <f t="shared" si="5"/>
        <v>0</v>
      </c>
      <c r="M28" s="125" t="s">
        <v>150</v>
      </c>
      <c r="O28" s="152">
        <f t="shared" si="10"/>
        <v>0</v>
      </c>
      <c r="P28" s="141">
        <f t="shared" si="7"/>
        <v>0</v>
      </c>
      <c r="Q28" s="125">
        <f t="shared" si="8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28172293.753228396</v>
      </c>
      <c r="E29" s="145">
        <f>SUM(E12:E28)</f>
        <v>27627522.442701165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9.3698270570963679E-2</v>
      </c>
      <c r="E30" s="149">
        <f>SUMPRODUCT(E12:E28,$H$12:$H$28)/E29</f>
        <v>9.4952032922386728E-2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1.5906904987054743E-2</v>
      </c>
      <c r="E31" s="149">
        <f>SUM(E21:E24)/E29</f>
        <v>1.6220564146836525E-2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622657993.09082103</v>
      </c>
      <c r="E32" s="125">
        <f>SUMPRODUCT(E12:E28,$I$12:$I$28)</f>
        <v>618917904.12527752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22.353421951960478</v>
      </c>
      <c r="E33" s="125">
        <f>E32*[1]Energiindhold!$C$10</f>
        <v>22.219152758097465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2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10853879.88663437</v>
      </c>
      <c r="E39" s="133">
        <f>SUMIFS('Resultater - Vestdanmark'!J$3:J$482,'Resultater - Vestdanmark'!$F$3:$F$482,$A39)*D3</f>
        <v>10391250.072657285</v>
      </c>
      <c r="F39" s="134">
        <f>VLOOKUP(A39,[1]Biogasudbytte!$A$2:$C$18,3,FALSE)</f>
        <v>0.05</v>
      </c>
      <c r="G39" s="135">
        <f t="shared" ref="G39:G55" si="13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1572695.883390849</v>
      </c>
      <c r="M39" s="133">
        <f>SUMIFS('Resultater - Østdanmark'!J$3:J$482,'Resultater - Østdanmark'!$F$3:$F$482,$A39)*D3</f>
        <v>1505662.1579788346</v>
      </c>
      <c r="N39" s="134">
        <f>VLOOKUP(I39,[1]Biogasudbytte!$A$2:$C$18,3,FALSE)</f>
        <v>0.05</v>
      </c>
      <c r="O39" s="135">
        <f t="shared" ref="O39:O55" si="14">I12</f>
        <v>12</v>
      </c>
    </row>
    <row r="40" spans="1:15" hidden="1" x14ac:dyDescent="0.2">
      <c r="A40" s="127" t="str">
        <f t="shared" si="12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9348117.6321617663</v>
      </c>
      <c r="E40" s="136">
        <f>SUMIFS('Resultater - Vestdanmark'!J$3:J$482,'Resultater - Vestdanmark'!$F$3:$F$482,$A40)*D4</f>
        <v>9169492.6818358731</v>
      </c>
      <c r="F40" s="137">
        <f>VLOOKUP(A40,[1]Biogasudbytte!$A$2:$C$18,3,FALSE)</f>
        <v>7.5999999999999998E-2</v>
      </c>
      <c r="G40" s="138">
        <f t="shared" si="13"/>
        <v>14.1</v>
      </c>
      <c r="I40" s="127" t="str">
        <f t="shared" ref="I40:I55" si="15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664408.20431967056</v>
      </c>
      <c r="M40" s="136">
        <f>SUMIFS('Resultater - Østdanmark'!J$3:J$482,'Resultater - Østdanmark'!$F$3:$F$482,$A40)*D4</f>
        <v>651712.6128473935</v>
      </c>
      <c r="N40" s="137">
        <f>VLOOKUP(I40,[1]Biogasudbytte!$A$2:$C$18,3,FALSE)</f>
        <v>7.5999999999999998E-2</v>
      </c>
      <c r="O40" s="138">
        <f t="shared" si="14"/>
        <v>14.1</v>
      </c>
    </row>
    <row r="41" spans="1:15" hidden="1" x14ac:dyDescent="0.2">
      <c r="A41" s="127" t="str">
        <f t="shared" si="12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6006.7628175927466</v>
      </c>
      <c r="E41" s="136">
        <f>SUMIFS('Resultater - Vestdanmark'!J$3:J$482,'Resultater - Vestdanmark'!$F$3:$F$482,$A41)*D5</f>
        <v>6203.1828401873436</v>
      </c>
      <c r="F41" s="137">
        <f>VLOOKUP(A41,[1]Biogasudbytte!$A$2:$C$18,3,FALSE)</f>
        <v>6.3E-2</v>
      </c>
      <c r="G41" s="138">
        <f t="shared" si="13"/>
        <v>13.1</v>
      </c>
      <c r="I41" s="127" t="str">
        <f t="shared" si="15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504.14538611005531</v>
      </c>
      <c r="M41" s="136">
        <f>SUMIFS('Resultater - Østdanmark'!J$3:J$482,'Resultater - Østdanmark'!$F$3:$F$482,$A41)*D5</f>
        <v>520.63084610535827</v>
      </c>
      <c r="N41" s="137">
        <f>VLOOKUP(I41,[1]Biogasudbytte!$A$2:$C$18,3,FALSE)</f>
        <v>6.3E-2</v>
      </c>
      <c r="O41" s="138">
        <f t="shared" si="14"/>
        <v>13.1</v>
      </c>
    </row>
    <row r="42" spans="1:15" hidden="1" x14ac:dyDescent="0.2">
      <c r="A42" s="127" t="str">
        <f t="shared" si="12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1497865.6247316466</v>
      </c>
      <c r="E42" s="136">
        <f>SUMIFS('Resultater - Vestdanmark'!J$3:J$482,'Resultater - Vestdanmark'!$F$3:$F$482,$A42)*D6</f>
        <v>1554136.2730559006</v>
      </c>
      <c r="F42" s="137">
        <f>VLOOKUP(A42,[1]Biogasudbytte!$A$2:$C$18,3,FALSE)</f>
        <v>0.06</v>
      </c>
      <c r="G42" s="138">
        <f t="shared" si="13"/>
        <v>13.9</v>
      </c>
      <c r="I42" s="127" t="str">
        <f t="shared" si="15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1267572.2425659813</v>
      </c>
      <c r="M42" s="136">
        <f>SUMIFS('Resultater - Østdanmark'!J$3:J$482,'Resultater - Østdanmark'!$F$3:$F$482,$A42)*D6</f>
        <v>1326833.4967577588</v>
      </c>
      <c r="N42" s="137">
        <f>VLOOKUP(I42,[1]Biogasudbytte!$A$2:$C$18,3,FALSE)</f>
        <v>0.06</v>
      </c>
      <c r="O42" s="138">
        <f t="shared" si="14"/>
        <v>13.9</v>
      </c>
    </row>
    <row r="43" spans="1:15" hidden="1" x14ac:dyDescent="0.2">
      <c r="A43" s="127" t="str">
        <f t="shared" si="12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1061170.3273835385</v>
      </c>
      <c r="E43" s="136">
        <f>SUMIFS('Resultater - Vestdanmark'!J$3:J$482,'Resultater - Vestdanmark'!$F$3:$F$482,$A43)*D7</f>
        <v>1111191.0910754299</v>
      </c>
      <c r="F43" s="137">
        <f>VLOOKUP(A43,[1]Biogasudbytte!$A$2:$C$18,3,FALSE)</f>
        <v>0.3</v>
      </c>
      <c r="G43" s="138">
        <f t="shared" si="13"/>
        <v>60</v>
      </c>
      <c r="I43" s="127" t="str">
        <f t="shared" si="15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143222.04383687259</v>
      </c>
      <c r="M43" s="136">
        <f>SUMIFS('Resultater - Østdanmark'!J$3:J$482,'Resultater - Østdanmark'!$F$3:$F$482,$A43)*D7</f>
        <v>150823.24280639994</v>
      </c>
      <c r="N43" s="137">
        <f>VLOOKUP(I43,[1]Biogasudbytte!$A$2:$C$18,3,FALSE)</f>
        <v>0.3</v>
      </c>
      <c r="O43" s="138">
        <f t="shared" si="14"/>
        <v>60</v>
      </c>
    </row>
    <row r="44" spans="1:15" hidden="1" x14ac:dyDescent="0.2">
      <c r="A44" s="128" t="str">
        <f t="shared" si="12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3"/>
        <v>15.822453396634783</v>
      </c>
      <c r="I44" s="128" t="str">
        <f t="shared" si="15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4"/>
        <v>15.822453396634783</v>
      </c>
    </row>
    <row r="45" spans="1:15" hidden="1" x14ac:dyDescent="0.2">
      <c r="A45" s="127" t="str">
        <f t="shared" si="12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3"/>
        <v>94.9</v>
      </c>
      <c r="I45" s="127" t="str">
        <f t="shared" si="15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4"/>
        <v>94.9</v>
      </c>
    </row>
    <row r="46" spans="1:15" hidden="1" x14ac:dyDescent="0.2">
      <c r="A46" s="127" t="str">
        <f t="shared" si="12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508461.98144503916</v>
      </c>
      <c r="E46" s="136">
        <f>SUMIFS('Resultater - Vestdanmark'!J$3:J$482,'Resultater - Vestdanmark'!$F$3:$F$482,$A46)/SUMIFS('Resultater - Danmark'!J$3:J$482,'Resultater - Danmark'!$F$3:$F$482,$A46)*E19</f>
        <v>505095.54922592157</v>
      </c>
      <c r="F46" s="137">
        <f>VLOOKUP(A46,[1]Biogasudbytte!$A$2:$C$18,3,FALSE)</f>
        <v>0.42</v>
      </c>
      <c r="G46" s="138">
        <f t="shared" si="13"/>
        <v>102.595</v>
      </c>
      <c r="I46" s="127" t="str">
        <f t="shared" si="15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217506.01855496093</v>
      </c>
      <c r="M46" s="136">
        <f>SUMIFS('Resultater - Østdanmark'!J$3:J$482,'Resultater - Østdanmark'!$F$3:$F$482,$A46)/SUMIFS('Resultater - Danmark'!J$3:J$482,'Resultater - Danmark'!$F$3:$F$482,$A46)*E19</f>
        <v>217936.45077407858</v>
      </c>
      <c r="N46" s="137">
        <f>VLOOKUP(I46,[1]Biogasudbytte!$A$2:$C$18,3,FALSE)</f>
        <v>0.42</v>
      </c>
      <c r="O46" s="138">
        <f t="shared" si="14"/>
        <v>102.595</v>
      </c>
    </row>
    <row r="47" spans="1:15" hidden="1" x14ac:dyDescent="0.2">
      <c r="A47" s="127" t="str">
        <f t="shared" si="12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56757.88331613881</v>
      </c>
      <c r="E47" s="136">
        <f>SUMIFS('Resultater - Vestdanmark'!J$3:J$482,'Resultater - Vestdanmark'!$F$3:$F$482,$A47)/SUMIFS('Resultater - Danmark'!J$3:J$482,'Resultater - Danmark'!$F$3:$F$482,$A47)*E20</f>
        <v>56360.409398816068</v>
      </c>
      <c r="F47" s="137">
        <f>VLOOKUP(A47,[1]Biogasudbytte!$A$2:$C$18,3,FALSE)</f>
        <v>0.85</v>
      </c>
      <c r="G47" s="138">
        <f t="shared" si="13"/>
        <v>160.6</v>
      </c>
      <c r="I47" s="127" t="str">
        <f t="shared" si="15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19176.116683861201</v>
      </c>
      <c r="M47" s="136">
        <f>SUMIFS('Resultater - Østdanmark'!J$3:J$482,'Resultater - Østdanmark'!$F$3:$F$482,$A47)/SUMIFS('Resultater - Danmark'!J$3:J$482,'Resultater - Danmark'!$F$3:$F$482,$A47)*E20</f>
        <v>19573.590601183951</v>
      </c>
      <c r="N47" s="137">
        <f>VLOOKUP(I47,[1]Biogasudbytte!$A$2:$C$18,3,FALSE)</f>
        <v>0.85</v>
      </c>
      <c r="O47" s="138">
        <f t="shared" si="14"/>
        <v>160.6</v>
      </c>
    </row>
    <row r="48" spans="1:15" hidden="1" x14ac:dyDescent="0.2">
      <c r="A48" s="127" t="str">
        <f t="shared" si="12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2914.9101192356643</v>
      </c>
      <c r="E48" s="136">
        <f>SUMIFS('Resultater - Vestdanmark'!J$3:J$482,'Resultater - Vestdanmark'!$F$3:$F$482,$A48)/SUMIFS('Resultater - Danmark'!J$3:J$482,'Resultater - Danmark'!$F$3:$F$482,$A48)*E21</f>
        <v>2901.770538547059</v>
      </c>
      <c r="F48" s="137">
        <f>VLOOKUP(A48,[1]Biogasudbytte!$A$2:$C$18,3,FALSE)</f>
        <v>0.31</v>
      </c>
      <c r="G48" s="138">
        <f t="shared" si="13"/>
        <v>95.4</v>
      </c>
      <c r="I48" s="127" t="str">
        <f t="shared" si="15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871.08988076433457</v>
      </c>
      <c r="M48" s="136">
        <f>SUMIFS('Resultater - Østdanmark'!J$3:J$482,'Resultater - Østdanmark'!$F$3:$F$482,$A48)/SUMIFS('Resultater - Danmark'!J$3:J$482,'Resultater - Danmark'!$F$3:$F$482,$A48)*E21</f>
        <v>884.229461452941</v>
      </c>
      <c r="N48" s="137">
        <f>VLOOKUP(I48,[1]Biogasudbytte!$A$2:$C$18,3,FALSE)</f>
        <v>0.31</v>
      </c>
      <c r="O48" s="138">
        <f t="shared" si="14"/>
        <v>95.4</v>
      </c>
    </row>
    <row r="49" spans="1:15" hidden="1" x14ac:dyDescent="0.2">
      <c r="A49" s="127" t="str">
        <f t="shared" si="12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67006.096493213583</v>
      </c>
      <c r="E49" s="136">
        <f>SUMIFS('Resultater - Vestdanmark'!J$3:J$482,'Resultater - Vestdanmark'!$F$3:$F$482,$A49)/SUMIFS('Resultater - Danmark'!J$3:J$482,'Resultater - Danmark'!$F$3:$F$482,$A49)*E22</f>
        <v>66758.668734263701</v>
      </c>
      <c r="F49" s="137">
        <f>VLOOKUP(A49,[1]Biogasudbytte!$A$2:$C$18,3,FALSE)</f>
        <v>0.28000000000000003</v>
      </c>
      <c r="G49" s="138">
        <f t="shared" si="13"/>
        <v>51.25</v>
      </c>
      <c r="I49" s="127" t="str">
        <f t="shared" si="15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18670.90350678641</v>
      </c>
      <c r="M49" s="136">
        <f>SUMIFS('Resultater - Østdanmark'!J$3:J$482,'Resultater - Østdanmark'!$F$3:$F$482,$A49)/SUMIFS('Resultater - Danmark'!J$3:J$482,'Resultater - Danmark'!$F$3:$F$482,$A49)*E22</f>
        <v>18918.331265736317</v>
      </c>
      <c r="N49" s="137">
        <f>VLOOKUP(I49,[1]Biogasudbytte!$A$2:$C$18,3,FALSE)</f>
        <v>0.28000000000000003</v>
      </c>
      <c r="O49" s="138">
        <f t="shared" si="14"/>
        <v>51.25</v>
      </c>
    </row>
    <row r="50" spans="1:15" hidden="1" x14ac:dyDescent="0.2">
      <c r="A50" s="127" t="str">
        <f t="shared" si="12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255215.75389295255</v>
      </c>
      <c r="E50" s="136">
        <f>SUMIFS('Resultater - Vestdanmark'!J$3:J$482,'Resultater - Vestdanmark'!$F$3:$F$482,$A50)/SUMIFS('Resultater - Danmark'!J$3:J$482,'Resultater - Danmark'!$F$3:$F$482,$A50)*E23</f>
        <v>254098.83749353027</v>
      </c>
      <c r="F50" s="137">
        <f>VLOOKUP(A50,[1]Biogasudbytte!$A$2:$C$18,3,FALSE)</f>
        <v>0.3</v>
      </c>
      <c r="G50" s="138">
        <f t="shared" si="13"/>
        <v>100</v>
      </c>
      <c r="I50" s="127" t="str">
        <f t="shared" si="15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74810.246107047482</v>
      </c>
      <c r="M50" s="136">
        <f>SUMIFS('Resultater - Østdanmark'!J$3:J$482,'Resultater - Østdanmark'!$F$3:$F$482,$A50)/SUMIFS('Resultater - Danmark'!J$3:J$482,'Resultater - Danmark'!$F$3:$F$482,$A50)*E23</f>
        <v>75927.162506469729</v>
      </c>
      <c r="N50" s="137">
        <f>VLOOKUP(I50,[1]Biogasudbytte!$A$2:$C$18,3,FALSE)</f>
        <v>0.3</v>
      </c>
      <c r="O50" s="138">
        <f t="shared" si="14"/>
        <v>100</v>
      </c>
    </row>
    <row r="51" spans="1:15" hidden="1" x14ac:dyDescent="0.2">
      <c r="A51" s="127" t="str">
        <f t="shared" si="12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21927.581361856195</v>
      </c>
      <c r="E51" s="136">
        <f>SUMIFS('Resultater - Vestdanmark'!J$3:J$482,'Resultater - Vestdanmark'!$F$3:$F$482,$A51)/SUMIFS('Resultater - Danmark'!J$3:J$482,'Resultater - Danmark'!$F$3:$F$482,$A51)*E24</f>
        <v>21821.426523041016</v>
      </c>
      <c r="F51" s="137">
        <f>VLOOKUP(A51,[1]Biogasudbytte!$A$2:$C$18,3,FALSE)</f>
        <v>0.2</v>
      </c>
      <c r="G51" s="138">
        <f t="shared" si="13"/>
        <v>75.599999999999994</v>
      </c>
      <c r="I51" s="127" t="str">
        <f t="shared" si="15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6717.4186381438076</v>
      </c>
      <c r="M51" s="136">
        <f>SUMIFS('Resultater - Østdanmark'!J$3:J$482,'Resultater - Østdanmark'!$F$3:$F$482,$A51)/SUMIFS('Resultater - Danmark'!J$3:J$482,'Resultater - Danmark'!$F$3:$F$482,$A51)*E24</f>
        <v>6823.5734769589817</v>
      </c>
      <c r="N51" s="137">
        <f>VLOOKUP(I51,[1]Biogasudbytte!$A$2:$C$18,3,FALSE)</f>
        <v>0.2</v>
      </c>
      <c r="O51" s="138">
        <f t="shared" si="14"/>
        <v>75.599999999999994</v>
      </c>
    </row>
    <row r="52" spans="1:15" hidden="1" x14ac:dyDescent="0.2">
      <c r="A52" s="127" t="str">
        <f t="shared" si="12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3"/>
        <v>47.3</v>
      </c>
      <c r="I52" s="127" t="str">
        <f t="shared" si="15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4"/>
        <v>47.3</v>
      </c>
    </row>
    <row r="53" spans="1:15" hidden="1" x14ac:dyDescent="0.2">
      <c r="A53" s="128" t="str">
        <f t="shared" si="12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3"/>
        <v>423.36</v>
      </c>
      <c r="I53" s="128" t="str">
        <f t="shared" si="15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4"/>
        <v>423.36</v>
      </c>
    </row>
    <row r="54" spans="1:15" hidden="1" x14ac:dyDescent="0.2">
      <c r="A54" s="127" t="str">
        <f t="shared" si="12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3"/>
        <v>25</v>
      </c>
      <c r="I54" s="127" t="str">
        <f t="shared" si="15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4"/>
        <v>25</v>
      </c>
    </row>
    <row r="55" spans="1:15" ht="12.75" hidden="1" thickBot="1" x14ac:dyDescent="0.25">
      <c r="A55" s="142" t="str">
        <f t="shared" si="12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3"/>
        <v>25</v>
      </c>
      <c r="I55" s="142" t="str">
        <f t="shared" si="15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4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23988642.085397758</v>
      </c>
      <c r="E56" s="145">
        <f ca="1">SUM(E39:E55)</f>
        <v>23451029.453839917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4183651.6678306428</v>
      </c>
      <c r="M56" s="145">
        <f ca="1">SUM(M39:M55)</f>
        <v>4176492.9888612591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9.0942038389531812E-2</v>
      </c>
      <c r="E57" s="149">
        <f ca="1">SUMPRODUCT(E39:E55,$F$39:$F$55)/E56</f>
        <v>9.2181666042805699E-2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0.10950223145351697</v>
      </c>
      <c r="M57" s="149">
        <f ca="1">SUMPRODUCT(M39:M55,$N$39:$N$55)/M56</f>
        <v>0.11050765709421376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1.4467861108258444E-2</v>
      </c>
      <c r="E58" s="149">
        <f ca="1">SUM(E48:E51)/E56</f>
        <v>1.4736270063095079E-2</v>
      </c>
      <c r="I58" s="148" t="s">
        <v>161</v>
      </c>
      <c r="K58" s="149">
        <f ca="1">SUM(K48:K51)/K56</f>
        <v>1.8896340963997331E-2</v>
      </c>
      <c r="L58" s="149">
        <f ca="1">SUM(L48:L51)/L56</f>
        <v>2.4158239298433245E-2</v>
      </c>
      <c r="M58" s="149">
        <f ca="1">SUM(M48:M51)/M56</f>
        <v>2.4554883004503647E-2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505656960.63475716</v>
      </c>
      <c r="E59" s="125">
        <f ca="1">SUMPRODUCT(E39:E55,$I$12:$I$28)</f>
        <v>501057849.5712257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117001032.45606402</v>
      </c>
      <c r="M59" s="125">
        <f ca="1">SUMPRODUCT(M39:M55,$I$12:$I$28)</f>
        <v>117860054.55405191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18.153084886787784</v>
      </c>
      <c r="E60" s="125">
        <f ca="1">E59*[1]Energiindhold!$C$10</f>
        <v>17.987976799607004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4.2003370651726986</v>
      </c>
      <c r="M60" s="125">
        <f ca="1">M59*[1]Energiindhold!$C$10</f>
        <v>4.2311759584904642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25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104203.4407339669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25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25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25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25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623909.73940601887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576591.97905547544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48011.920691725383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44370.662327297228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70259.109449246753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64930.608396310665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389039.43578841945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359534.40705289674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8069.2150499893842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7457.2400160431316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33939.868192186092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31365.844342236556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51872.305654463133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47938.272936646019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105024.04342368516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97058.944942455943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3146.7111847138076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2908.0623604905873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27850.682564630642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25738.466902719567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62611.02615456815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57862.561202403813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11759.429887638771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10867.586324157863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4522.0169004115751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4179.063908207143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109694.9188294395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101375.57782061782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97373.196323482727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122307.389496616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7493.1899345467373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9411.9586754872907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10965.294538321748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13773.159356793169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60717.137377383391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76264.874223341743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1259.3572621370715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1581.8387912818764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5296.973648491472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6653.3609210804825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8095.677761101183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10168.724562318854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16391.035678841039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20588.261048399749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491.10521379926485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616.86171283133672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4346.6383193354177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5459.6747975465751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9771.6630414643932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12273.876618691718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1835.286745469635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2305.2455839122736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705.74830237637309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886.46810174090911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17120.016233496339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21503.910446797723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190174.15207493372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179389.67006955924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14634.530814874721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13804.629208856637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21415.704421878378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20201.252949634338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118583.25035158051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111858.57764710314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2459.5803417061084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2320.101344973416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10345.22343108295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9758.5618121573061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15811.216143862219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14914.586532918138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32012.416450807639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30197.041830253234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959.15016801528964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904.75824558759291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8489.1765698018808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8007.7684974714139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19084.489401980361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18002.237527623009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3584.3960536589798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3381.1304977511027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1378.3575978842866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1300.1930705330769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33436.147663246578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31540.035447842853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29680.358994353821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38052.354257179235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2284.0019190844941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2928.2546806665596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3342.3353722006718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4285.1142620436467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18507.212482616615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23727.577076658243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383.86514003505738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492.14270953981543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1614.5724430013856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2069.9979601545801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2467.64645019815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3163.7001736493021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4996.1574807618863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6405.4331155082618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149.69395685787757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191.91841573070153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1324.9003895066519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1698.6175600696938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2978.5041263206344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3818.6564452533657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559.41441299880034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717.2094995229611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215.11939388945515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275.79853011307694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5218.3583058246104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6690.3105495424243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0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0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0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0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0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0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71749.813989422139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47422.702543659834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7174.9813989422137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47422.702543659834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71749.813989422139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7174.9813989422137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0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0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0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0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0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0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11653.242013147261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8739.3026300852289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1165.324201314726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8739.3026300852289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11653.242013147261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1165.324201314726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10853879.88663437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9348117.6321617663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6006.7628175927466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56757.88331613881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2914.9101192356643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67006.096493213583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255215.75389295255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21927.581361856195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10391250.072657285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9169492.6818358731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6203.1828401873436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56360.409398816068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2901.770538547059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66758.668734263701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254098.83749353027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21821.426523041016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1572695.883390849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664408.20431967056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504.14538611005531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19176.116683861201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871.08988076433457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18670.90350678641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74810.246107047482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6717.4186381438076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1505662.1579788346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651712.6128473935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520.63084610535827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19573.590601183951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884.229461452941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18918.331265736317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75927.162506469729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6823.5734769589817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4703372.1615964994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618468.71483434096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51598.780380153592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672934.09412450308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4525643.0291759707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171279.2848730098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9790151.9274066389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1212571.3389336092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31532.588010093863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3862742.0312364982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4703372.1615964994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618468.71483434096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51598.780380153592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672934.09412450308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4525643.0291759707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171279.2848730098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9790151.9274066389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1212571.3389336092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31532.588010093863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3862742.0312364982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577297.28616440261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75911.558427530035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6333.2934029920762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82596.701464021666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555482.60888742993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21023.015601598698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1201654.4608093714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148832.39497031379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3870.3459684951581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474117.38114065683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577297.28616440273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75911.55842753005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6333.293402992078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82596.70146402168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555482.60888743005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21023.015601598701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1201654.4608093717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148832.39497031382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3870.345968495159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474117.381140657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1709437.3149926052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118556.88830175188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154484.73733408173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2216341.6308326661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710590.59860996436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35689.952707147801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42074.872472772768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647088.73530897219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1581173.6865962329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120985.85798793298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158491.06742829576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2235295.9759470159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688009.43316682125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37147.808703410541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43858.564110476924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624603.98534617631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1205986.6540704854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688125.32570079644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505.33084021018328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401728.76679519669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19633758.54900625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771875.25410193205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1154583.3414063647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674976.54463514045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521.85506433322087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420665.19876426988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19034352.153405923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725594.03868632857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174743.98704342762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48907.826151309069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42.412230894972893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54219.773738244621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3424154.0812072256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353758.48713435931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167295.79533098158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47973.289556822005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43.799102926323776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57097.370490994261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3389908.2542493283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343152.81118002941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370490.27594297461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378080.80621229054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111531.10220983687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116086.90219815794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675226.59815047972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2384663.9131430849</v>
      </c>
      <c r="F14">
        <f>E14-D14</f>
        <v>1709437.3149926052</v>
      </c>
      <c r="G14">
        <f t="shared" si="3"/>
        <v>1709437.3149926052</v>
      </c>
      <c r="H14">
        <f t="shared" si="1"/>
        <v>710590.59860996436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118556.88830175188</v>
      </c>
      <c r="F15">
        <f t="shared" si="2"/>
        <v>118556.88830175188</v>
      </c>
      <c r="G15">
        <f t="shared" si="3"/>
        <v>118556.88830175188</v>
      </c>
      <c r="H15">
        <f t="shared" si="1"/>
        <v>35689.952707147801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154484.73733408173</v>
      </c>
      <c r="F16">
        <f t="shared" si="2"/>
        <v>154484.73733408173</v>
      </c>
      <c r="G16">
        <f t="shared" si="3"/>
        <v>154484.73733408173</v>
      </c>
      <c r="H16">
        <f t="shared" si="1"/>
        <v>42074.872472772768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2216341.6308326661</v>
      </c>
      <c r="F17">
        <f t="shared" si="2"/>
        <v>2216341.6308326661</v>
      </c>
      <c r="G17">
        <f t="shared" si="3"/>
        <v>2216341.6308326661</v>
      </c>
      <c r="H17">
        <f t="shared" si="1"/>
        <v>647088.73530897219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95087.675111391232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805678.2737213556</v>
      </c>
      <c r="F20">
        <f t="shared" si="2"/>
        <v>710590.59860996436</v>
      </c>
      <c r="G20">
        <f t="shared" si="3"/>
        <v>710590.59860996436</v>
      </c>
      <c r="H20">
        <f t="shared" si="1"/>
        <v>1709437.3149926052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35689.952707147801</v>
      </c>
      <c r="F21">
        <f t="shared" si="2"/>
        <v>35689.952707147801</v>
      </c>
      <c r="G21">
        <f t="shared" si="3"/>
        <v>35689.952707147801</v>
      </c>
      <c r="H21">
        <f t="shared" si="1"/>
        <v>118556.88830175188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42074.872472772768</v>
      </c>
      <c r="F22">
        <f t="shared" si="2"/>
        <v>42074.872472772768</v>
      </c>
      <c r="G22">
        <f t="shared" si="3"/>
        <v>42074.872472772768</v>
      </c>
      <c r="H22">
        <f t="shared" si="1"/>
        <v>154484.73733408173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647088.73530897219</v>
      </c>
      <c r="F23">
        <f t="shared" si="2"/>
        <v>647088.73530897219</v>
      </c>
      <c r="G23">
        <f t="shared" si="3"/>
        <v>647088.73530897219</v>
      </c>
      <c r="H23">
        <f t="shared" si="1"/>
        <v>2216341.6308326661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674829.12423315702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2256002.8108293898</v>
      </c>
      <c r="F26">
        <f t="shared" si="2"/>
        <v>1581173.6865962329</v>
      </c>
      <c r="G26">
        <f t="shared" si="3"/>
        <v>1581173.6865962329</v>
      </c>
      <c r="H26">
        <f t="shared" si="1"/>
        <v>688009.43316682125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120985.85798793298</v>
      </c>
      <c r="F27">
        <f t="shared" si="2"/>
        <v>120985.85798793298</v>
      </c>
      <c r="G27">
        <f t="shared" si="3"/>
        <v>120985.85798793298</v>
      </c>
      <c r="H27">
        <f t="shared" si="1"/>
        <v>37147.808703410541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158491.06742829576</v>
      </c>
      <c r="F28">
        <f t="shared" si="2"/>
        <v>158491.06742829576</v>
      </c>
      <c r="G28">
        <f t="shared" si="3"/>
        <v>158491.06742829576</v>
      </c>
      <c r="H28">
        <f t="shared" si="1"/>
        <v>43858.564110476924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2235295.9759470159</v>
      </c>
      <c r="F29">
        <f t="shared" si="2"/>
        <v>2235295.9759470159</v>
      </c>
      <c r="G29">
        <f t="shared" si="3"/>
        <v>2235295.9759470159</v>
      </c>
      <c r="H29">
        <f t="shared" si="1"/>
        <v>624603.98534617631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95485.149028714004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783494.5821955353</v>
      </c>
      <c r="F32">
        <f t="shared" si="2"/>
        <v>688009.43316682125</v>
      </c>
      <c r="G32">
        <f t="shared" si="3"/>
        <v>688009.43316682125</v>
      </c>
      <c r="H32">
        <f t="shared" si="1"/>
        <v>1581173.6865962329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37147.808703410541</v>
      </c>
      <c r="F33">
        <f t="shared" si="2"/>
        <v>37147.808703410541</v>
      </c>
      <c r="G33">
        <f t="shared" si="3"/>
        <v>37147.808703410541</v>
      </c>
      <c r="H33">
        <f t="shared" si="1"/>
        <v>120985.85798793298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43858.564110476924</v>
      </c>
      <c r="F34">
        <f t="shared" si="2"/>
        <v>43858.564110476924</v>
      </c>
      <c r="G34">
        <f t="shared" si="3"/>
        <v>43858.564110476924</v>
      </c>
      <c r="H34">
        <f t="shared" si="1"/>
        <v>158491.06742829576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624603.98534617631</v>
      </c>
      <c r="F35">
        <f t="shared" si="2"/>
        <v>624603.98534617631</v>
      </c>
      <c r="G35">
        <f t="shared" si="3"/>
        <v>624603.98534617631</v>
      </c>
      <c r="H35">
        <f t="shared" si="1"/>
        <v>2235295.9759470159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4923583.0761439931</v>
      </c>
      <c r="O3" s="171">
        <f>SUMIF($F$3:$F$472,"Roer",J3:J472)</f>
        <v>5024574.3595380196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-896872.67486777669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-592783.78179574793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16398.219881514029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108383.26407385738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4099.5549703785073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27095.816018464346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-114799.70238307542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-758763.24069855735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173417.68247712258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60029.197780542447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-35874.906994711069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7971.3568868470975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3985.6784434235497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-89687.267486777666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11179450.521719089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10702943.763836339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12059866.540704856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11545833.414063649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1545987.8753404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1480092.5373921432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126364.07464315755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120978.00174055072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-6899366479.4311991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-6605291672.6084795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-529870.57138021174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-507285.65921701177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903477.64426614856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864968.30946007557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250001.99508437468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412474.2353108211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270982.38903804816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447089.44687999511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8287.7479220134319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13673.82082462027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-452503691.13680112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-746578497.95952106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-30547.05385711979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-50399.088521119782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65181.298474246374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107541.56676092674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320710.24991141836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305215.91139179375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9306493.1916532889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8856872.5263272319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182381.20793873124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173569.90185730331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3483702.3515116847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3315395.7147551631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39686.364587318778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37769.014057677145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-2414589993.7588573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-2297934929.6948571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-10099.220944102173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-9611.3015585021712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2611702.7463139286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2485524.6572905863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19991.394030461786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24638.981899308401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1080304.1774153388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1331452.6757126269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8919.2373366675656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10992.77653969144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412642.87678260863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508573.85715239123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8247.3986537220499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10164.749183363683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-501786607.84114248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-618441671.90514243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-2530.0165101234074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-3118.1933037234076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453873.49996140599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559389.75206455449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75949470.02073957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72316591.351941347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4834.1004940422599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4602.8717499465147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107141.30412896334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102016.43152338694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158277.5242695417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150706.6611481533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6684.6952383134503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6364.9472962665268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-263015760.16375715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-250434970.00951719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-6233.8150947903478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-5935.6340294463489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10156.003135680934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9670.2126865601167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1041493.740480428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1295897.5887379702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1840.0804143941255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2289.5536280394222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6928.640984266608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8621.0879583398764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12756.03561276813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15871.930046182108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1309.0033128596663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1628.7512549065907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-51503993.692242816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-64084783.846482813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-2299.2854326894117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-2860.9278502894113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2187.6339015735002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2722.0033956064012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4688506.9969091984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4648196.2391557153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2056610.6420093102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1900635.8217001741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-99825558.304963022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-92254716.648876071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1418580.0603067866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1310993.9351157292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111796.04760086381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114384.54421676249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49039.265886152367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46771.554168873641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-1611668.6303805837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-1537140.6012300362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198256.24737469372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189088.32842095065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71852.349000698814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73515.99960574256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31517.987646306181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30060.508448789125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-682967.64788402733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-651385.3289067311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279686.82379027107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266753.32904852438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490260.64493692142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660607.28368606966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215052.52320201407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270120.66678102477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-10438406.645877348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-13111352.154037235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221396.88802475863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278089.62260030617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11690.118503466048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16256.470072018667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5127.8631206965101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6647.2299712732547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-168526.50591667491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-218460.28544754154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30941.726468882833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40109.645422625894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7513.3467827898357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10448.182974270687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3295.724835385427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4272.2358977218482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-71415.518787410721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-92575.672502199057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43650.544753394912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56584.039495141536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178329.32553102204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176796.08899185038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-1613843.0099978768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-1491448.0032086263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18346.928809189772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16955.484621464453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1302.5821038158078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1332.7417511380027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-9577.8271535376043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-9134.9218516399105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785.46504894346981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749.14296575533228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422.35893190592401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432.13812078956232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-2593.6762845931198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-2473.7374968662707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559.02862365711928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533.17758903713695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15864.094334811727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21376.254396287361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-143566.72788362612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-180329.62220613388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2863.3935135729703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3596.6179500076114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115.87710160534844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161.14059354668581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-852.03907452568637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-1104.4950966073709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122.5870307599635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158.90911394810081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37.572855271862259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52.249427331828905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-230.7322428895267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-299.09735189383088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87.247241842440587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113.09827646242299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19958.567943102735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18449.455553785181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-17077164.38427062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-15785921.424345665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3697.9288069656591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3418.3200598193143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1775.5049748228382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2230.7068987758444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-1519176.6466700858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-1908661.4085799758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577.13339761891791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725.09819450712723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1545241.6146092198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1531955.9651608609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-5090980.2288279133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-4704876.6513354834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77168.887141772459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71316.343612368961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42365.341298400272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43346.257394591979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-93051.732880512078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-88748.762573898814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12400.457271583722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11827.025721452683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46055.42030071569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47121.775526598212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-65029.285100948444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-62022.150529806306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29589.548982112399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28221.24613900893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137463.97947303986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185227.40306035863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-452891.24694602075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-568862.35875238117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12043.699149293971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15127.709251108568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3768.801170996418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5240.956575891576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-8277.8391273472898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-10730.532202116854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1935.3314816922575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2508.7630318232964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4097.0688926474822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5697.4510409432396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-5784.9751312346616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-7499.0418367856728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4618.022095474189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5986.3249385776526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20694034.653696515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20516111.869659446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-60301112.547205016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-55727833.093198992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884556.77388185076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817471.35623339622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670338.730568339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685859.579228185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-1365227.015333388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-1302095.1302312659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167940.71670343023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160174.6720003814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874618.86351881211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894869.56125816668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-1233185.9212836758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-1176159.9827272054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480962.40901614353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458721.37276106171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2519169.7676696456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3394483.963889109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-7340701.9089256525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-9220423.2936020177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138052.21326479755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173403.0149585992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81603.084773232491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113478.5849268452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-166194.68753133615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-215437.55791099134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26210.400872789687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33976.445575838487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106470.94373240569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148060.23649907848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-150120.7832499088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-194601.0153239558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75063.497360901019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97304.533615982786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198669.48686870435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196961.37007087242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79264.908013529246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73253.400763838348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109164.43364893465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100885.32501517503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5277.1470077505037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5399.332697354941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2105.4696357053253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2008.1068779848476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16995.358795448854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16209.446249994571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2278.1171427648283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2330.8640747111231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908.9203813398658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866.88938104669285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16104.149801251846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15359.449232407831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17673.545681556996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23814.420199478205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7051.3695625908395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8857.0020923550001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17037.223748677665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21399.917427461369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469.45255751029043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652.82840795291543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187.30160516476852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242.79837706544058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2652.4548409082026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3438.367386362484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202.66024755578439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281.82265630598124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80.857136813991531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104.81480698110012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2513.3644198485545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3258.0649886925698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4518285.3117263559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4479438.0827935226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-7002761.2633525226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-6471666.8464472126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117941.76919503704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108996.98116303275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2126.4193748279954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2175.6539361013506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-2136.0866928895298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-2037.3081174957942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325.32995747754416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310.28579759418949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952.84330781266669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974.90519399455104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-586.02563836620595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-558.92618688106347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319.98323778511235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305.1863250551649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401944.5719506857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541604.78637412598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-622962.40371673589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-782483.35507043567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18407.096926393064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23120.571761855434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189.16528426938063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263.05633954679962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-190.02528441369861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-246.32907238812783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50.774039606321921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65.818199489676559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84.764500041832036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117.8749007284321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-52.132569794542832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-67.579257141074024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49.939580463572447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64.736493193519834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28639.099571212086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28392.866856649849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-440539.56585993303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-407128.73046868219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6185.4724518954326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5716.3618023128201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488.59952140396285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499.9124276723424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-6263.2154485005403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-5973.5869884542717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476.97492049732955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454.9182767749096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354.81010393622921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363.02528482173392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-3898.4637758230629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-3718.187994282112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793.66302172301653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756.96184152773253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2547.7210543407746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3432.9557199403907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-39190.196061181334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-49225.564683940669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965.36275260795776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1212.5615944299923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43.465587482121322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60.443957164019572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-557.17275001400765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-722.26097224038006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74.441172563167044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96.497816285586893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31.56374277213045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43.893057164809647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-346.80553473940427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-449.56273021774621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123.8664831590835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160.56766335436751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889585.65459409577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881937.19169386837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-3957117.8143912707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-3657007.172428072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63323.940077826213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58521.407224424431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30327.016566325976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31029.200421988789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-98902.331097338974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-94328.812896305957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12652.926809123981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12067.820367083566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22022.804830128913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22532.715126590461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-53147.297901066311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-50689.619385410064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20168.079383186116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19235.451434830688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79137.128463601912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106634.22408662227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-352023.37088717712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-442165.41266630322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9882.9270641694075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12413.63183548397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2697.877369686455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3751.7124146586439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-8798.3056392372655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-11405.211013826085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1974.7342418864021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2559.8406839268173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1959.1385337322772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2724.4101016695731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-4727.9590444937021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-6128.8357984177601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3147.6193256995675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4080.2472740549938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5011192.8252289798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4968107.6852970216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-16803846.947789624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-15529431.190792952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238792.57598298136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220682.37642974351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150362.27487729816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153843.72389120501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-341388.28531406302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-325601.54379664967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41995.208610634007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40053.233645980406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64910.618468653665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66413.542050012024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-97170.70010598356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-92677.257326516105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39793.048122148248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37952.907168522899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649137.75267850538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874688.05004774837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-2176729.5381500898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-2734121.0672274861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37268.205500234093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46811.413182066812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19477.564046244228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27085.819266906095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-44222.609675654057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-57325.605135107107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6554.1655057058852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8496.1404703594817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8408.3639299568149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11692.808463956662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-12587.256585983192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-16316.814092941169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6210.4757184855662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8050.6166721109175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331398.16745020711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328548.87848533195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237874.25042587353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219833.69733892803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-12295344.153618181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-11362856.469354367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159747.74141929686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147632.35858809573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6441.1888357212947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6590.3264471255488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4623.4201532780698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4409.6203774039395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-165008.12365367546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-157377.6901899217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18198.341252564318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17356.799460538223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3362.7610317964691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3440.6215263101758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2413.7558332156741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2302.1370663617699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-58562.330190049237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-55854.245556983376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20854.144759918803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19889.791245009263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28446.605703095818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38330.702489955387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20418.685657943479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25647.264689541596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-1055409.5993134684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-1325666.5880913427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24931.728429601244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31315.954852020295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552.89973532058536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768.87141883131392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396.86583396635467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514.45571069712628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-14163.992117092956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-18360.73052215753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2840.2035480880736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3681.7453401141684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288.65318683339638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401.40584473618719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207.19233597255931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268.58265774220655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-5026.8821001285041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-6516.3286483147276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3254.6931128196979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4219.046627729238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959054.33163231891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950808.59224015288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214121.57001522297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197882.43717926473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-9391653.9231852219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-8679384.1803605724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142358.33751012647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131561.77949418829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35897.747314111104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36728.91442095473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8014.6470970260507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7644.0275780884294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-263649.72891233605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-251457.83393373093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31231.154702492393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29786.939456134362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33602.193864491768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34380.210323674139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7502.1344139856974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7155.2149035123684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-188030.56625759034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-179335.5111705341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64168.085676050519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61200.775355770711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85317.029848678532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114961.40251630939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19048.155852799315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23925.78558622019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-835477.19004520553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-1049416.4508981418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22217.775218343435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27907.044135130851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3193.4470009489587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4440.8596527154359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712.97929955624807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924.23242535069198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-23454.157965091628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-30403.538102896557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4874.2264564583511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6318.4417028163807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2989.2356275984293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4156.8799754987822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667.38640827306278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865.13052924285921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-16727.112223724362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-21683.293623346395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10014.6723309443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12981.982651224092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630305.44197743817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624886.21363907715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-1293537.2876402647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-1195434.4956573648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23115.445094971714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21362.353225559131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14432.228611503813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14766.388679971789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-22438.166373606673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-21400.563304306943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2392.2887204218396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2281.6626524254539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10480.36338423961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10723.02299283639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-12569.732203912112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-11988.472911245653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3980.6518395226949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3796.5754538800256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56071.680647588284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75554.424012724761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-115072.47894094611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-144538.89811129955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3607.6128182903835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4531.4082599670874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1283.8843834164375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1785.39063130568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-1996.0889045653566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-2587.5226540662029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373.36297948780157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483.98904748418721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932.32828025114225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1296.510961861127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-1118.1975642670948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-1449.5153610869743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621.25780154400434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805.33418718667212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118234.19798149291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117217.6462058101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-542642.02804938902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-501487.66898485716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8888.9031508130938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8214.7623857245562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11562.459095204431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11830.173266516264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-44222.091688748289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-42177.139471927563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3929.0202156362775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3747.3314195374901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12067.876915532306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12347.293399632554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-39561.536796654415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-37732.101569063459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9396.4235873856196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8961.9068897030465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10518.059577659977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14172.679041247946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-48273.183882543912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-60634.418159078174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1387.2854628436623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1742.5253545476332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1028.5910143074923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1430.3754949515117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-3933.9768271088792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-5099.5995906966946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613.19968683340744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794.88848293219473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1073.5527498846368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1492.9000201373901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-3519.3760190781009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-4562.1540988049455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1466.4938546786805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1901.0105523612524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1621606.8216653448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1607664.6008682679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-5484745.9414719753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-5068778.8910308909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215626.684084804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199273.40232257242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721412.14189979096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738115.53104502044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-2033354.7485892207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-1939326.7833365398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433580.13740267023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413530.18885225768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651539.44861149741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666625.02358527971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-1574068.518572781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-1501279.2229162364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897272.39659684058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855780.03143629304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253083.1455778284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341019.76382054167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-856000.811674817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-1075195.5223398861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33652.719481443404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42270.115644182035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112590.33428493848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156569.96113076189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-317344.38272779743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-411372.34798047814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67668.576357642174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87718.524908054649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101685.34747115859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141405.30803324116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-245663.87284083871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-318453.16849738348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140036.73241684798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181529.0975773955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613803.17949896643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687223.1739007252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664953.44445721374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744491.77172578557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2502141.5052936058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2455663.5565474145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97408.630707357341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95599.239297688866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12799.494074946755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12561.740043716316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1296795.0922933305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1272706.7760624508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1102410.4206254377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1072120.6999068451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21120.452678686721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20540.149189969037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98317.201590938494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95615.847791748558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97009.626395618849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94344.199404397878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84934.510833187902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82230.492590145455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41193.926040245511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39882.455279742353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5437.460580082532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5264.3508222216306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55888.835329455884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54109.529970176744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145303.11165081069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138927.00099994309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535.94813157761189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512.42995257070322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4232533290.6275983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4232533290.6275983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117530555.31034985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117530555.31034985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55898678.745166384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55898678.745166384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102480911.03280504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102480911.03280504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1198954994.1110687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1198954994.1110687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172712584.32801408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172712584.32801408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1628228180.8848464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1628228180.8848464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116813905.5828477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116813905.5828477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86714617.027758121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86714617.027758121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2870898808.3735456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2870898808.3735456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9115316.0605718922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9051481.7494498603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278082.42537508241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276828.90937738947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3434062.4452771964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3421381.7726310147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130246558.63961244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124695000.87188742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-138143.84213505097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-132255.674893794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131808458.6134809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129289846.81388581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-275081.02564076782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-269824.74448619323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78688.592910464984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81261.695206454198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63670219.643012308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66671465.464525796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25521575.389295254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25409883.749353029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1657725.1509563283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1649699.8451419007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52165656.986353792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51820277.872833423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20820332.183769889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21602494.19547702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22052758.669106159</v>
      </c>
      <c r="J452" s="288">
        <f ca="1">SUMIFS('Forbrug af biomasse'!$E$1:$E$425,'Forbrug af biomasse'!$A$1:$A$425,"Biogas",'Forbrug af biomasse'!$B$1:$B$425,$A$1,'Forbrug af biomasse'!$D$1:$D$425,J$2)*'[1]Processer - data'!J452</f>
        <v>21558531.376915034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6391729.2665735725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6119291.7094537327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5505002.6056063715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5399812.3570811236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3537.3158814712829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3652.985450332546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5624202.7351327538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5889312.7826997787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137436309.84304374</v>
      </c>
      <c r="J457" s="288">
        <f ca="1">J452*'[1]Processer - data'!J$457*Biogasanlæg!AC$3</f>
        <v>133240465.07384145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123500040.65630913</v>
      </c>
      <c r="J458" s="288">
        <f ca="1">-SUMIFS('Resultater - Vestdanmark'!J$3:J$482,'Resultater - Vestdanmark'!$F$3:$F$482,"Gødning",'Resultater - Vestdanmark'!$A$3:$A$482,"&lt;&gt;Gødning")-SUM(J453:J457)</f>
        <v>116095046.18981257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17.668413036653398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16.342705013193797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4.1494910905613152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4.2345050295776536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2.8425191669471035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2.9162356406806413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32.122700134129985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32.397416241013886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18.13825011403463</v>
      </c>
      <c r="J467" s="288">
        <f ca="1">SUM(J433:J451)*'[1]Processer - data'!$H$467</f>
        <v>17.973542112551261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185245.1379714873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189040.40310614527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118556.88830175188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120985.85798793298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1508318.1394402247</v>
      </c>
      <c r="O3" s="171">
        <f>SUMIF($F$3:$F$472,"Roer",J3:J472)</f>
        <v>1571187.4884325294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-145665.52516434077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-109241.28287606536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2663.3159619376597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19973.432427345255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665.82899048441493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4993.3581068363137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-18645.187221035616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-139828.84208136366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28165.623168904222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9749.6387892360799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-5826.6210065736304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1294.6674814974735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647.33374074873689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-14566.552516434074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1619870.1291811671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1550825.6746305928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1747439.8704342765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1672957.9533098161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224009.18314141617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214461.13877310805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18309.789870119137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17529.363444725979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-999698298.99885452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-957087707.86189473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-76776.717177954502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-73504.228560354517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130911.30422612706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125331.41270768401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36224.567861015261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59766.326756290277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39264.566418903487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64781.971051799803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1200.8707647098604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1981.2971901030198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-65566479.42514535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-108177070.56210533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-4426.1799791952308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-7302.6825311952289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9444.5821084449508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15582.462778732337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22794.163449276428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21692.918681289459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661449.78842651786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629493.44484708668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12962.563762711534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12336.308907816358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247600.69511628913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235638.46756389324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2820.6690661142875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2684.3952757559205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-171614592.91035649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-163323449.74235648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-717.79212848296538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-683.11374128296541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185624.18661968777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176656.20388227972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1420.8685354930128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1751.1912412893646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76781.549706449339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94631.680538906046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633.92596198919023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781.30070765217795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29328.183873637823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36146.383313793289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586.17569284488786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722.44948320325477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-35663986.289643541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-43955129.457643531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-179.81841826711027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-221.62250146711023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32258.609590036394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39758.072727427665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6374410.9849512335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6069504.8192194803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405.72427013864109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386.31732699607659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8992.3301083624119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8562.2014422302946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13284.174189749368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12648.754442470523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561.0440039478965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534.20767719482114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-22074815.668171618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-21018914.594251622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-523.2017999274442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-498.17557317544419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852.38959447123887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811.61738138779606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87412.185210291747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108764.20629093802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154.43726998364264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192.16139089876592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581.51828036235077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723.56473019319401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1070.6093605689982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1332.1252302502314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109.86416487898698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136.70049163206232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-4322711.179828384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-5378612.2537483834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-192.97817767090999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-240.11661847090997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183.60730587631363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228.45674026810067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1429105.5040805461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1446149.8252657517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626876.22950838739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591327.04817660281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-30427864.331989396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-28702347.211129479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432397.89841410023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407877.28242223198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15807.50285438189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16173.505665057821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6933.9511736563081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6613.3060326779805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-227883.33775461648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-217345.37993937408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28032.620683186826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26736.314524426736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11078.80316982528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11335.318897605612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4859.7100345183553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4634.9835589336908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-105305.73109296802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-100436.10190947815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43124.481148638362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41130.285488585716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149436.52351917388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205528.56607564774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65550.236946859717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84040.116846917197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-3181734.4841947295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-4079212.3763696142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67484.065070408717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86519.423544109814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1652.9348360449044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2298.5982293673087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725.05882503724069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939.89106949271911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-23828.957109716841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-30889.388845929232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4375.033285815286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5671.3394445753684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1158.4713834805743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1610.9892615081917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508.16274291582118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658.72948155754591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-11011.448991166426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-14274.100544104624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6730.4103526776635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8724.6060127303044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54356.625856239647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55004.91374470725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-491916.06834122166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-464020.26899468317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5592.3339693151429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5275.2013600614973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282.76738450634605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289.31450699939148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-2079.1757583080207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-1983.0289024325054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170.51047827254712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162.62560066456805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99.981799158956548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102.29675173848246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-613.98114679222374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-585.58895503304575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132.33456984649141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126.21505216572879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4835.5403001591212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6650.5941164055112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-43760.625963996536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-56104.26888753895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872.79200677172753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1118.9821066797115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25.154855766200381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34.980754028108237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-184.96251399052281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-239.76622183956653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26.611461926929326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34.496339534908373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8.8943346188227839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12.368607255652877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-54.61947889671864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-70.803028199450068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20.653372172573807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26.772889853336412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6070.7214776899573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5726.8171351632291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-5194295.9485457521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-4900040.8192932047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1124.7848991677165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1061.0662105976953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540.04857538525096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692.42425361519042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-462082.16559606418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-592459.48087817826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175.54446403195573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225.07465073284445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471005.6523383949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476623.13236039522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-1551783.5146624425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-1463784.271823596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23521.876245631913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22187.987027060775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990.36750794385637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1013.2982196981856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-2175.2548186413396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-2074.6650004382718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289.88341859260265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276.47840501606606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1174.0361809811022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1201.219509431693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-1657.7144021995252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-1581.0570888030154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754.29126163837566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719.41074086897106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41900.445025941619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57628.06963993868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-138045.94387661846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-176984.82559321658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3671.0442695494903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4706.5427027098622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88.102635533271382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122.51696656350789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-193.50966276815154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-250.84585914390013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45.241920820810819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58.646934397347358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104.44171575317434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145.23835886765016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-147.46950664653579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-191.16417528254641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117.72175759674072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152.60227836614536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6307756.1459814962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6382986.0162766455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-18380403.804494981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-17338079.535300989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269622.06840250688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254332.21795115346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35936.372929728066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36768.434364031891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-73188.829646116588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-69804.375096007134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9003.179960112735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8586.8479388358446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51129.768415755148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52313.613778413965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-72091.413984747458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-68757.706979672424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28116.814781173754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26816.615253720633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767869.04297323886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1056094.0499657723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-2237521.989148349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-2868664.0685679815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42079.744779582004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53949.258353274978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4374.6821612720996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6083.5045947761864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-8909.5766031630956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-11549.451152248455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1405.1205718095021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1821.4525930863913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6224.236548183836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8655.5251887921277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-8775.9836908600082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-11376.27515481853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4388.1734051542853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5688.3729326074072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60556.517749486411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61278.749058114612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24160.76512144462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22790.645502950778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33274.45028457306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31387.507677402606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235.37748365531598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240.82735270682102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93.910619514131341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89.567931906541432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758.04687290627828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722.9926822516527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110.80435550829287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113.3698907433492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44.208585753622167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42.164258088714782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783.28278482250096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747.0616155821541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5387.0798159803235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7409.1578406629487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2149.3304925955649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2755.596228993139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5193.122298748397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6657.9561739944929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20.939072100897761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29.118216281824715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8.3542452851010474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10.829577221427281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118.30789345936137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153.36208411398692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9.8571042270094082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13.70745042624131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3.9327753453655787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5.0980421143627872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122.24644618617069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158.46761542651754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1377220.1709949747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1393645.6783281683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-2134514.1794213997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-2013469.1819439486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35949.873089394714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33911.211393270474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5293.4880442848644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5416.0520900000693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-5317.5537733620231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-5071.6553329753397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809.87328310737632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772.42249544923175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2586.6017132162474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2646.491216691737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-1590.8333592291856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-1517.2688108255236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868.63095355671726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828.46304818993258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122516.869546894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168504.43201604218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-189885.3943427476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-243446.72836231376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5610.6738347610244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7193.2872652391916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470.90624856383846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654.84993451819003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-473.0471246938817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-613.20923571429103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126.39640834623793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163.84719600438248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230.1028922913182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319.9848471090919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-141.51979999154429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-183.45159258163147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135.56668061289807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175.73458597968269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8729.4942411541961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8833.607130794464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-134281.02352214055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-126666.154382263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1885.3960828403881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1778.4781872875585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127.2090223121897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130.15438693672888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-1630.6555345060033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-1555.249498228269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124.18250662536892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118.43996296639233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100.73396143707008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103.06632938639916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-1106.8109259035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-1055.6289177692342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225.3284766621083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214.90866271241543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776.57177093273447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1068.0634076324213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-11945.577757258628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-15315.089575309981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294.25256784214145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377.25294881857297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11.31645579991098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15.736848602349943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-145.06236228929129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-188.04380296759976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19.381084849046019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25.123628508022612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8.9612466272630531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12.461656189446442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-98.461388148294034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-127.63513278482559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35.166872080213437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45.586686029906303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271154.92334118381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274388.87044388597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-1206170.5042926839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-1137770.4406823968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19301.792951348078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18207.218128828263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3187.8294513369001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3261.6396255239879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-10396.135181594165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-9915.389046029115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1330.0145314169347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1268.5109692704866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2524.3703880597795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2582.819003614567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-6092.0244292996404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-5810.3123169620849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2311.7719460194639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2204.8691970705872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24121.816590871786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33176.108880942571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-107300.37029516997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-137566.78964614432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3012.4185531005674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3862.1371788423589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283.58783385014385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394.36188199517301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-924.83537829326133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-1198.8606755653386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207.57452224426149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269.07808439070931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224.56682238289022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312.28629770976124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-541.94367610937263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-702.51958014177922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360.79677770245979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467.69952665133667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1527463.4874736806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1545680.8816442573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-5121986.6321292222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-4831526.6928405175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72786.450973800223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68658.843924169618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3091.5500852944588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3163.1310320756588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-7019.1740810152432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-6694.5879963440175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863.44989704439536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823.5215781059261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1455.3525231168544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1489.0493770027558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-2178.6516121482823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-2077.9047167888239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892.19474953925908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850.93718886692341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197863.91187448081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272133.51279857982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-663489.71344517847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-850641.51773949701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11359.73512307865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14563.99719603598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400.47189255172731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556.90276655635091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-909.24676968526933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-1178.6532199623862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134.7580764173334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174.68639535580252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188.52283261877869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262.16293576927308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-282.21724062568217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-365.83716377403238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139.24426726913293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180.5018279414686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101013.59461711594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102218.33992514975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72506.535830436711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68394.802335617322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-3747748.273828716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-3535219.2661860092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48692.766519758341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45931.475047732638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1083.7296042953458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1108.8219977517138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777.89014124472283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741.91834280566036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-27762.606114107224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-26478.786178194747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3061.8697367012819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2920.2803847150949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616.97272988911175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631.25795604595646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442.85678096765122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422.37785468012976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-10744.551987008117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-10247.694091655139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3826.1531225001299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3649.2211861995452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8670.8201159778728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11925.47299126747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6223.8269195490475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7979.3936058220197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-321699.77957431471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-412442.24772170105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7599.4491100200885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9743.040161640256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93.025344646161201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129.36256640436665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66.772650852509457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86.557139993993729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-2383.0907560375276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-3089.1917207893875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477.86406295337923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619.45341493956573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52.959797912446881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73.646761538694932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38.014006921211688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49.277416379348473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-922.29246824896279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-1195.5643106930997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597.14528501447114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774.077221315055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292329.69577555696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295816.18520026724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65266.472771150577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61565.312053592097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-2862673.4102970543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-2700335.6291434513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43392.296059618711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40931.586068691817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11098.628751714377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11355.603515862538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2477.9157290165494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2363.3300305649173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-81513.48428868987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-77744.074610600175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9655.8424264707883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9209.3294818941049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11328.823700605051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11591.128338742388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2529.3097973610966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2412.3474945929538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-63393.632690994433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-60462.135225514932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21633.972256718655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20633.557354673863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26005.514554831338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35766.866028759585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5806.075236693684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7443.8059119343161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-254662.1028004142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-326495.12606916274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6772.2080555474295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8682.457650934628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987.32888143863761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1372.9956978270159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220.43423739632777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285.74808551375816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-7251.4018682250708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-9399.9653847362006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1506.9811879463082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1953.4941325229918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1007.8069176434207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1401.4727900479434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225.00622995021553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291.6747425280571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-5639.468249216211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-7310.4218045395319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3376.4002944011777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4376.8151964459712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192123.62847612135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194415.0036206884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-394283.56590248778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-371924.35475262126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7045.8271335145691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6646.2691751626544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1173.9447235743173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1201.1259344438934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-1825.162816502359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-1740.7622238317294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194.59328120447103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185.59474796958216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929.62040242373098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951.14459149287632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-1114.9498429922146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-1063.3914687497997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353.08844066711117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336.76065150331408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17091.229145939349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23506.541346865048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-35075.28369502478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-44969.035620089657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1099.637760721927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1409.8146735193507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104.43357974455924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145.22704480094345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-162.36564015012317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-210.47397797238182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30.370049667749818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39.368582902638643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82.698601117348062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115.00202788050234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-99.18542244884496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-128.57369576702126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55.106288427815031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71.43407759161208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36039.008412974523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36468.830027147276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-165402.91174611441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-156023.16846396922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2709.4297665419317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2555.7821953904954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1215.3898341091012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1243.5306542910553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-4648.4126117978685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-4433.4571152985454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412.99962134128094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393.90137295555706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1383.2838899177418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1415.3120854105096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-4534.7526241972882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-4325.0530808818066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1077.0677777251983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1027.2611752870387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3206.013522980797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4409.4130851005339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-14714.166542038731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-18864.619459734458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422.85898090538819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542.13561720404448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108.12051761236455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150.35416092791846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-413.52063639057332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-536.04526939518769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64.456588301818414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83.554836687542391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123.05629517823145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171.12409759963427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-403.40949645315754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-522.93823614298196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168.09728322878817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217.90388566694759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494282.55856805464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500177.65214961587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-1671807.383162329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-1577001.7723921426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65725.247132055942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61998.070030116462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77753.345320381952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79553.626059779548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-219153.69141077931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-209019.41666346003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46730.993546559053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44570.022746718168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70222.510539305498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71848.424288419978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-169652.11142721825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-161806.92708376306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96707.452573943272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92235.431645668432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77142.364632008524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106098.28984991852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-260917.91529123051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-334515.52747712121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10257.697529280407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13151.1057639641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12134.915165608745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16875.011588438083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-34203.177272202549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-44337.452019521821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7293.2764494629737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9454.2472493038549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10959.582569718201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15240.574849058785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-26477.497159161238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-34322.681502616411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15093.070632927565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19565.091561202396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178637.61286448501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184169.19735067486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193524.08060319209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199516.63046323109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177837.22990030446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174533.85571503793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6923.221974748174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6794.6212719421637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909.71136748191009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892.81323513320024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92168.427114874314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90456.37389070644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159736.08962264023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155347.1964728414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3060.2926630894976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2976.2083616824511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14245.87887682287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13854.46050441212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14056.415003223578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13670.202321642862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6036.6362564051497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5844.4508372651044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2927.8175036130328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2834.6060179118035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386.46212662561334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374.15852199671258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3972.2436306328855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3845.7812640674751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12195.236527675561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11660.091914249606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44.981928858219973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43.008056775021096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519505983.86209995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519505983.86210006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14425834.973481953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14425834.973481957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6861067.8532414157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6861067.8532414176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12578624.397609264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12578624.397609266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147161109.21119085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147161109.21119091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21198940.418348476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21198940.41834848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199850591.82774997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199850591.82775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14337872.565107062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14337872.565107064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10643451.413361685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10643451.413361687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352377407.94980913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352377407.94980925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3079684.3394281087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3143518.6505501424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83101.974624917522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84355.490622610581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956883.80472280353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969564.47736898623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18872350.600690186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18067945.895746015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-20016.644196433852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-19163.465749854124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9368155.6809073556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9189147.8411482479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-19551.111515712801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-19177.526537353628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6604.3045580417247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6820.2640839801934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8593322.6302123554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9049394.5683839954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7481024.610704748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7592716.250646973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507836.8490436718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515862.15485809901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22315029.973646216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22359190.167166591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17619254.17166714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18442985.604932848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3846030.9782367097</v>
      </c>
      <c r="J452" s="288">
        <f ca="1">SUMIFS('Forbrug af biomasse'!$E$1:$E$425,'Forbrug af biomasse'!$A$1:$A$425,"Biogas",'Forbrug af biomasse'!$B$1:$B$425,$A$1,'Forbrug af biomasse'!$D$1:$D$425,J$2)*'[1]Processer - data'!J452</f>
        <v>3839450.0046601556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926143.13133016636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886667.71525420237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391262.60921047255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383786.31645457604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296.88561626481027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306.59372048426644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759076.83233542473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799363.18687391968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23969078.568450578</v>
      </c>
      <c r="J457" s="288">
        <f ca="1">J452*'[1]Processer - data'!J$457*Biogasanlæg!AC$3</f>
        <v>23729357.779745299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56601357.94149749</v>
      </c>
      <c r="J458" s="288">
        <f ca="1">-SUMIFS('Resultater - Østdanmark'!J$3:J$482,'Resultater - Østdanmark'!$F$3:$F$482,"Gødning",'Resultater - Østdanmark'!$A$3:$A$482,"&lt;&gt;Gødning")-SUM(J453:J457)</f>
        <v>54904449.78880471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7.3445268136421529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7.1111322607098728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1.249148344750173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1.3001733046193689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0.77417765349901879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0.8069975796327753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9.3786251701161518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9.0527408973136652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4.1989165827426325</v>
      </c>
      <c r="J467" s="288">
        <f ca="1">SUM(J433:J451)*'[1]Processer - data'!$H$467</f>
        <v>4.2297995168673541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55765.551104918435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58043.451099078971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35689.952707147801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37147.808703410541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11073393.99720826</v>
      </c>
      <c r="O3" s="98">
        <f>SUMIF($F$3:$F$487,$L$3,J$3:J$487)</f>
        <v>10394060.267736508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5575.3915677842497</v>
      </c>
      <c r="O7" s="98">
        <f>SUMIFS(J$3:J$487,$F$3:$F$487,$L$3,$C$3:$C$487,$L7)+SUMIFS(J$3:J$487,$F$3:$F$487,$L$3,$C$3:$C$487,"",$A$3:$A$487,"Grøntsager I drivhus")</f>
        <v>5429.5591156569817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1210890.6378442696</v>
      </c>
      <c r="O8" s="98">
        <f>SUMIFS(J$3:J$487,$F$3:$F$487,$L$3,$C$3:$C$487,$L8)</f>
        <v>1205315.2462764853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2392228.9190607881</v>
      </c>
      <c r="O9" s="98">
        <f>SUMIFS(J$3:J$487,$F$3:$F$487,$L$3,$C$3:$C$487,$L9)</f>
        <v>2386653.5274930028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0</v>
      </c>
      <c r="J16" s="282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0</v>
      </c>
      <c r="J19" s="282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0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-1042538.2000321174</v>
      </c>
      <c r="J28" s="282">
        <f>'Resultater - Vestdanmark'!J28+'Resultater - Østdanmark'!J28</f>
        <v>-702025.06467181328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19061.535843451689</v>
      </c>
      <c r="J29" s="282">
        <f>'Resultater - Vestdanmark'!J29+'Resultater - Østdanmark'!J29</f>
        <v>128356.69650120263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4765.3839608629223</v>
      </c>
      <c r="J30" s="282">
        <f>'Resultater - Vestdanmark'!J30+'Resultater - Østdanmark'!J30</f>
        <v>32089.174125300658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-133444.88960411103</v>
      </c>
      <c r="J31" s="282">
        <f>'Resultater - Vestdanmark'!J31+'Resultater - Østdanmark'!J31</f>
        <v>-898592.08277992101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201583.3056460268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69778.836569778534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-41701.5280012847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9266.0243683445715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4633.0121841722867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-104253.82000321175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12799320.650900256</v>
      </c>
      <c r="J74" s="282">
        <f>'Resultater - Vestdanmark'!J74+'Resultater - Østdanmark'!J74</f>
        <v>12253769.438466933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13807306.411139132</v>
      </c>
      <c r="J75" s="282">
        <f>'Resultater - Vestdanmark'!J75+'Resultater - Østdanmark'!J75</f>
        <v>13218791.367373465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1769997.0584818162</v>
      </c>
      <c r="J76" s="282">
        <f>'Resultater - Vestdanmark'!J76+'Resultater - Østdanmark'!J76</f>
        <v>1694553.6761652513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144673.8645132767</v>
      </c>
      <c r="J77" s="282">
        <f>'Resultater - Vestdanmark'!J77+'Resultater - Østdanmark'!J77</f>
        <v>138507.36518527669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-7899064778.4300537</v>
      </c>
      <c r="J78" s="282">
        <f>'Resultater - Vestdanmark'!J78+'Resultater - Østdanmark'!J78</f>
        <v>-7562379380.4703741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-606647.28855816624</v>
      </c>
      <c r="J79" s="282">
        <f>'Resultater - Vestdanmark'!J79+'Resultater - Østdanmark'!J79</f>
        <v>-580789.88777736633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1034388.9484922757</v>
      </c>
      <c r="J80" s="282">
        <f>'Resultater - Vestdanmark'!J80+'Resultater - Østdanmark'!J80</f>
        <v>990299.72216775955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286226.56294538995</v>
      </c>
      <c r="J81" s="282">
        <f>'Resultater - Vestdanmark'!J81+'Resultater - Østdanmark'!J81</f>
        <v>472240.56206711137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310246.95545695163</v>
      </c>
      <c r="J83" s="282">
        <f>'Resultater - Vestdanmark'!J83+'Resultater - Østdanmark'!J83</f>
        <v>511871.41793179489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9488.6186867232918</v>
      </c>
      <c r="J84" s="282">
        <f>'Resultater - Vestdanmark'!J84+'Resultater - Østdanmark'!J84</f>
        <v>15655.11801472329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-518070170.56194645</v>
      </c>
      <c r="J85" s="282">
        <f>'Resultater - Vestdanmark'!J85+'Resultater - Østdanmark'!J85</f>
        <v>-854755568.52162635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-34973.233836315019</v>
      </c>
      <c r="J86" s="282">
        <f>'Resultater - Vestdanmark'!J86+'Resultater - Østdanmark'!J86</f>
        <v>-57701.771052315009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74625.88058269133</v>
      </c>
      <c r="J87" s="282">
        <f>'Resultater - Vestdanmark'!J87+'Resultater - Østdanmark'!J87</f>
        <v>123124.02953965908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343504.41336069477</v>
      </c>
      <c r="J88" s="282">
        <f>'Resultater - Vestdanmark'!J88+'Resultater - Østdanmark'!J88</f>
        <v>326908.83007308323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9967942.9800798073</v>
      </c>
      <c r="J89" s="282">
        <f>'Resultater - Vestdanmark'!J89+'Resultater - Østdanmark'!J89</f>
        <v>9486365.9711743183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195343.77170144278</v>
      </c>
      <c r="J90" s="282">
        <f>'Resultater - Vestdanmark'!J90+'Resultater - Østdanmark'!J90</f>
        <v>185906.21076511967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3731303.0466279737</v>
      </c>
      <c r="J91" s="282">
        <f>'Resultater - Vestdanmark'!J91+'Resultater - Østdanmark'!J91</f>
        <v>3551034.1823190562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42507.033653433064</v>
      </c>
      <c r="J92" s="282">
        <f>'Resultater - Vestdanmark'!J92+'Resultater - Østdanmark'!J92</f>
        <v>40453.409333433068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-2586204586.6692138</v>
      </c>
      <c r="J93" s="282">
        <f>'Resultater - Vestdanmark'!J93+'Resultater - Østdanmark'!J93</f>
        <v>-2461258379.4372134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-10817.013072585138</v>
      </c>
      <c r="J94" s="282">
        <f>'Resultater - Vestdanmark'!J94+'Resultater - Østdanmark'!J94</f>
        <v>-10294.415299785136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2797326.9329336165</v>
      </c>
      <c r="J95" s="282">
        <f>'Resultater - Vestdanmark'!J95+'Resultater - Østdanmark'!J95</f>
        <v>2662180.8611728661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21412.262565954799</v>
      </c>
      <c r="J96" s="282">
        <f>'Resultater - Vestdanmark'!J96+'Resultater - Østdanmark'!J96</f>
        <v>26390.173140597766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1157085.7271217881</v>
      </c>
      <c r="J97" s="282">
        <f>'Resultater - Vestdanmark'!J97+'Resultater - Østdanmark'!J97</f>
        <v>1426084.3562515329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9553.1632986567565</v>
      </c>
      <c r="J98" s="282">
        <f>'Resultater - Vestdanmark'!J98+'Resultater - Østdanmark'!J98</f>
        <v>11774.077247343617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441971.06065624644</v>
      </c>
      <c r="J99" s="282">
        <f>'Resultater - Vestdanmark'!J99+'Resultater - Østdanmark'!J99</f>
        <v>544720.24046618456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8833.5743465669384</v>
      </c>
      <c r="J100" s="282">
        <f>'Resultater - Vestdanmark'!J100+'Resultater - Østdanmark'!J100</f>
        <v>10887.198666566937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-537450594.13078606</v>
      </c>
      <c r="J101" s="282">
        <f>'Resultater - Vestdanmark'!J101+'Resultater - Østdanmark'!J101</f>
        <v>-662396801.36278594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-2709.8349283905177</v>
      </c>
      <c r="J102" s="282">
        <f>'Resultater - Vestdanmark'!J102+'Resultater - Østdanmark'!J102</f>
        <v>-3339.8158051905179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486132.10955144238</v>
      </c>
      <c r="J103" s="282">
        <f>'Resultater - Vestdanmark'!J103+'Resultater - Østdanmark'!J103</f>
        <v>599147.82479198219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82323881.005690798</v>
      </c>
      <c r="J104" s="282">
        <f>'Resultater - Vestdanmark'!J104+'Resultater - Østdanmark'!J104</f>
        <v>78386096.171160832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5239.8247641809012</v>
      </c>
      <c r="J105" s="282">
        <f>'Resultater - Vestdanmark'!J105+'Resultater - Østdanmark'!J105</f>
        <v>4989.1890769425909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116133.63423732575</v>
      </c>
      <c r="J106" s="282">
        <f>'Resultater - Vestdanmark'!J106+'Resultater - Østdanmark'!J106</f>
        <v>110578.63296561723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171561.69845929107</v>
      </c>
      <c r="J107" s="282">
        <f>'Resultater - Vestdanmark'!J107+'Resultater - Østdanmark'!J107</f>
        <v>163355.41559062383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7245.7392422613466</v>
      </c>
      <c r="J108" s="282">
        <f>'Resultater - Vestdanmark'!J108+'Resultater - Østdanmark'!J108</f>
        <v>6899.1549734613482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-285090575.83192879</v>
      </c>
      <c r="J109" s="282">
        <f>'Resultater - Vestdanmark'!J109+'Resultater - Østdanmark'!J109</f>
        <v>-271453884.60376883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-6757.0168947177917</v>
      </c>
      <c r="J110" s="282">
        <f>'Resultater - Vestdanmark'!J110+'Resultater - Østdanmark'!J110</f>
        <v>-6433.8096026217927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11008.392730152173</v>
      </c>
      <c r="J111" s="282">
        <f>'Resultater - Vestdanmark'!J111+'Resultater - Østdanmark'!J111</f>
        <v>10481.830067947913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1128905.9256907196</v>
      </c>
      <c r="J112" s="282">
        <f>'Resultater - Vestdanmark'!J112+'Resultater - Østdanmark'!J112</f>
        <v>1404661.7950289082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1994.5176843777681</v>
      </c>
      <c r="J113" s="282">
        <f>'Resultater - Vestdanmark'!J113+'Resultater - Østdanmark'!J113</f>
        <v>2481.7150189381882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7510.1592646289591</v>
      </c>
      <c r="J114" s="282">
        <f>'Resultater - Vestdanmark'!J114+'Resultater - Østdanmark'!J114</f>
        <v>9344.6526885330713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13826.644973337128</v>
      </c>
      <c r="J115" s="282">
        <f>'Resultater - Vestdanmark'!J115+'Resultater - Østdanmark'!J115</f>
        <v>17204.05527643234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1418.8674777386532</v>
      </c>
      <c r="J116" s="282">
        <f>'Resultater - Vestdanmark'!J116+'Resultater - Østdanmark'!J116</f>
        <v>1765.451746538653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-55826704.872071199</v>
      </c>
      <c r="J117" s="282">
        <f>'Resultater - Vestdanmark'!J117+'Resultater - Østdanmark'!J117</f>
        <v>-69463396.1002312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-2492.2636103603218</v>
      </c>
      <c r="J118" s="282">
        <f>'Resultater - Vestdanmark'!J118+'Resultater - Østdanmark'!J118</f>
        <v>-3101.0444687603213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2371.2412074498138</v>
      </c>
      <c r="J119" s="282">
        <f>'Resultater - Vestdanmark'!J119+'Resultater - Østdanmark'!J119</f>
        <v>2950.4601358745017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6117612.5009897444</v>
      </c>
      <c r="J120" s="282">
        <f>'Resultater - Vestdanmark'!J120+'Resultater - Østdanmark'!J120</f>
        <v>6094346.0644214675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2683486.8715176973</v>
      </c>
      <c r="J121" s="282">
        <f>'Resultater - Vestdanmark'!J121+'Resultater - Østdanmark'!J121</f>
        <v>2491962.8698767768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-130253422.63695242</v>
      </c>
      <c r="J122" s="282">
        <f>'Resultater - Vestdanmark'!J122+'Resultater - Østdanmark'!J122</f>
        <v>-120957063.86000556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1850977.9587208868</v>
      </c>
      <c r="J123" s="282">
        <f>'Resultater - Vestdanmark'!J123+'Resultater - Østdanmark'!J123</f>
        <v>1718871.2175379612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127603.5504552457</v>
      </c>
      <c r="J124" s="282">
        <f>'Resultater - Vestdanmark'!J124+'Resultater - Østdanmark'!J124</f>
        <v>130558.04988182031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55973.217059808674</v>
      </c>
      <c r="J125" s="282">
        <f>'Resultater - Vestdanmark'!J125+'Resultater - Østdanmark'!J125</f>
        <v>53384.860201551623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-1839551.9681352002</v>
      </c>
      <c r="J126" s="282">
        <f>'Resultater - Vestdanmark'!J126+'Resultater - Østdanmark'!J126</f>
        <v>-1754485.9811694103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226288.86805788055</v>
      </c>
      <c r="J127" s="282">
        <f>'Resultater - Vestdanmark'!J127+'Resultater - Østdanmark'!J127</f>
        <v>215824.64294537739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82931.152170524088</v>
      </c>
      <c r="J128" s="282">
        <f>'Resultater - Vestdanmark'!J128+'Resultater - Østdanmark'!J128</f>
        <v>84851.318503348171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36377.697680824538</v>
      </c>
      <c r="J129" s="282">
        <f>'Resultater - Vestdanmark'!J129+'Resultater - Østdanmark'!J129</f>
        <v>34695.492007722816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-788273.37897699536</v>
      </c>
      <c r="J130" s="282">
        <f>'Resultater - Vestdanmark'!J130+'Resultater - Østdanmark'!J130</f>
        <v>-751821.43081620929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322811.30493890942</v>
      </c>
      <c r="J131" s="282">
        <f>'Resultater - Vestdanmark'!J131+'Resultater - Østdanmark'!J131</f>
        <v>307883.61453711009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639697.16845609527</v>
      </c>
      <c r="J132" s="282">
        <f>'Resultater - Vestdanmark'!J132+'Resultater - Østdanmark'!J132</f>
        <v>866135.84976171737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280602.76014887379</v>
      </c>
      <c r="J133" s="282">
        <f>'Resultater - Vestdanmark'!J133+'Resultater - Østdanmark'!J133</f>
        <v>354160.78362794197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-13620141.130072078</v>
      </c>
      <c r="J134" s="282">
        <f>'Resultater - Vestdanmark'!J134+'Resultater - Østdanmark'!J134</f>
        <v>-17190564.530406848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288880.95309516735</v>
      </c>
      <c r="J135" s="282">
        <f>'Resultater - Vestdanmark'!J135+'Resultater - Østdanmark'!J135</f>
        <v>364609.04614441597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13343.053339510952</v>
      </c>
      <c r="J136" s="282">
        <f>'Resultater - Vestdanmark'!J136+'Resultater - Østdanmark'!J136</f>
        <v>18555.068301385974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5852.9219457337513</v>
      </c>
      <c r="J137" s="282">
        <f>'Resultater - Vestdanmark'!J137+'Resultater - Østdanmark'!J137</f>
        <v>7587.1210407659737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-192355.46302639175</v>
      </c>
      <c r="J138" s="282">
        <f>'Resultater - Vestdanmark'!J138+'Resultater - Østdanmark'!J138</f>
        <v>-249349.67429347077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35316.75975469812</v>
      </c>
      <c r="J139" s="282">
        <f>'Resultater - Vestdanmark'!J139+'Resultater - Østdanmark'!J139</f>
        <v>45780.984867201259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8671.8181662704101</v>
      </c>
      <c r="J140" s="282">
        <f>'Resultater - Vestdanmark'!J140+'Resultater - Østdanmark'!J140</f>
        <v>12059.172235778879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3803.8875783012481</v>
      </c>
      <c r="J141" s="282">
        <f>'Resultater - Vestdanmark'!J141+'Resultater - Østdanmark'!J141</f>
        <v>4930.9653792793943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-82426.967778577149</v>
      </c>
      <c r="J142" s="282">
        <f>'Resultater - Vestdanmark'!J142+'Resultater - Østdanmark'!J142</f>
        <v>-106849.77304630369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50380.955106072579</v>
      </c>
      <c r="J143" s="282">
        <f>'Resultater - Vestdanmark'!J143+'Resultater - Østdanmark'!J143</f>
        <v>65308.645507871843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232685.95138726168</v>
      </c>
      <c r="J144" s="282">
        <f>'Resultater - Vestdanmark'!J144+'Resultater - Østdanmark'!J144</f>
        <v>231801.00273655762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-2105759.0783390985</v>
      </c>
      <c r="J145" s="282">
        <f>'Resultater - Vestdanmark'!J145+'Resultater - Østdanmark'!J145</f>
        <v>-1955468.2722033095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23939.262778504915</v>
      </c>
      <c r="J146" s="282">
        <f>'Resultater - Vestdanmark'!J146+'Resultater - Østdanmark'!J146</f>
        <v>22230.685981525952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1585.3494883221538</v>
      </c>
      <c r="J147" s="282">
        <f>'Resultater - Vestdanmark'!J147+'Resultater - Østdanmark'!J147</f>
        <v>1622.0562581373943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-11657.002911845626</v>
      </c>
      <c r="J148" s="282">
        <f>'Resultater - Vestdanmark'!J148+'Resultater - Østdanmark'!J148</f>
        <v>-11117.950754072415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955.97552721601687</v>
      </c>
      <c r="J149" s="282">
        <f>'Resultater - Vestdanmark'!J149+'Resultater - Østdanmark'!J149</f>
        <v>911.76856641990037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522.34073106488052</v>
      </c>
      <c r="J150" s="282">
        <f>'Resultater - Vestdanmark'!J150+'Resultater - Østdanmark'!J150</f>
        <v>534.43487252804482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-3207.6574313853434</v>
      </c>
      <c r="J151" s="282">
        <f>'Resultater - Vestdanmark'!J151+'Resultater - Østdanmark'!J151</f>
        <v>-3059.3264518993165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691.36319350361066</v>
      </c>
      <c r="J152" s="282">
        <f>'Resultater - Vestdanmark'!J152+'Resultater - Østdanmark'!J152</f>
        <v>659.39264120286578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20699.634634970847</v>
      </c>
      <c r="J153" s="282">
        <f>'Resultater - Vestdanmark'!J153+'Resultater - Østdanmark'!J153</f>
        <v>28026.848512692872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-187327.35384762267</v>
      </c>
      <c r="J154" s="282">
        <f>'Resultater - Vestdanmark'!J154+'Resultater - Østdanmark'!J154</f>
        <v>-236433.89109367284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3736.1855203446976</v>
      </c>
      <c r="J155" s="282">
        <f>'Resultater - Vestdanmark'!J155+'Resultater - Østdanmark'!J155</f>
        <v>4715.6000566873226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141.03195737154883</v>
      </c>
      <c r="J156" s="282">
        <f>'Resultater - Vestdanmark'!J156+'Resultater - Østdanmark'!J156</f>
        <v>196.12134757479404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-1037.0015885162093</v>
      </c>
      <c r="J157" s="282">
        <f>'Resultater - Vestdanmark'!J157+'Resultater - Østdanmark'!J157</f>
        <v>-1344.2613184469374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149.19849268689282</v>
      </c>
      <c r="J158" s="282">
        <f>'Resultater - Vestdanmark'!J158+'Resultater - Østdanmark'!J158</f>
        <v>193.40545348300918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46.467189890685042</v>
      </c>
      <c r="J159" s="282">
        <f>'Resultater - Vestdanmark'!J159+'Resultater - Østdanmark'!J159</f>
        <v>64.618034587481787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-285.35172178624532</v>
      </c>
      <c r="J160" s="282">
        <f>'Resultater - Vestdanmark'!J160+'Resultater - Østdanmark'!J160</f>
        <v>-369.90038009328094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107.9006140150144</v>
      </c>
      <c r="J161" s="282">
        <f>'Resultater - Vestdanmark'!J161+'Resultater - Østdanmark'!J161</f>
        <v>139.87116631575941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26029.289420792691</v>
      </c>
      <c r="J162" s="282">
        <f>'Resultater - Vestdanmark'!J162+'Resultater - Østdanmark'!J162</f>
        <v>24176.272688948411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-22271460.33281637</v>
      </c>
      <c r="J163" s="282">
        <f>'Resultater - Vestdanmark'!J163+'Resultater - Østdanmark'!J163</f>
        <v>-20685962.243638869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4822.713706133376</v>
      </c>
      <c r="J164" s="282">
        <f>'Resultater - Vestdanmark'!J164+'Resultater - Østdanmark'!J164</f>
        <v>4479.3862704170097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2315.5535502080893</v>
      </c>
      <c r="J165" s="282">
        <f>'Resultater - Vestdanmark'!J165+'Resultater - Østdanmark'!J165</f>
        <v>2923.1311523910349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-1981258.81226615</v>
      </c>
      <c r="J166" s="282">
        <f>'Resultater - Vestdanmark'!J166+'Resultater - Østdanmark'!J166</f>
        <v>-2501120.8894581543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752.67786165087364</v>
      </c>
      <c r="J167" s="282">
        <f>'Resultater - Vestdanmark'!J167+'Resultater - Østdanmark'!J167</f>
        <v>950.17284523997171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2016247.2669476147</v>
      </c>
      <c r="J168" s="282">
        <f>'Resultater - Vestdanmark'!J168+'Resultater - Østdanmark'!J168</f>
        <v>2008579.0975212562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-6642763.743490356</v>
      </c>
      <c r="J169" s="282">
        <f>'Resultater - Vestdanmark'!J169+'Resultater - Østdanmark'!J169</f>
        <v>-6168660.9231590796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100690.76338740437</v>
      </c>
      <c r="J170" s="282">
        <f>'Resultater - Vestdanmark'!J170+'Resultater - Østdanmark'!J170</f>
        <v>93504.33063942974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43355.708806344126</v>
      </c>
      <c r="J171" s="282">
        <f>'Resultater - Vestdanmark'!J171+'Resultater - Østdanmark'!J171</f>
        <v>44359.555614290162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-95226.987699153411</v>
      </c>
      <c r="J172" s="282">
        <f>'Resultater - Vestdanmark'!J172+'Resultater - Østdanmark'!J172</f>
        <v>-90823.427574337082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12690.340690176325</v>
      </c>
      <c r="J173" s="282">
        <f>'Resultater - Vestdanmark'!J173+'Resultater - Østdanmark'!J173</f>
        <v>12103.50412646875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47229.45648169679</v>
      </c>
      <c r="J174" s="282">
        <f>'Resultater - Vestdanmark'!J174+'Resultater - Østdanmark'!J174</f>
        <v>48322.995036029904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-66686.999503147963</v>
      </c>
      <c r="J175" s="282">
        <f>'Resultater - Vestdanmark'!J175+'Resultater - Østdanmark'!J175</f>
        <v>-63603.207618609318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30343.840243750776</v>
      </c>
      <c r="J176" s="282">
        <f>'Resultater - Vestdanmark'!J176+'Resultater - Østdanmark'!J176</f>
        <v>28940.656879877901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179364.42449898148</v>
      </c>
      <c r="J177" s="282">
        <f>'Resultater - Vestdanmark'!J177+'Resultater - Østdanmark'!J177</f>
        <v>242855.47270029731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-590937.19082263927</v>
      </c>
      <c r="J178" s="282">
        <f>'Resultater - Vestdanmark'!J178+'Resultater - Østdanmark'!J178</f>
        <v>-745847.18434559775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15714.74341884346</v>
      </c>
      <c r="J179" s="282">
        <f>'Resultater - Vestdanmark'!J179+'Resultater - Østdanmark'!J179</f>
        <v>19834.251953818432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3856.9038065296895</v>
      </c>
      <c r="J180" s="282">
        <f>'Resultater - Vestdanmark'!J180+'Resultater - Østdanmark'!J180</f>
        <v>5363.4735424550836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-8471.3487901154422</v>
      </c>
      <c r="J181" s="282">
        <f>'Resultater - Vestdanmark'!J181+'Resultater - Østdanmark'!J181</f>
        <v>-10981.378061260753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1980.5734025130682</v>
      </c>
      <c r="J182" s="282">
        <f>'Resultater - Vestdanmark'!J182+'Resultater - Østdanmark'!J182</f>
        <v>2567.4099662206436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4201.5106084006566</v>
      </c>
      <c r="J183" s="282">
        <f>'Resultater - Vestdanmark'!J183+'Resultater - Østdanmark'!J183</f>
        <v>5842.6893998108899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-5932.4446378811972</v>
      </c>
      <c r="J184" s="282">
        <f>'Resultater - Vestdanmark'!J184+'Resultater - Østdanmark'!J184</f>
        <v>-7690.206012068219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4735.7438530709296</v>
      </c>
      <c r="J185" s="282">
        <f>'Resultater - Vestdanmark'!J185+'Resultater - Østdanmark'!J185</f>
        <v>6138.9272169437982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27001790.799678013</v>
      </c>
      <c r="J186" s="282">
        <f>'Resultater - Vestdanmark'!J186+'Resultater - Østdanmark'!J186</f>
        <v>26899097.885936093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-78681516.351699993</v>
      </c>
      <c r="J187" s="282">
        <f>'Resultater - Vestdanmark'!J187+'Resultater - Østdanmark'!J187</f>
        <v>-73065912.628499985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1154178.8422843576</v>
      </c>
      <c r="J188" s="282">
        <f>'Resultater - Vestdanmark'!J188+'Resultater - Østdanmark'!J188</f>
        <v>1071803.5741845497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706275.10349806701</v>
      </c>
      <c r="J189" s="282">
        <f>'Resultater - Vestdanmark'!J189+'Resultater - Østdanmark'!J189</f>
        <v>722628.01359221688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-1438415.8449795046</v>
      </c>
      <c r="J190" s="282">
        <f>'Resultater - Vestdanmark'!J190+'Resultater - Østdanmark'!J190</f>
        <v>-1371899.5053272732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176943.89666354295</v>
      </c>
      <c r="J191" s="282">
        <f>'Resultater - Vestdanmark'!J191+'Resultater - Østdanmark'!J191</f>
        <v>168761.51993921725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925748.63193456724</v>
      </c>
      <c r="J192" s="282">
        <f>'Resultater - Vestdanmark'!J192+'Resultater - Østdanmark'!J192</f>
        <v>947183.17503658065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-1305277.3352684232</v>
      </c>
      <c r="J193" s="282">
        <f>'Resultater - Vestdanmark'!J193+'Resultater - Østdanmark'!J193</f>
        <v>-1244917.6897068778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509079.2237973173</v>
      </c>
      <c r="J194" s="282">
        <f>'Resultater - Vestdanmark'!J194+'Resultater - Østdanmark'!J194</f>
        <v>485537.98801478231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3287038.8106428846</v>
      </c>
      <c r="J195" s="282">
        <f>'Resultater - Vestdanmark'!J195+'Resultater - Østdanmark'!J195</f>
        <v>4450578.0138548817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-9578223.8980740011</v>
      </c>
      <c r="J196" s="282">
        <f>'Resultater - Vestdanmark'!J196+'Resultater - Østdanmark'!J196</f>
        <v>-12089087.36217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180131.95804437954</v>
      </c>
      <c r="J197" s="282">
        <f>'Resultater - Vestdanmark'!J197+'Resultater - Østdanmark'!J197</f>
        <v>227352.27331187419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85977.766934504587</v>
      </c>
      <c r="J198" s="282">
        <f>'Resultater - Vestdanmark'!J198+'Resultater - Østdanmark'!J198</f>
        <v>119562.08952162138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-175104.26413449924</v>
      </c>
      <c r="J199" s="282">
        <f>'Resultater - Vestdanmark'!J199+'Resultater - Østdanmark'!J199</f>
        <v>-226987.00906323979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27615.521444599188</v>
      </c>
      <c r="J200" s="282">
        <f>'Resultater - Vestdanmark'!J200+'Resultater - Østdanmark'!J200</f>
        <v>35797.898168924876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112695.18028058953</v>
      </c>
      <c r="J201" s="282">
        <f>'Resultater - Vestdanmark'!J201+'Resultater - Østdanmark'!J201</f>
        <v>156715.7616878706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-158896.76694076881</v>
      </c>
      <c r="J202" s="282">
        <f>'Resultater - Vestdanmark'!J202+'Resultater - Østdanmark'!J202</f>
        <v>-205977.29047877432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79451.670766055307</v>
      </c>
      <c r="J203" s="282">
        <f>'Resultater - Vestdanmark'!J203+'Resultater - Østdanmark'!J203</f>
        <v>102992.9065485902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259226.00461819075</v>
      </c>
      <c r="J204" s="282">
        <f>'Resultater - Vestdanmark'!J204+'Resultater - Østdanmark'!J204</f>
        <v>258240.11912898702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103425.67313497387</v>
      </c>
      <c r="J205" s="282">
        <f>'Resultater - Vestdanmark'!J205+'Resultater - Østdanmark'!J205</f>
        <v>96044.046266789126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142438.88393350772</v>
      </c>
      <c r="J207" s="282">
        <f>'Resultater - Vestdanmark'!J207+'Resultater - Østdanmark'!J207</f>
        <v>132272.83269257762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5512.5244914058194</v>
      </c>
      <c r="J208" s="282">
        <f>'Resultater - Vestdanmark'!J208+'Resultater - Østdanmark'!J208</f>
        <v>5640.1600500617624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2199.3802552194566</v>
      </c>
      <c r="J209" s="282">
        <f>'Resultater - Vestdanmark'!J209+'Resultater - Østdanmark'!J209</f>
        <v>2097.674809891389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17753.405668355132</v>
      </c>
      <c r="J211" s="282">
        <f>'Resultater - Vestdanmark'!J211+'Resultater - Østdanmark'!J211</f>
        <v>16932.438932246223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2388.921498273121</v>
      </c>
      <c r="J212" s="282">
        <f>'Resultater - Vestdanmark'!J212+'Resultater - Østdanmark'!J212</f>
        <v>2444.2339654544721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953.12896709348797</v>
      </c>
      <c r="J213" s="282">
        <f>'Resultater - Vestdanmark'!J213+'Resultater - Østdanmark'!J213</f>
        <v>909.05363913540759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16887.432586074348</v>
      </c>
      <c r="J215" s="282">
        <f>'Resultater - Vestdanmark'!J215+'Resultater - Østdanmark'!J215</f>
        <v>16106.510847989985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23060.625497537319</v>
      </c>
      <c r="J216" s="282">
        <f>'Resultater - Vestdanmark'!J216+'Resultater - Østdanmark'!J216</f>
        <v>31223.578040141154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9200.7000551864039</v>
      </c>
      <c r="J217" s="282">
        <f>'Resultater - Vestdanmark'!J217+'Resultater - Østdanmark'!J217</f>
        <v>11612.59832134814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22230.346047426061</v>
      </c>
      <c r="J219" s="282">
        <f>'Resultater - Vestdanmark'!J219+'Resultater - Østdanmark'!J219</f>
        <v>28057.87360145586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490.39162961118819</v>
      </c>
      <c r="J220" s="282">
        <f>'Resultater - Vestdanmark'!J220+'Resultater - Østdanmark'!J220</f>
        <v>681.94662423474017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195.65585044986958</v>
      </c>
      <c r="J221" s="282">
        <f>'Resultater - Vestdanmark'!J221+'Resultater - Østdanmark'!J221</f>
        <v>253.62795428686786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2770.762734367564</v>
      </c>
      <c r="J223" s="282">
        <f>'Resultater - Vestdanmark'!J223+'Resultater - Østdanmark'!J223</f>
        <v>3591.7294704764709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212.51735178279381</v>
      </c>
      <c r="J224" s="282">
        <f>'Resultater - Vestdanmark'!J224+'Resultater - Østdanmark'!J224</f>
        <v>295.53010673222258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84.789912159357115</v>
      </c>
      <c r="J225" s="282">
        <f>'Resultater - Vestdanmark'!J225+'Resultater - Østdanmark'!J225</f>
        <v>109.9128490954629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2635.6108660347249</v>
      </c>
      <c r="J227" s="282">
        <f>'Resultater - Vestdanmark'!J227+'Resultater - Østdanmark'!J227</f>
        <v>3416.5326041190874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5895505.4827213306</v>
      </c>
      <c r="J228" s="282">
        <f>'Resultater - Vestdanmark'!J228+'Resultater - Østdanmark'!J228</f>
        <v>5873083.7611216912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-9137275.4427739233</v>
      </c>
      <c r="J229" s="282">
        <f>'Resultater - Vestdanmark'!J229+'Resultater - Østdanmark'!J229</f>
        <v>-8485136.0283911619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153891.64228443176</v>
      </c>
      <c r="J230" s="282">
        <f>'Resultater - Vestdanmark'!J230+'Resultater - Østdanmark'!J230</f>
        <v>142908.19255630323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7419.9074191128602</v>
      </c>
      <c r="J231" s="282">
        <f>'Resultater - Vestdanmark'!J231+'Resultater - Østdanmark'!J231</f>
        <v>7591.7060261014194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-7453.6404662515524</v>
      </c>
      <c r="J232" s="282">
        <f>'Resultater - Vestdanmark'!J232+'Resultater - Østdanmark'!J232</f>
        <v>-7108.9634504711339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1135.2032405849204</v>
      </c>
      <c r="J233" s="282">
        <f>'Resultater - Vestdanmark'!J233+'Resultater - Østdanmark'!J233</f>
        <v>1082.7082930434212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3539.4450210289142</v>
      </c>
      <c r="J234" s="282">
        <f>'Resultater - Vestdanmark'!J234+'Resultater - Østdanmark'!J234</f>
        <v>3621.3964106862882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-2176.8589975953914</v>
      </c>
      <c r="J235" s="282">
        <f>'Resultater - Vestdanmark'!J235+'Resultater - Østdanmark'!J235</f>
        <v>-2076.1949977065869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1188.6141913418296</v>
      </c>
      <c r="J236" s="282">
        <f>'Resultater - Vestdanmark'!J236+'Resultater - Østdanmark'!J236</f>
        <v>1133.6493732450974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524461.44149757968</v>
      </c>
      <c r="J237" s="282">
        <f>'Resultater - Vestdanmark'!J237+'Resultater - Østdanmark'!J237</f>
        <v>710109.21839016816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-812847.79805948352</v>
      </c>
      <c r="J238" s="282">
        <f>'Resultater - Vestdanmark'!J238+'Resultater - Østdanmark'!J238</f>
        <v>-1025930.0834327494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24017.77076115409</v>
      </c>
      <c r="J239" s="282">
        <f>'Resultater - Vestdanmark'!J239+'Resultater - Østdanmark'!J239</f>
        <v>30313.859027094626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660.07153283321907</v>
      </c>
      <c r="J240" s="282">
        <f>'Resultater - Vestdanmark'!J240+'Resultater - Østdanmark'!J240</f>
        <v>917.9062740649897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-663.07240910758037</v>
      </c>
      <c r="J241" s="282">
        <f>'Resultater - Vestdanmark'!J241+'Resultater - Østdanmark'!J241</f>
        <v>-859.5383081024188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177.17044795255987</v>
      </c>
      <c r="J242" s="282">
        <f>'Resultater - Vestdanmark'!J242+'Resultater - Østdanmark'!J242</f>
        <v>229.66539549405906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314.86739233315024</v>
      </c>
      <c r="J243" s="282">
        <f>'Resultater - Vestdanmark'!J243+'Resultater - Østdanmark'!J243</f>
        <v>437.85974783752397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-193.65236978608712</v>
      </c>
      <c r="J244" s="282">
        <f>'Resultater - Vestdanmark'!J244+'Resultater - Østdanmark'!J244</f>
        <v>-251.03084972270551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185.50626107647051</v>
      </c>
      <c r="J245" s="282">
        <f>'Resultater - Vestdanmark'!J245+'Resultater - Østdanmark'!J245</f>
        <v>240.47107917320253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37368.593812366278</v>
      </c>
      <c r="J246" s="282">
        <f>'Resultater - Vestdanmark'!J246+'Resultater - Østdanmark'!J246</f>
        <v>37226.473987444311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-574820.58938207361</v>
      </c>
      <c r="J247" s="282">
        <f>'Resultater - Vestdanmark'!J247+'Resultater - Østdanmark'!J247</f>
        <v>-533794.88485094521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8070.8685347358205</v>
      </c>
      <c r="J248" s="282">
        <f>'Resultater - Vestdanmark'!J248+'Resultater - Østdanmark'!J248</f>
        <v>7494.8399896003784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615.8085437161526</v>
      </c>
      <c r="J249" s="282">
        <f>'Resultater - Vestdanmark'!J249+'Resultater - Østdanmark'!J249</f>
        <v>630.06681460907134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-7893.8709830065436</v>
      </c>
      <c r="J250" s="282">
        <f>'Resultater - Vestdanmark'!J250+'Resultater - Østdanmark'!J250</f>
        <v>-7528.8364866825405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601.15742712269844</v>
      </c>
      <c r="J251" s="282">
        <f>'Resultater - Vestdanmark'!J251+'Resultater - Østdanmark'!J251</f>
        <v>573.35823974130199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455.5440653732993</v>
      </c>
      <c r="J252" s="282">
        <f>'Resultater - Vestdanmark'!J252+'Resultater - Østdanmark'!J252</f>
        <v>466.09161420813308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-5005.2747017265629</v>
      </c>
      <c r="J253" s="282">
        <f>'Resultater - Vestdanmark'!J253+'Resultater - Østdanmark'!J253</f>
        <v>-4773.8169120513467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1018.9914983851248</v>
      </c>
      <c r="J254" s="282">
        <f>'Resultater - Vestdanmark'!J254+'Resultater - Østdanmark'!J254</f>
        <v>971.87050424014797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3324.2928252735092</v>
      </c>
      <c r="J255" s="282">
        <f>'Resultater - Vestdanmark'!J255+'Resultater - Østdanmark'!J255</f>
        <v>4501.0191275728121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-51135.773818439964</v>
      </c>
      <c r="J256" s="282">
        <f>'Resultater - Vestdanmark'!J256+'Resultater - Østdanmark'!J256</f>
        <v>-64540.654259250652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1259.6153204500993</v>
      </c>
      <c r="J257" s="282">
        <f>'Resultater - Vestdanmark'!J257+'Resultater - Østdanmark'!J257</f>
        <v>1589.8145432485653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54.782043282032305</v>
      </c>
      <c r="J258" s="282">
        <f>'Resultater - Vestdanmark'!J258+'Resultater - Østdanmark'!J258</f>
        <v>76.180805766369517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-702.23511230329893</v>
      </c>
      <c r="J259" s="282">
        <f>'Resultater - Vestdanmark'!J259+'Resultater - Østdanmark'!J259</f>
        <v>-910.30477520797979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93.822257412213062</v>
      </c>
      <c r="J260" s="282">
        <f>'Resultater - Vestdanmark'!J260+'Resultater - Østdanmark'!J260</f>
        <v>121.6214447936095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40.524989399393505</v>
      </c>
      <c r="J261" s="282">
        <f>'Resultater - Vestdanmark'!J261+'Resultater - Østdanmark'!J261</f>
        <v>56.354713354256091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-445.26692288769829</v>
      </c>
      <c r="J262" s="282">
        <f>'Resultater - Vestdanmark'!J262+'Resultater - Østdanmark'!J262</f>
        <v>-577.19786300257181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159.03335523929695</v>
      </c>
      <c r="J263" s="282">
        <f>'Resultater - Vestdanmark'!J263+'Resultater - Østdanmark'!J263</f>
        <v>206.15434938427381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1160740.5779352796</v>
      </c>
      <c r="J264" s="282">
        <f>'Resultater - Vestdanmark'!J264+'Resultater - Østdanmark'!J264</f>
        <v>1156326.0621377544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-5163288.3186839549</v>
      </c>
      <c r="J265" s="282">
        <f>'Resultater - Vestdanmark'!J265+'Resultater - Østdanmark'!J265</f>
        <v>-4794777.6131104687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82625.733029174298</v>
      </c>
      <c r="J266" s="282">
        <f>'Resultater - Vestdanmark'!J266+'Resultater - Østdanmark'!J266</f>
        <v>76728.62535325269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33514.846017662872</v>
      </c>
      <c r="J267" s="282">
        <f>'Resultater - Vestdanmark'!J267+'Resultater - Østdanmark'!J267</f>
        <v>34290.840047512778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-109298.46627893313</v>
      </c>
      <c r="J268" s="282">
        <f>'Resultater - Vestdanmark'!J268+'Resultater - Østdanmark'!J268</f>
        <v>-104244.20194233507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13982.941340540916</v>
      </c>
      <c r="J269" s="282">
        <f>'Resultater - Vestdanmark'!J269+'Resultater - Østdanmark'!J269</f>
        <v>13336.331336354053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24547.175218188691</v>
      </c>
      <c r="J270" s="282">
        <f>'Resultater - Vestdanmark'!J270+'Resultater - Østdanmark'!J270</f>
        <v>25115.534130205029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-59239.322330365954</v>
      </c>
      <c r="J271" s="282">
        <f>'Resultater - Vestdanmark'!J271+'Resultater - Østdanmark'!J271</f>
        <v>-56499.931702372152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22479.85132920558</v>
      </c>
      <c r="J272" s="282">
        <f>'Resultater - Vestdanmark'!J272+'Resultater - Østdanmark'!J272</f>
        <v>21440.320631901275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103258.9450544737</v>
      </c>
      <c r="J273" s="282">
        <f>'Resultater - Vestdanmark'!J273+'Resultater - Østdanmark'!J273</f>
        <v>139810.33296756484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-459323.74118234706</v>
      </c>
      <c r="J274" s="282">
        <f>'Resultater - Vestdanmark'!J274+'Resultater - Østdanmark'!J274</f>
        <v>-579732.2023124476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12895.345617269975</v>
      </c>
      <c r="J275" s="282">
        <f>'Resultater - Vestdanmark'!J275+'Resultater - Østdanmark'!J275</f>
        <v>16275.769014326328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2981.4652035365989</v>
      </c>
      <c r="J276" s="282">
        <f>'Resultater - Vestdanmark'!J276+'Resultater - Østdanmark'!J276</f>
        <v>4146.0742966538164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-9723.1410175305264</v>
      </c>
      <c r="J277" s="282">
        <f>'Resultater - Vestdanmark'!J277+'Resultater - Østdanmark'!J277</f>
        <v>-12604.071689391423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2182.3087641306633</v>
      </c>
      <c r="J278" s="282">
        <f>'Resultater - Vestdanmark'!J278+'Resultater - Østdanmark'!J278</f>
        <v>2828.9187683175264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2183.7053561151674</v>
      </c>
      <c r="J279" s="282">
        <f>'Resultater - Vestdanmark'!J279+'Resultater - Østdanmark'!J279</f>
        <v>3036.6963993793343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-5269.9027206030751</v>
      </c>
      <c r="J280" s="282">
        <f>'Resultater - Vestdanmark'!J280+'Resultater - Østdanmark'!J280</f>
        <v>-6831.3553785595395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3508.4161034020271</v>
      </c>
      <c r="J281" s="282">
        <f>'Resultater - Vestdanmark'!J281+'Resultater - Østdanmark'!J281</f>
        <v>4547.9468007063306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6538656.3127026604</v>
      </c>
      <c r="J282" s="282">
        <f>'Resultater - Vestdanmark'!J282+'Resultater - Østdanmark'!J282</f>
        <v>6513788.566941279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-21925833.579918846</v>
      </c>
      <c r="J283" s="282">
        <f>'Resultater - Vestdanmark'!J283+'Resultater - Østdanmark'!J283</f>
        <v>-20360957.883633468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311579.02695678157</v>
      </c>
      <c r="J284" s="282">
        <f>'Resultater - Vestdanmark'!J284+'Resultater - Østdanmark'!J284</f>
        <v>289341.22035391314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153453.82496259263</v>
      </c>
      <c r="J285" s="282">
        <f>'Resultater - Vestdanmark'!J285+'Resultater - Østdanmark'!J285</f>
        <v>157006.85492328065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-348407.45939507824</v>
      </c>
      <c r="J286" s="282">
        <f>'Resultater - Vestdanmark'!J286+'Resultater - Østdanmark'!J286</f>
        <v>-332296.13179299369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42858.658507678403</v>
      </c>
      <c r="J287" s="282">
        <f>'Resultater - Vestdanmark'!J287+'Resultater - Østdanmark'!J287</f>
        <v>40876.75522408633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66365.970991770519</v>
      </c>
      <c r="J288" s="282">
        <f>'Resultater - Vestdanmark'!J288+'Resultater - Østdanmark'!J288</f>
        <v>67902.591427014777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-99349.351718131846</v>
      </c>
      <c r="J289" s="282">
        <f>'Resultater - Vestdanmark'!J289+'Resultater - Østdanmark'!J289</f>
        <v>-94755.162043304925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40685.242871687507</v>
      </c>
      <c r="J290" s="282">
        <f>'Resultater - Vestdanmark'!J290+'Resultater - Østdanmark'!J290</f>
        <v>38803.844357389826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847001.66455298616</v>
      </c>
      <c r="J291" s="282">
        <f>'Resultater - Vestdanmark'!J291+'Resultater - Østdanmark'!J291</f>
        <v>1146821.5628463281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-2840219.251595268</v>
      </c>
      <c r="J292" s="282">
        <f>'Resultater - Vestdanmark'!J292+'Resultater - Østdanmark'!J292</f>
        <v>-3584762.5849669832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48627.940623312745</v>
      </c>
      <c r="J293" s="282">
        <f>'Resultater - Vestdanmark'!J293+'Resultater - Østdanmark'!J293</f>
        <v>61375.410378102795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19878.035938795954</v>
      </c>
      <c r="J294" s="282">
        <f>'Resultater - Vestdanmark'!J294+'Resultater - Østdanmark'!J294</f>
        <v>27642.722033462447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-45131.856445339326</v>
      </c>
      <c r="J295" s="282">
        <f>'Resultater - Vestdanmark'!J295+'Resultater - Østdanmark'!J295</f>
        <v>-58504.258355069491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6688.9235821232187</v>
      </c>
      <c r="J296" s="282">
        <f>'Resultater - Vestdanmark'!J296+'Resultater - Østdanmark'!J296</f>
        <v>8670.8268657152839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8596.8867625755938</v>
      </c>
      <c r="J297" s="282">
        <f>'Resultater - Vestdanmark'!J297+'Resultater - Østdanmark'!J297</f>
        <v>11954.971399725935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-12869.473826608873</v>
      </c>
      <c r="J298" s="282">
        <f>'Resultater - Vestdanmark'!J298+'Resultater - Østdanmark'!J298</f>
        <v>-16682.651256715202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6349.7199857546993</v>
      </c>
      <c r="J299" s="282">
        <f>'Resultater - Vestdanmark'!J299+'Resultater - Østdanmark'!J299</f>
        <v>8231.1185000523856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432411.76206732308</v>
      </c>
      <c r="J300" s="282">
        <f>'Resultater - Vestdanmark'!J300+'Resultater - Østdanmark'!J300</f>
        <v>430767.2184104817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310380.78625631024</v>
      </c>
      <c r="J301" s="282">
        <f>'Resultater - Vestdanmark'!J301+'Resultater - Østdanmark'!J301</f>
        <v>288228.49967454537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-16043092.427446898</v>
      </c>
      <c r="J302" s="282">
        <f>'Resultater - Vestdanmark'!J302+'Resultater - Østdanmark'!J302</f>
        <v>-14898075.735540375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208440.50793905521</v>
      </c>
      <c r="J303" s="282">
        <f>'Resultater - Vestdanmark'!J303+'Resultater - Østdanmark'!J303</f>
        <v>193563.83363582837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7524.9184400166405</v>
      </c>
      <c r="J304" s="282">
        <f>'Resultater - Vestdanmark'!J304+'Resultater - Østdanmark'!J304</f>
        <v>7699.1484448772626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5401.3102945227929</v>
      </c>
      <c r="J305" s="282">
        <f>'Resultater - Vestdanmark'!J305+'Resultater - Østdanmark'!J305</f>
        <v>5151.5387202095999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-192770.72976778267</v>
      </c>
      <c r="J306" s="282">
        <f>'Resultater - Vestdanmark'!J306+'Resultater - Østdanmark'!J306</f>
        <v>-183856.47636811645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21260.210989265601</v>
      </c>
      <c r="J307" s="282">
        <f>'Resultater - Vestdanmark'!J307+'Resultater - Østdanmark'!J307</f>
        <v>20277.079845253316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3979.7337616855807</v>
      </c>
      <c r="J308" s="282">
        <f>'Resultater - Vestdanmark'!J308+'Resultater - Østdanmark'!J308</f>
        <v>4071.879482356132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2856.6126141833251</v>
      </c>
      <c r="J309" s="282">
        <f>'Resultater - Vestdanmark'!J309+'Resultater - Østdanmark'!J309</f>
        <v>2724.5149210418995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-69306.882177057356</v>
      </c>
      <c r="J310" s="282">
        <f>'Resultater - Vestdanmark'!J310+'Resultater - Østdanmark'!J310</f>
        <v>-66101.939648638509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24680.297882418934</v>
      </c>
      <c r="J311" s="282">
        <f>'Resultater - Vestdanmark'!J311+'Resultater - Østdanmark'!J311</f>
        <v>23539.012431208808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37117.425819073687</v>
      </c>
      <c r="J312" s="282">
        <f>'Resultater - Vestdanmark'!J312+'Resultater - Østdanmark'!J312</f>
        <v>50256.175481222861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26642.512577492525</v>
      </c>
      <c r="J313" s="282">
        <f>'Resultater - Vestdanmark'!J313+'Resultater - Østdanmark'!J313</f>
        <v>33626.658295363617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-1377109.3788877833</v>
      </c>
      <c r="J314" s="282">
        <f>'Resultater - Vestdanmark'!J314+'Resultater - Østdanmark'!J314</f>
        <v>-1738108.8358130436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32531.177539621334</v>
      </c>
      <c r="J315" s="282">
        <f>'Resultater - Vestdanmark'!J315+'Resultater - Østdanmark'!J315</f>
        <v>41058.995013660548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645.92507996674658</v>
      </c>
      <c r="J316" s="282">
        <f>'Resultater - Vestdanmark'!J316+'Resultater - Østdanmark'!J316</f>
        <v>898.23398523568062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463.63848481886413</v>
      </c>
      <c r="J317" s="282">
        <f>'Resultater - Vestdanmark'!J317+'Resultater - Østdanmark'!J317</f>
        <v>601.01285069111998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-16547.082873130483</v>
      </c>
      <c r="J318" s="282">
        <f>'Resultater - Vestdanmark'!J318+'Resultater - Østdanmark'!J318</f>
        <v>-21449.922242946916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3318.0676110414529</v>
      </c>
      <c r="J319" s="282">
        <f>'Resultater - Vestdanmark'!J319+'Resultater - Østdanmark'!J319</f>
        <v>4301.1987550537342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341.61298474584328</v>
      </c>
      <c r="J320" s="282">
        <f>'Resultater - Vestdanmark'!J320+'Resultater - Østdanmark'!J320</f>
        <v>475.05260627488212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245.20634289377099</v>
      </c>
      <c r="J321" s="282">
        <f>'Resultater - Vestdanmark'!J321+'Resultater - Østdanmark'!J321</f>
        <v>317.86007412155504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-5949.174568377467</v>
      </c>
      <c r="J322" s="282">
        <f>'Resultater - Vestdanmark'!J322+'Resultater - Østdanmark'!J322</f>
        <v>-7711.8929590078278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3851.838397834169</v>
      </c>
      <c r="J323" s="282">
        <f>'Resultater - Vestdanmark'!J323+'Resultater - Østdanmark'!J323</f>
        <v>4993.1238490442929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1251384.0274078758</v>
      </c>
      <c r="J324" s="282">
        <f>'Resultater - Vestdanmark'!J324+'Resultater - Østdanmark'!J324</f>
        <v>1246624.7774404201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279388.04278637352</v>
      </c>
      <c r="J325" s="282">
        <f>'Resultater - Vestdanmark'!J325+'Resultater - Østdanmark'!J325</f>
        <v>259447.74923285682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-12254327.333482277</v>
      </c>
      <c r="J326" s="282">
        <f>'Resultater - Vestdanmark'!J326+'Resultater - Østdanmark'!J326</f>
        <v>-11379719.809504025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185750.63356974517</v>
      </c>
      <c r="J327" s="282">
        <f>'Resultater - Vestdanmark'!J327+'Resultater - Østdanmark'!J327</f>
        <v>172493.36556288012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46996.376065825483</v>
      </c>
      <c r="J328" s="282">
        <f>'Resultater - Vestdanmark'!J328+'Resultater - Østdanmark'!J328</f>
        <v>48084.517936817268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10492.5628260426</v>
      </c>
      <c r="J329" s="282">
        <f>'Resultater - Vestdanmark'!J329+'Resultater - Østdanmark'!J329</f>
        <v>10007.357608653347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-345163.21320102591</v>
      </c>
      <c r="J330" s="282">
        <f>'Resultater - Vestdanmark'!J330+'Resultater - Østdanmark'!J330</f>
        <v>-329201.90854433109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40886.997128963179</v>
      </c>
      <c r="J331" s="282">
        <f>'Resultater - Vestdanmark'!J331+'Resultater - Østdanmark'!J331</f>
        <v>38996.268938028465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44931.017565096816</v>
      </c>
      <c r="J332" s="282">
        <f>'Resultater - Vestdanmark'!J332+'Resultater - Østdanmark'!J332</f>
        <v>45971.338662416529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10031.444211346794</v>
      </c>
      <c r="J333" s="282">
        <f>'Resultater - Vestdanmark'!J333+'Resultater - Østdanmark'!J333</f>
        <v>9567.5623981053213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-251424.19894858479</v>
      </c>
      <c r="J334" s="282">
        <f>'Resultater - Vestdanmark'!J334+'Resultater - Østdanmark'!J334</f>
        <v>-239797.64639604904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85802.057932769181</v>
      </c>
      <c r="J335" s="282">
        <f>'Resultater - Vestdanmark'!J335+'Resultater - Østdanmark'!J335</f>
        <v>81834.332710444578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111322.54440350988</v>
      </c>
      <c r="J336" s="282">
        <f>'Resultater - Vestdanmark'!J336+'Resultater - Østdanmark'!J336</f>
        <v>150728.26854506898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24854.231089492998</v>
      </c>
      <c r="J337" s="282">
        <f>'Resultater - Vestdanmark'!J337+'Resultater - Østdanmark'!J337</f>
        <v>31369.591498154507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-1090139.2928456198</v>
      </c>
      <c r="J338" s="282">
        <f>'Resultater - Vestdanmark'!J338+'Resultater - Østdanmark'!J338</f>
        <v>-1375911.5769673046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28989.983273890866</v>
      </c>
      <c r="J339" s="282">
        <f>'Resultater - Vestdanmark'!J339+'Resultater - Østdanmark'!J339</f>
        <v>36589.501786065477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4180.7758823875965</v>
      </c>
      <c r="J340" s="282">
        <f>'Resultater - Vestdanmark'!J340+'Resultater - Østdanmark'!J340</f>
        <v>5813.8553505424516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933.4135369525759</v>
      </c>
      <c r="J341" s="282">
        <f>'Resultater - Vestdanmark'!J341+'Resultater - Østdanmark'!J341</f>
        <v>1209.98051086445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-30705.5598333167</v>
      </c>
      <c r="J342" s="282">
        <f>'Resultater - Vestdanmark'!J342+'Resultater - Østdanmark'!J342</f>
        <v>-39803.503487632755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6381.2076444046597</v>
      </c>
      <c r="J343" s="282">
        <f>'Resultater - Vestdanmark'!J343+'Resultater - Østdanmark'!J343</f>
        <v>8271.9358353393727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3997.0425452418499</v>
      </c>
      <c r="J344" s="282">
        <f>'Resultater - Vestdanmark'!J344+'Resultater - Østdanmark'!J344</f>
        <v>5558.352765546726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892.39263822327825</v>
      </c>
      <c r="J345" s="282">
        <f>'Resultater - Vestdanmark'!J345+'Resultater - Østdanmark'!J345</f>
        <v>1156.8052717709163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-22366.580472940572</v>
      </c>
      <c r="J346" s="282">
        <f>'Resultater - Vestdanmark'!J346+'Resultater - Østdanmark'!J346</f>
        <v>-28993.715427885927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13391.072625345478</v>
      </c>
      <c r="J347" s="282">
        <f>'Resultater - Vestdanmark'!J347+'Resultater - Østdanmark'!J347</f>
        <v>17358.797847670063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822429.07045355951</v>
      </c>
      <c r="J348" s="282">
        <f>'Resultater - Vestdanmark'!J348+'Resultater - Østdanmark'!J348</f>
        <v>819301.2172597656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-1687820.8535427526</v>
      </c>
      <c r="J349" s="282">
        <f>'Resultater - Vestdanmark'!J349+'Resultater - Østdanmark'!J349</f>
        <v>-1567358.850409986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30161.272228486283</v>
      </c>
      <c r="J350" s="282">
        <f>'Resultater - Vestdanmark'!J350+'Resultater - Østdanmark'!J350</f>
        <v>28008.622400721786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15606.173335078131</v>
      </c>
      <c r="J351" s="282">
        <f>'Resultater - Vestdanmark'!J351+'Resultater - Østdanmark'!J351</f>
        <v>15967.514614415682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-24263.329190109031</v>
      </c>
      <c r="J352" s="282">
        <f>'Resultater - Vestdanmark'!J352+'Resultater - Østdanmark'!J352</f>
        <v>-23141.325528138674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2586.8820016263107</v>
      </c>
      <c r="J353" s="282">
        <f>'Resultater - Vestdanmark'!J353+'Resultater - Østdanmark'!J353</f>
        <v>2467.2574003950358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11409.983786663341</v>
      </c>
      <c r="J354" s="282">
        <f>'Resultater - Vestdanmark'!J354+'Resultater - Østdanmark'!J354</f>
        <v>11674.167584329265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-13684.682046904327</v>
      </c>
      <c r="J355" s="282">
        <f>'Resultater - Vestdanmark'!J355+'Resultater - Østdanmark'!J355</f>
        <v>-13051.864379995453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4333.7402801898061</v>
      </c>
      <c r="J356" s="282">
        <f>'Resultater - Vestdanmark'!J356+'Resultater - Østdanmark'!J356</f>
        <v>4133.3361053833396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73162.909793527637</v>
      </c>
      <c r="J357" s="282">
        <f>'Resultater - Vestdanmark'!J357+'Resultater - Østdanmark'!J357</f>
        <v>99060.965359589813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-150147.7626359709</v>
      </c>
      <c r="J358" s="282">
        <f>'Resultater - Vestdanmark'!J358+'Resultater - Østdanmark'!J358</f>
        <v>-189507.9337313892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4707.2505790123105</v>
      </c>
      <c r="J359" s="282">
        <f>'Resultater - Vestdanmark'!J359+'Resultater - Østdanmark'!J359</f>
        <v>5941.2229334864378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1388.3179631609967</v>
      </c>
      <c r="J360" s="282">
        <f>'Resultater - Vestdanmark'!J360+'Resultater - Østdanmark'!J360</f>
        <v>1930.6176761066235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-2158.4545447154796</v>
      </c>
      <c r="J361" s="282">
        <f>'Resultater - Vestdanmark'!J361+'Resultater - Østdanmark'!J361</f>
        <v>-2797.9966320385847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403.73302915555138</v>
      </c>
      <c r="J362" s="282">
        <f>'Resultater - Vestdanmark'!J362+'Resultater - Østdanmark'!J362</f>
        <v>523.3576303868258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1015.0268813684903</v>
      </c>
      <c r="J363" s="282">
        <f>'Resultater - Vestdanmark'!J363+'Resultater - Østdanmark'!J363</f>
        <v>1411.5129897416293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-1217.3829867159398</v>
      </c>
      <c r="J364" s="282">
        <f>'Resultater - Vestdanmark'!J364+'Resultater - Østdanmark'!J364</f>
        <v>-1578.0890568539955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676.36408997181934</v>
      </c>
      <c r="J365" s="282">
        <f>'Resultater - Vestdanmark'!J365+'Resultater - Østdanmark'!J365</f>
        <v>876.76826477828422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154273.20639446744</v>
      </c>
      <c r="J366" s="282">
        <f>'Resultater - Vestdanmark'!J366+'Resultater - Østdanmark'!J366</f>
        <v>153686.47623295739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-708044.93979550339</v>
      </c>
      <c r="J367" s="282">
        <f>'Resultater - Vestdanmark'!J367+'Resultater - Østdanmark'!J367</f>
        <v>-657510.83744882641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11598.332917355026</v>
      </c>
      <c r="J368" s="282">
        <f>'Resultater - Vestdanmark'!J368+'Resultater - Østdanmark'!J368</f>
        <v>10770.544581115051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12777.848929313532</v>
      </c>
      <c r="J369" s="282">
        <f>'Resultater - Vestdanmark'!J369+'Resultater - Østdanmark'!J369</f>
        <v>13073.703920807318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-48870.504300546156</v>
      </c>
      <c r="J370" s="282">
        <f>'Resultater - Vestdanmark'!J370+'Resultater - Østdanmark'!J370</f>
        <v>-46610.596587226108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4342.019836977558</v>
      </c>
      <c r="J371" s="282">
        <f>'Resultater - Vestdanmark'!J371+'Resultater - Østdanmark'!J371</f>
        <v>4141.2327924930469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13451.160805450048</v>
      </c>
      <c r="J372" s="282">
        <f>'Resultater - Vestdanmark'!J372+'Resultater - Østdanmark'!J372</f>
        <v>13762.605485043063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-44096.289420851703</v>
      </c>
      <c r="J373" s="282">
        <f>'Resultater - Vestdanmark'!J373+'Resultater - Østdanmark'!J373</f>
        <v>-42057.154649945267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10473.491365110818</v>
      </c>
      <c r="J374" s="282">
        <f>'Resultater - Vestdanmark'!J374+'Resultater - Østdanmark'!J374</f>
        <v>9989.1680649900845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13724.073100640773</v>
      </c>
      <c r="J375" s="282">
        <f>'Resultater - Vestdanmark'!J375+'Resultater - Østdanmark'!J375</f>
        <v>18582.092126348478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-62987.350424582641</v>
      </c>
      <c r="J376" s="282">
        <f>'Resultater - Vestdanmark'!J376+'Resultater - Østdanmark'!J376</f>
        <v>-79499.037618812639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1810.1444437490504</v>
      </c>
      <c r="J377" s="282">
        <f>'Resultater - Vestdanmark'!J377+'Resultater - Østdanmark'!J377</f>
        <v>2284.6609717516776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1136.711531919857</v>
      </c>
      <c r="J378" s="282">
        <f>'Resultater - Vestdanmark'!J378+'Resultater - Østdanmark'!J378</f>
        <v>1580.7296558794301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-4347.4974634994524</v>
      </c>
      <c r="J379" s="282">
        <f>'Resultater - Vestdanmark'!J379+'Resultater - Østdanmark'!J379</f>
        <v>-5635.644860091882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677.65627513522588</v>
      </c>
      <c r="J380" s="282">
        <f>'Resultater - Vestdanmark'!J380+'Resultater - Østdanmark'!J380</f>
        <v>878.44331961973717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1196.6090450628683</v>
      </c>
      <c r="J381" s="282">
        <f>'Resultater - Vestdanmark'!J381+'Resultater - Østdanmark'!J381</f>
        <v>1664.0241177370244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-3922.7855155312582</v>
      </c>
      <c r="J382" s="282">
        <f>'Resultater - Vestdanmark'!J382+'Resultater - Østdanmark'!J382</f>
        <v>-5085.0923349479272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1634.5911379074687</v>
      </c>
      <c r="J383" s="282">
        <f>'Resultater - Vestdanmark'!J383+'Resultater - Østdanmark'!J383</f>
        <v>2118.9144380282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2115889.3802333996</v>
      </c>
      <c r="J384" s="282">
        <f>'Resultater - Vestdanmark'!J384+'Resultater - Østdanmark'!J384</f>
        <v>2107842.2530178837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-7156553.3246343043</v>
      </c>
      <c r="J385" s="282">
        <f>'Resultater - Vestdanmark'!J385+'Resultater - Østdanmark'!J385</f>
        <v>-6645780.6634230334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281351.93121685996</v>
      </c>
      <c r="J386" s="282">
        <f>'Resultater - Vestdanmark'!J386+'Resultater - Østdanmark'!J386</f>
        <v>261271.4723526889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799165.48722017289</v>
      </c>
      <c r="J387" s="282">
        <f>'Resultater - Vestdanmark'!J387+'Resultater - Østdanmark'!J387</f>
        <v>817669.15710479999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-2252508.44</v>
      </c>
      <c r="J388" s="282">
        <f>'Resultater - Vestdanmark'!J388+'Resultater - Østdanmark'!J388</f>
        <v>-2148346.1999999997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480311.13094922929</v>
      </c>
      <c r="J389" s="282">
        <f>'Resultater - Vestdanmark'!J389+'Resultater - Østdanmark'!J389</f>
        <v>458100.21159897582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721761.95915080293</v>
      </c>
      <c r="J390" s="282">
        <f>'Resultater - Vestdanmark'!J390+'Resultater - Østdanmark'!J390</f>
        <v>738473.44787369971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-1743720.6299999992</v>
      </c>
      <c r="J391" s="282">
        <f>'Resultater - Vestdanmark'!J391+'Resultater - Østdanmark'!J391</f>
        <v>-1663086.1499999994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993979.84917078388</v>
      </c>
      <c r="J392" s="282">
        <f>'Resultater - Vestdanmark'!J392+'Resultater - Østdanmark'!J392</f>
        <v>948015.4630819615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330225.51020983694</v>
      </c>
      <c r="J393" s="282">
        <f>'Resultater - Vestdanmark'!J393+'Resultater - Østdanmark'!J393</f>
        <v>447118.05367046018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-1116918.7269660474</v>
      </c>
      <c r="J394" s="282">
        <f>'Resultater - Vestdanmark'!J394+'Resultater - Østdanmark'!J394</f>
        <v>-1409711.0498170073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43910.41701072381</v>
      </c>
      <c r="J395" s="282">
        <f>'Resultater - Vestdanmark'!J395+'Resultater - Østdanmark'!J395</f>
        <v>55421.221408146135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124725.24945054723</v>
      </c>
      <c r="J396" s="282">
        <f>'Resultater - Vestdanmark'!J396+'Resultater - Østdanmark'!J396</f>
        <v>173444.97271919998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-351547.56</v>
      </c>
      <c r="J397" s="282">
        <f>'Resultater - Vestdanmark'!J397+'Resultater - Østdanmark'!J397</f>
        <v>-455709.79999999993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74961.852807105141</v>
      </c>
      <c r="J398" s="282">
        <f>'Resultater - Vestdanmark'!J398+'Resultater - Østdanmark'!J398</f>
        <v>97172.7721573585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112644.93004087679</v>
      </c>
      <c r="J399" s="282">
        <f>'Resultater - Vestdanmark'!J399+'Resultater - Østdanmark'!J399</f>
        <v>156645.88288229995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-272141.36999999994</v>
      </c>
      <c r="J400" s="282">
        <f>'Resultater - Vestdanmark'!J400+'Resultater - Østdanmark'!J400</f>
        <v>-352775.84999999986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155129.80304977554</v>
      </c>
      <c r="J401" s="282">
        <f>'Resultater - Vestdanmark'!J401+'Resultater - Østdanmark'!J401</f>
        <v>201094.1891385979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792440.79236345144</v>
      </c>
      <c r="J402" s="282">
        <f>'Resultater - Vestdanmark'!J402+'Resultater - Østdanmark'!J402</f>
        <v>871392.37125140009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858477.52506040584</v>
      </c>
      <c r="J403" s="282">
        <f>'Resultater - Vestdanmark'!J403+'Resultater - Østdanmark'!J403</f>
        <v>944008.40218901669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2679978.7351939101</v>
      </c>
      <c r="J404" s="282">
        <f>'Resultater - Vestdanmark'!J404+'Resultater - Østdanmark'!J404</f>
        <v>2630197.4122624523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104331.85268210551</v>
      </c>
      <c r="J405" s="282">
        <f>'Resultater - Vestdanmark'!J405+'Resultater - Østdanmark'!J405</f>
        <v>102393.86056963103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13709.205442428665</v>
      </c>
      <c r="J406" s="282">
        <f>'Resultater - Vestdanmark'!J406+'Resultater - Østdanmark'!J406</f>
        <v>13454.553278849517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1388963.5194082048</v>
      </c>
      <c r="J407" s="282">
        <f>'Resultater - Vestdanmark'!J407+'Resultater - Østdanmark'!J407</f>
        <v>1363163.1499531572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1262146.510248078</v>
      </c>
      <c r="J408" s="282">
        <f>'Resultater - Vestdanmark'!J408+'Resultater - Østdanmark'!J408</f>
        <v>1227467.8963796864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24180.745341776219</v>
      </c>
      <c r="J409" s="282">
        <f>'Resultater - Vestdanmark'!J409+'Resultater - Østdanmark'!J409</f>
        <v>23516.35755165149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112563.08046776136</v>
      </c>
      <c r="J410" s="282">
        <f>'Resultater - Vestdanmark'!J410+'Resultater - Østdanmark'!J410</f>
        <v>109470.30829616069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111066.04139884243</v>
      </c>
      <c r="J411" s="282">
        <f>'Resultater - Vestdanmark'!J411+'Resultater - Østdanmark'!J411</f>
        <v>108014.40172604074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90971.147089593054</v>
      </c>
      <c r="J412" s="282">
        <f>'Resultater - Vestdanmark'!J412+'Resultater - Østdanmark'!J412</f>
        <v>88074.943427410559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44121.743543858545</v>
      </c>
      <c r="J413" s="282">
        <f>'Resultater - Vestdanmark'!J413+'Resultater - Østdanmark'!J413</f>
        <v>42717.06129765416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5823.9227067081456</v>
      </c>
      <c r="J414" s="282">
        <f>'Resultater - Vestdanmark'!J414+'Resultater - Østdanmark'!J414</f>
        <v>5638.5093442183434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59861.078960088766</v>
      </c>
      <c r="J415" s="282">
        <f>'Resultater - Vestdanmark'!J415+'Resultater - Østdanmark'!J415</f>
        <v>57955.311234244218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157498.34817848625</v>
      </c>
      <c r="J416" s="282">
        <f>'Resultater - Vestdanmark'!J416+'Resultater - Østdanmark'!J416</f>
        <v>150587.0929141927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580.93006043583182</v>
      </c>
      <c r="J417" s="285">
        <f>'Resultater - Vestdanmark'!J417+'Resultater - Østdanmark'!J417</f>
        <v>555.43800934572437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4752039274.4896984</v>
      </c>
      <c r="J418" s="279">
        <f>'Resultater - Vestdanmark'!J418+'Resultater - Østdanmark'!J418</f>
        <v>4752039274.4896984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131956390.2838318</v>
      </c>
      <c r="J419" s="282">
        <f>'Resultater - Vestdanmark'!J419+'Resultater - Østdanmark'!J419</f>
        <v>131956390.2838318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62759746.598407798</v>
      </c>
      <c r="J421" s="282">
        <f>'Resultater - Vestdanmark'!J421+'Resultater - Østdanmark'!J421</f>
        <v>62759746.598407805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115059535.4304143</v>
      </c>
      <c r="J422" s="282">
        <f>'Resultater - Vestdanmark'!J422+'Resultater - Østdanmark'!J422</f>
        <v>115059535.4304143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1346116103.3222597</v>
      </c>
      <c r="J423" s="282">
        <f>'Resultater - Vestdanmark'!J423+'Resultater - Østdanmark'!J423</f>
        <v>1346116103.3222597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193911524.74636257</v>
      </c>
      <c r="J424" s="282">
        <f>'Resultater - Vestdanmark'!J424+'Resultater - Østdanmark'!J424</f>
        <v>193911524.74636257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1828078772.7125964</v>
      </c>
      <c r="J427" s="282">
        <f>'Resultater - Vestdanmark'!J427+'Resultater - Østdanmark'!J427</f>
        <v>1828078772.7125964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131151778.14795476</v>
      </c>
      <c r="J428" s="282">
        <f>'Resultater - Vestdanmark'!J428+'Resultater - Østdanmark'!J428</f>
        <v>131151778.14795476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97358068.441119805</v>
      </c>
      <c r="J431" s="282">
        <f>'Resultater - Vestdanmark'!J431+'Resultater - Østdanmark'!J431</f>
        <v>97358068.441119805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3223276216.3233547</v>
      </c>
      <c r="J432" s="282">
        <f>'Resultater - Vestdanmark'!J432+'Resultater - Østdanmark'!J432</f>
        <v>3223276216.3233547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12195000.4</v>
      </c>
      <c r="J433" s="282">
        <f>'Resultater - Vestdanmark'!J433+'Resultater - Østdanmark'!J433</f>
        <v>12195000.400000002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361184.39999999991</v>
      </c>
      <c r="J434" s="282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</v>
      </c>
      <c r="J435" s="282">
        <f>'Resultater - Vestdanmark'!J435+'Resultater - Østdanmark'!J435</f>
        <v>4390946.2500000009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149118909.24030262</v>
      </c>
      <c r="J436" s="282">
        <f>'Resultater - Vestdanmark'!J436+'Resultater - Østdanmark'!J436</f>
        <v>142762946.76763344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-158160.48633148483</v>
      </c>
      <c r="J437" s="288">
        <f>'Resultater - Vestdanmark'!J437+'Resultater - Østdanmark'!J437</f>
        <v>-151419.14064364813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141176614.29438826</v>
      </c>
      <c r="J438" s="282">
        <f>'Resultater - Vestdanmark'!J438+'Resultater - Østdanmark'!J438</f>
        <v>138478994.65503407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-294632.13715648063</v>
      </c>
      <c r="J439" s="288">
        <f>'Resultater - Vestdanmark'!J439+'Resultater - Østdanmark'!J439</f>
        <v>-289002.27102354687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85292.897468506708</v>
      </c>
      <c r="J440" s="282">
        <f>'Resultater - Vestdanmark'!J440+'Resultater - Østdanmark'!J440</f>
        <v>88081.959290434388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72263542.273224667</v>
      </c>
      <c r="J441" s="282">
        <f>'Resultater - Vestdanmark'!J441+'Resultater - Østdanmark'!J441</f>
        <v>75720860.032909796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33002600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2165562</v>
      </c>
      <c r="J443" s="282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74480686.960000008</v>
      </c>
      <c r="J445" s="282">
        <f>'Resultater - Vestdanmark'!J445+'Resultater - Østdanmark'!J445</f>
        <v>74179468.040000021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38439586.355437025</v>
      </c>
      <c r="J451" s="282">
        <f>'Resultater - Vestdanmark'!J451+'Resultater - Østdanmark'!J451</f>
        <v>40045479.800409868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25898789.647342868</v>
      </c>
      <c r="J452" s="288">
        <f ca="1">'Resultater - Vestdanmark'!J452+'Resultater - Østdanmark'!J452</f>
        <v>25397981.38157519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7317872.3979037385</v>
      </c>
      <c r="J453" s="288">
        <f>'Resultater - Vestdanmark'!J453+'Resultater - Østdanmark'!J453</f>
        <v>7005959.4247079352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5896265.2148168441</v>
      </c>
      <c r="J454" s="288">
        <f>'Resultater - Vestdanmark'!J454+'Resultater - Østdanmark'!J454</f>
        <v>5783598.6735357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3834.2014977360932</v>
      </c>
      <c r="J455" s="288">
        <f>'Resultater - Vestdanmark'!J455+'Resultater - Østdanmark'!J455</f>
        <v>3959.5791708168126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6383279.5674681785</v>
      </c>
      <c r="J456" s="288">
        <f>'Resultater - Vestdanmark'!J456+'Resultater - Østdanmark'!J456</f>
        <v>6688675.969573698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161405388.41149431</v>
      </c>
      <c r="J457" s="288">
        <f ca="1">'Resultater - Vestdanmark'!J457+'Resultater - Østdanmark'!J457</f>
        <v>156969822.85358676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180101398.59780663</v>
      </c>
      <c r="J458" s="288">
        <f ca="1">'Resultater - Vestdanmark'!J458+'Resultater - Østdanmark'!J458</f>
        <v>170999495.97861728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25.012939850295552</v>
      </c>
      <c r="J459" s="292">
        <f>'Resultater - Vestdanmark'!J459+'Resultater - Østdanmark'!J459</f>
        <v>23.45383727390367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3.951047127829578</v>
      </c>
      <c r="I460" s="291">
        <f>'Resultater - Vestdanmark'!I460+'Resultater - Østdanmark'!I460</f>
        <v>5.3986394353114884</v>
      </c>
      <c r="J460" s="292">
        <f>'Resultater - Vestdanmark'!J460+'Resultater - Østdanmark'!J460</f>
        <v>5.5346783341970225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3.6166968204461223</v>
      </c>
      <c r="J461" s="292">
        <f>'Resultater - Vestdanmark'!J461+'Resultater - Østdanmark'!J461</f>
        <v>3.7232332203134169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41.501325304246137</v>
      </c>
      <c r="J462" s="292">
        <f>'Resultater - Vestdanmark'!J462+'Resultater - Østdanmark'!J462</f>
        <v>41.450157138327555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22.337166696777263</v>
      </c>
      <c r="J467" s="295">
        <f ca="1">'Resultater - Vestdanmark'!J467+'Resultater - Østdanmark'!J467</f>
        <v>22.203341629418617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241010.68907640575</v>
      </c>
      <c r="J471" s="298">
        <f>'Resultater - Vestdanmark'!J471+'Resultater - Østdanmark'!J471</f>
        <v>247083.85420522426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154246.84100889968</v>
      </c>
      <c r="J472" s="298">
        <f>'Resultater - Vestdanmark'!J472+'Resultater - Østdanmark'!J472</f>
        <v>158133.66669134353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321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hidden="1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O5*IFERROR(VLOOKUP(A5,[1]Tørstofindhold!A$2:B$24,2,FALSE),0)</f>
        <v>0</v>
      </c>
      <c r="V5" s="192">
        <f ca="1">IF(D5=År1,P5,SUM(O5,P5))*IFERROR(VLOOKUP(A5,[1]Tørstofindhold!A$2:B$24,2,FALSE),0)</f>
        <v>110192.22039498243</v>
      </c>
      <c r="W5" s="192">
        <f ca="1">J5*IFERROR(VLOOKUP(A5,[1]Tørstofindhold!A$2:B$24,2,FALSE),0)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O6*IFERROR(VLOOKUP(A6,[1]Tørstofindhold!A$2:B$24,2,FALSE),0)</f>
        <v>0</v>
      </c>
      <c r="V6" s="192">
        <f ca="1"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O8*IFERROR(VLOOKUP(A8,[1]Tørstofindhold!A$2:B$24,2,FALSE),0)</f>
        <v>0</v>
      </c>
      <c r="V8" s="192">
        <f>IF(D8=År1,P8,SUM(O8,P8))*IFERROR(VLOOKUP(A8,[1]Tørstofindhold!A$2:B$24,2,FALSE),0)</f>
        <v>0</v>
      </c>
      <c r="W8" s="192">
        <f>J8*IFERROR(VLOOKUP(A8,[1]Tørstofindhold!A$2:B$24,2,FALSE),0)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O9*IFERROR(VLOOKUP(A9,[1]Tørstofindhold!A$2:B$24,2,FALSE),0)</f>
        <v>359642.22916334897</v>
      </c>
      <c r="V9" s="192">
        <f>IF(D9=År1,P9,SUM(O9,P9))*IFERROR(VLOOKUP(A9,[1]Tørstofindhold!A$2:B$24,2,FALSE),0)</f>
        <v>201358.40146508775</v>
      </c>
      <c r="W9" s="192">
        <f>J9*IFERROR(VLOOKUP(A9,[1]Tørstofindhold!A$2:B$24,2,FALSE),0)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O11*IFERROR(VLOOKUP(A11,[1]Tørstofindhold!A$2:B$24,2,FALSE),0)</f>
        <v>62.788234524127645</v>
      </c>
      <c r="V11" s="192">
        <f>IF(D11=År1,P11,SUM(O11,P11))*IFERROR(VLOOKUP(A11,[1]Tørstofindhold!A$2:B$24,2,FALSE),0)</f>
        <v>258.53978921699621</v>
      </c>
      <c r="W11" s="192">
        <f>J11*IFERROR(VLOOKUP(A11,[1]Tørstofindhold!A$2:B$24,2,FALSE),0)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hidden="1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O16*IFERROR(VLOOKUP(A16,[1]Tørstofindhold!A$2:B$24,2,FALSE),0)</f>
        <v>994049.13870830298</v>
      </c>
      <c r="V16" s="192">
        <f>IF(D16=År1,P16,SUM(O16,P16))*IFERROR(VLOOKUP(A16,[1]Tørstofindhold!A$2:B$24,2,FALSE),0)</f>
        <v>21208.925891905561</v>
      </c>
      <c r="W16" s="192">
        <f>J16*IFERROR(VLOOKUP(A16,[1]Tørstofindhold!A$2:B$24,2,FALSE),0)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O19*IFERROR(VLOOKUP(A19,[1]Tørstofindhold!A$2:B$24,2,FALSE),0)</f>
        <v>0</v>
      </c>
      <c r="V19" s="192">
        <f>IF(D19=År1,P19,SUM(O19,P19))*IFERROR(VLOOKUP(A19,[1]Tørstofindhold!A$2:B$24,2,FALSE),0)</f>
        <v>1030819.8252529224</v>
      </c>
      <c r="W19" s="192">
        <f>J19*IFERROR(VLOOKUP(A19,[1]Tørstofindhold!A$2:B$24,2,FALSE),0)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O20*IFERROR(VLOOKUP(A20,[1]Tørstofindhold!A$2:B$24,2,FALSE),0)</f>
        <v>0</v>
      </c>
      <c r="V20" s="192">
        <f>IF(D20=År1,P20,SUM(O20,P20))*IFERROR(VLOOKUP(A20,[1]Tørstofindhold!A$2:B$24,2,FALSE),0)</f>
        <v>159138.74629869961</v>
      </c>
      <c r="W20" s="192">
        <f>J20*IFERROR(VLOOKUP(A20,[1]Tørstofindhold!A$2:B$24,2,FALSE),0)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O22*IFERROR(VLOOKUP(A22,[1]Tørstofindhold!A$2:B$24,2,FALSE),0)</f>
        <v>0</v>
      </c>
      <c r="V22" s="192">
        <f>IF(D22=År1,P22,SUM(O22,P22))*IFERROR(VLOOKUP(A22,[1]Tørstofindhold!A$2:B$24,2,FALSE),0)</f>
        <v>300763.57585499104</v>
      </c>
      <c r="W22" s="192">
        <f>J22*IFERROR(VLOOKUP(A22,[1]Tørstofindhold!A$2:B$24,2,FALSE),0)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O25*IFERROR(VLOOKUP(A25,[1]Tørstofindhold!A$2:B$24,2,FALSE),0)</f>
        <v>206337.459594888</v>
      </c>
      <c r="V25" s="192">
        <f>IF(D25=År1,P25,SUM(O25,P25))*IFERROR(VLOOKUP(A25,[1]Tørstofindhold!A$2:B$24,2,FALSE),0)</f>
        <v>880.45745202057424</v>
      </c>
      <c r="W25" s="192">
        <f>J25*IFERROR(VLOOKUP(A25,[1]Tørstofindhold!A$2:B$24,2,FALSE),0)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O27*IFERROR(VLOOKUP(A27,[1]Tørstofindhold!A$2:B$24,2,FALSE),0)</f>
        <v>232339.01261192418</v>
      </c>
      <c r="V27" s="192">
        <f>IF(D27=År1,P27,SUM(O27,P27))*IFERROR(VLOOKUP(A27,[1]Tørstofindhold!A$2:B$24,2,FALSE),0)</f>
        <v>309081.71011804708</v>
      </c>
      <c r="W27" s="192">
        <f>J27*IFERROR(VLOOKUP(A27,[1]Tørstofindhold!A$2:B$24,2,FALSE),0)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hidden="1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O29*IFERROR(VLOOKUP(A29,[1]Tørstofindhold!A$2:B$24,2,FALSE),0)</f>
        <v>379878.67388024763</v>
      </c>
      <c r="V29" s="192">
        <f>IF(D29=År1,P29,SUM(O29,P29))*IFERROR(VLOOKUP(A29,[1]Tørstofindhold!A$2:B$24,2,FALSE),0)</f>
        <v>94446.430479468312</v>
      </c>
      <c r="W29" s="192">
        <f>J29*IFERROR(VLOOKUP(A29,[1]Tørstofindhold!A$2:B$24,2,FALSE),0)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O31*IFERROR(VLOOKUP(A31,[1]Tørstofindhold!A$2:B$24,2,FALSE),0)</f>
        <v>131.83534701746427</v>
      </c>
      <c r="V31" s="192">
        <f>IF(D31=År1,P31,SUM(O31,P31))*IFERROR(VLOOKUP(A31,[1]Tørstofindhold!A$2:B$24,2,FALSE),0)</f>
        <v>0</v>
      </c>
      <c r="W31" s="192">
        <f>J31*IFERROR(VLOOKUP(A31,[1]Tørstofindhold!A$2:B$24,2,FALSE),0)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O34*IFERROR(VLOOKUP(A34,[1]Tørstofindhold!A$2:B$24,2,FALSE),0)</f>
        <v>0</v>
      </c>
      <c r="V34" s="192">
        <f>IF(D34=År1,P34,SUM(O34,P34))*IFERROR(VLOOKUP(A34,[1]Tørstofindhold!A$2:B$24,2,FALSE),0)</f>
        <v>71465.1029917407</v>
      </c>
      <c r="W34" s="192">
        <f>J34*IFERROR(VLOOKUP(A34,[1]Tørstofindhold!A$2:B$24,2,FALSE),0)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4" t="s">
        <v>316</v>
      </c>
      <c r="B35" s="194" t="s">
        <v>322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O35*IFERROR(VLOOKUP(A35,[1]Tørstofindhold!A$2:B$24,2,FALSE),0)</f>
        <v>0</v>
      </c>
      <c r="V35" s="192">
        <f>IF(D35=År1,P35,SUM(O35,P35))*IFERROR(VLOOKUP(A35,[1]Tørstofindhold!A$2:B$24,2,FALSE),0)</f>
        <v>0</v>
      </c>
      <c r="W35" s="192">
        <f>J35*IFERROR(VLOOKUP(A35,[1]Tørstofindhold!A$2:B$24,2,FALSE),0)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4" t="s">
        <v>317</v>
      </c>
      <c r="B36" s="194" t="s">
        <v>322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O36*IFERROR(VLOOKUP(A36,[1]Tørstofindhold!A$2:B$24,2,FALSE),0)</f>
        <v>0</v>
      </c>
      <c r="V36" s="192">
        <f>IF(D36=År1,P36,SUM(O36,P36))*IFERROR(VLOOKUP(A36,[1]Tørstofindhold!A$2:B$24,2,FALSE),0)</f>
        <v>0</v>
      </c>
      <c r="W36" s="192">
        <f>J36*IFERROR(VLOOKUP(A36,[1]Tørstofindhold!A$2:B$24,2,FALSE),0)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4">
        <f t="shared" si="9"/>
        <v>0</v>
      </c>
      <c r="O40" s="195">
        <f t="shared" si="1"/>
        <v>0</v>
      </c>
      <c r="P40" s="205">
        <f t="shared" si="10"/>
        <v>80676.325166481722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2.8236713808268599</v>
      </c>
      <c r="U40" s="191">
        <f>O40*IFERROR(VLOOKUP(A40,[1]Tørstofindhold!A$2:B$24,2,FALSE),0)</f>
        <v>0</v>
      </c>
      <c r="V40" s="192">
        <f>IF(D40=År1,P40,SUM(O40,P40))*IFERROR(VLOOKUP(A40,[1]Tørstofindhold!A$2:B$24,2,FALSE),0)</f>
        <v>0</v>
      </c>
      <c r="W40" s="192">
        <f>J40*IFERROR(VLOOKUP(A40,[1]Tørstofindhold!A$2:B$24,2,FALSE),0)</f>
        <v>0</v>
      </c>
      <c r="X40" s="193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O41*IFERROR(VLOOKUP(A41,[1]Tørstofindhold!A$2:B$24,2,FALSE),0)</f>
        <v>0</v>
      </c>
      <c r="V41" s="192">
        <f>IF(D41=År1,P41,SUM(O41,P41))*IFERROR(VLOOKUP(A41,[1]Tørstofindhold!A$2:B$24,2,FALSE),0)</f>
        <v>820.20978483944555</v>
      </c>
      <c r="W41" s="192">
        <f>J41*IFERROR(VLOOKUP(A41,[1]Tørstofindhold!A$2:B$24,2,FALSE),0)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O44*IFERROR(VLOOKUP(A44,[1]Tørstofindhold!A$2:B$24,2,FALSE),0)</f>
        <v>143400.83716653602</v>
      </c>
      <c r="V44" s="192">
        <f>IF(D44=År1,P44,SUM(O44,P44))*IFERROR(VLOOKUP(A44,[1]Tørstofindhold!A$2:B$24,2,FALSE),0)</f>
        <v>87610.955247949008</v>
      </c>
      <c r="W44" s="192">
        <f>J44*IFERROR(VLOOKUP(A44,[1]Tørstofindhold!A$2:B$24,2,FALSE),0)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O45*IFERROR(VLOOKUP(A45,[1]Tørstofindhold!A$2:B$24,2,FALSE),0)</f>
        <v>0</v>
      </c>
      <c r="V45" s="192">
        <f>IF(D45=År1,P45,SUM(O45,P45))*IFERROR(VLOOKUP(A45,[1]Tørstofindhold!A$2:B$24,2,FALSE),0)</f>
        <v>126722.10364886111</v>
      </c>
      <c r="W45" s="192">
        <f>J45*IFERROR(VLOOKUP(A45,[1]Tørstofindhold!A$2:B$24,2,FALSE),0)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O47*IFERROR(VLOOKUP(A47,[1]Tørstofindhold!A$2:B$24,2,FALSE),0)</f>
        <v>11.475</v>
      </c>
      <c r="V47" s="192">
        <f>IF(D47=År1,P47,SUM(O47,P47))*IFERROR(VLOOKUP(A47,[1]Tørstofindhold!A$2:B$24,2,FALSE),0)</f>
        <v>0</v>
      </c>
      <c r="W47" s="192">
        <f>J47*IFERROR(VLOOKUP(A47,[1]Tørstofindhold!A$2:B$24,2,FALSE),0)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O49*IFERROR(VLOOKUP(A49,[1]Tørstofindhold!A$2:B$24,2,FALSE),0)</f>
        <v>0</v>
      </c>
      <c r="V49" s="192">
        <f>IF(D49=År1,P49,SUM(O49,P49))*IFERROR(VLOOKUP(A49,[1]Tørstofindhold!A$2:B$24,2,FALSE),0)</f>
        <v>1151704.3763715085</v>
      </c>
      <c r="W49" s="192">
        <f>J49*IFERROR(VLOOKUP(A49,[1]Tørstofindhold!A$2:B$24,2,FALSE),0)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hidden="1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171033.55988230981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138453.77532930995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224570.40950584275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172971.62912568916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O53*IFERROR(VLOOKUP(A53,[1]Tørstofindhold!A$2:B$24,2,FALSE),0)</f>
        <v>0</v>
      </c>
      <c r="V53" s="192">
        <f ca="1">IF(D53=År1,P53,SUM(O53,P53))*IFERROR(VLOOKUP(A53,[1]Tørstofindhold!A$2:B$24,2,FALSE),0)</f>
        <v>54623.027516061207</v>
      </c>
      <c r="W53" s="192">
        <f ca="1">J53*IFERROR(VLOOKUP(A53,[1]Tørstofindhold!A$2:B$24,2,FALSE),0)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505656960.63475704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505656960.63475704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505656960.63475704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O54*IFERROR(VLOOKUP(A54,[1]Tørstofindhold!A$2:B$24,2,FALSE),0)</f>
        <v>0</v>
      </c>
      <c r="V54" s="192">
        <f ca="1"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22052758.669106159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19633758.54900625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2419000.1200999096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O56*IFERROR(VLOOKUP(A56,[1]Tørstofindhold!A$2:B$24,2,FALSE),0)</f>
        <v>0</v>
      </c>
      <c r="V56" s="192">
        <f>IF(D56=År1,P56,SUM(O56,P56))*IFERROR(VLOOKUP(A56,[1]Tørstofindhold!A$2:B$24,2,FALSE),0)</f>
        <v>0</v>
      </c>
      <c r="W56" s="192">
        <f>J56*IFERROR(VLOOKUP(A56,[1]Tørstofindhold!A$2:B$24,2,FALSE),0)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hidden="1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2122340.654767077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659441.56058834167</v>
      </c>
      <c r="O57" s="195">
        <f t="shared" si="1"/>
        <v>659441.56058834167</v>
      </c>
      <c r="P57" s="205">
        <f t="shared" si="10"/>
        <v>1061170.3273835385</v>
      </c>
      <c r="Q57" s="192">
        <f>IFERROR(VLOOKUP(A57,[1]Energiindhold!$A$2:$C$11,3,FALSE),IFERROR(VLOOKUP(A57,[1]Biogasudbytte!$A$2:$B$18,2,FALSE)*[1]Energiindhold!$C$10,0))*O57</f>
        <v>1.420437121507288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92">
        <f>IFERROR(VLOOKUP(A57,[1]Biogasudbytte!$A$2:$B$18,2,FALSE)*[1]Energiindhold!$C$10,0)*J57*IFERROR(VLOOKUP(A57,Biogasanlæg!$F$3:$G$8,2,FALSE),1)</f>
        <v>2.2857608851841418</v>
      </c>
      <c r="T57" s="193">
        <f t="shared" si="11"/>
        <v>1.420437121507288</v>
      </c>
      <c r="U57" s="191">
        <f>O57*IFERROR(VLOOKUP(A57,[1]Tørstofindhold!A$2:B$24,2,FALSE),0)</f>
        <v>197832.4681765025</v>
      </c>
      <c r="V57" s="192">
        <f>IF(D57=År1,P57,SUM(O57,P57))*IFERROR(VLOOKUP(A57,[1]Tørstofindhold!A$2:B$24,2,FALSE),0)</f>
        <v>516183.56639156403</v>
      </c>
      <c r="W57" s="192">
        <f>J57*IFERROR(VLOOKUP(A57,[1]Tørstofindhold!A$2:B$24,2,FALSE),0)</f>
        <v>318351.09821506153</v>
      </c>
      <c r="X57" s="193">
        <f t="shared" si="12"/>
        <v>197832.4681765025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hidden="1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6674.1809084363849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6006.7628175927466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505.33084021018328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162.08725063345537</v>
      </c>
      <c r="O59" s="195">
        <f t="shared" si="1"/>
        <v>162.08725063345537</v>
      </c>
      <c r="P59" s="205">
        <f t="shared" si="10"/>
        <v>6006.7628175927466</v>
      </c>
      <c r="Q59" s="192">
        <f>IFERROR(VLOOKUP(A59,[1]Energiindhold!$A$2:$C$11,3,FALSE),IFERROR(VLOOKUP(A59,[1]Biogasudbytte!$A$2:$B$18,2,FALSE)*[1]Energiindhold!$C$10,0))*O59</f>
        <v>7.6228013100407724E-5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2.9011484985861005E-3</v>
      </c>
      <c r="S59" s="192">
        <f>IFERROR(VLOOKUP(A59,[1]Biogasudbytte!$A$2:$B$18,2,FALSE)*[1]Energiindhold!$C$10,0)*J59*IFERROR(VLOOKUP(A59,Biogasanlæg!$F$3:$G$8,2,FALSE),1)</f>
        <v>2.8249204854856927E-3</v>
      </c>
      <c r="T59" s="193">
        <f t="shared" si="11"/>
        <v>7.6228013100407711E-5</v>
      </c>
      <c r="U59" s="191">
        <f>O59*IFERROR(VLOOKUP(A59,[1]Tørstofindhold!A$2:B$24,2,FALSE),0)</f>
        <v>10.211496789907688</v>
      </c>
      <c r="V59" s="192">
        <f>IF(D59=År1,P59,SUM(O59,P59))*IFERROR(VLOOKUP(A59,[1]Tørstofindhold!A$2:B$24,2,FALSE),0)</f>
        <v>388.63755429825073</v>
      </c>
      <c r="W59" s="192">
        <f>J59*IFERROR(VLOOKUP(A59,[1]Tørstofindhold!A$2:B$24,2,FALSE),0)</f>
        <v>378.42605750834304</v>
      </c>
      <c r="X59" s="193">
        <f t="shared" si="12"/>
        <v>10.211496789907699</v>
      </c>
      <c r="Y59" s="171">
        <f t="shared" si="2"/>
        <v>0</v>
      </c>
      <c r="Z59" s="103">
        <f t="shared" si="3"/>
        <v>1</v>
      </c>
    </row>
    <row r="60" spans="1:26" hidden="1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145303.11165081069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110008.34505172751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1120053.9852881476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1120053.9852881476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32105.259581147304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-225818.0347967683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28408153.283469509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67006.096493213583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18550995.259569656</v>
      </c>
      <c r="O64" s="195">
        <f t="shared" si="1"/>
        <v>18550995.259569656</v>
      </c>
      <c r="P64" s="205">
        <f t="shared" si="10"/>
        <v>67006.096493213583</v>
      </c>
      <c r="Q64" s="192">
        <f>IFERROR(VLOOKUP(A64,[1]Energiindhold!$A$2:$C$11,3,FALSE),IFERROR(VLOOKUP(A64,[1]Biogasudbytte!$A$2:$B$18,2,FALSE)*[1]Energiindhold!$C$10,0))*O64</f>
        <v>34.131512403200723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34.254795244986177</v>
      </c>
      <c r="S64" s="192">
        <f>IFERROR(VLOOKUP(A64,[1]Biogasudbytte!$A$2:$B$18,2,FALSE)*[1]Energiindhold!$C$10,0)*J64*IFERROR(VLOOKUP(A64,Biogasanlæg!$F$3:$G$8,2,FALSE),1)</f>
        <v>0.12328284178545135</v>
      </c>
      <c r="T64" s="193">
        <f t="shared" si="11"/>
        <v>34.131512403200723</v>
      </c>
      <c r="U64" s="191">
        <f>O64*IFERROR(VLOOKUP(A64,[1]Tørstofindhold!A$2:B$24,2,FALSE),0)</f>
        <v>5194278.6726795044</v>
      </c>
      <c r="V64" s="192">
        <f>IF(D64=År1,P64,SUM(O64,P64))*IFERROR(VLOOKUP(A64,[1]Tørstofindhold!A$2:B$24,2,FALSE),0)</f>
        <v>5213040.3796976041</v>
      </c>
      <c r="W64" s="192">
        <f>J64*IFERROR(VLOOKUP(A64,[1]Tørstofindhold!A$2:B$24,2,FALSE),0)</f>
        <v>18761.707018099805</v>
      </c>
      <c r="X64" s="193">
        <f t="shared" si="12"/>
        <v>5194278.6726795044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217805.88377635827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-52334.829808932322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2966243.8763621217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581579.9632190367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56757.88331613881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1709437.3149926052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1766195.198308744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17.99565288322793</v>
      </c>
      <c r="S67" s="192">
        <f>IFERROR(VLOOKUP(A67,[1]Biogasudbytte!$A$2:$B$18,2,FALSE)*[1]Energiindhold!$C$10,0)*J67*IFERROR(VLOOKUP(A67,Biogasanlæg!$F$3:$G$8,2,FALSE),1)</f>
        <v>0.32723984657453098</v>
      </c>
      <c r="T67" s="193">
        <f t="shared" si="11"/>
        <v>17.668413036653398</v>
      </c>
      <c r="U67" s="191">
        <f>O67*IFERROR(VLOOKUP(A67,[1]Tørstofindhold!A$2:B$24,2,FALSE),0)</f>
        <v>0</v>
      </c>
      <c r="V67" s="192">
        <f>IF(D67=År1,P67,SUM(O67,P67))*IFERROR(VLOOKUP(A67,[1]Tørstofindhold!A$2:B$24,2,FALSE),0)</f>
        <v>1501265.9185624323</v>
      </c>
      <c r="W67" s="192">
        <f>J67*IFERROR(VLOOKUP(A67,[1]Tørstofindhold!A$2:B$24,2,FALSE),0)</f>
        <v>48244.200818717989</v>
      </c>
      <c r="X67" s="193">
        <f t="shared" si="12"/>
        <v>1453021.7177437143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O68*IFERROR(VLOOKUP(A68,[1]Tørstofindhold!A$2:B$24,2,FALSE),0)</f>
        <v>0</v>
      </c>
      <c r="V68" s="192">
        <f>IF(D68=År1,P68,SUM(O68,P68))*IFERROR(VLOOKUP(A68,[1]Tørstofindhold!A$2:B$24,2,FALSE),0)</f>
        <v>158020.23296051734</v>
      </c>
      <c r="W68" s="192">
        <f>J68*IFERROR(VLOOKUP(A68,[1]Tørstofindhold!A$2:B$24,2,FALSE),0)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-3862742.0312364982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hidden="1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456500.14494289405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-51961.836502145103</v>
      </c>
      <c r="O70" s="195">
        <f t="shared" si="20"/>
        <v>0</v>
      </c>
      <c r="P70" s="205">
        <f t="shared" si="10"/>
        <v>508461.98144503916</v>
      </c>
      <c r="Q70" s="192">
        <f>IFERROR(VLOOKUP(A70,[1]Energiindhold!$A$2:$C$11,3,FALSE),IFERROR(VLOOKUP(A70,[1]Biogasudbytte!$A$2:$B$18,2,FALSE)*[1]Energiindhold!$C$10,0))*O70</f>
        <v>0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92">
        <f>IFERROR(VLOOKUP(A70,[1]Biogasudbytte!$A$2:$B$18,2,FALSE)*[1]Energiindhold!$C$10,0)*J70*IFERROR(VLOOKUP(A70,Biogasanlæg!$F$3:$G$8,2,FALSE),1)</f>
        <v>1.8727470858101014</v>
      </c>
      <c r="T70" s="193">
        <f t="shared" si="11"/>
        <v>0</v>
      </c>
      <c r="U70" s="191">
        <f>O70*IFERROR(VLOOKUP(A70,[1]Tørstofindhold!A$2:B$24,2,FALSE),0)</f>
        <v>0</v>
      </c>
      <c r="V70" s="192">
        <f>IF(D70=År1,P70,SUM(O70,P70))*IFERROR(VLOOKUP(A70,[1]Tørstofindhold!A$2:B$24,2,FALSE),0)</f>
        <v>213554.03220691642</v>
      </c>
      <c r="W70" s="192">
        <f>J70*IFERROR(VLOOKUP(A70,[1]Tørstofindhold!A$2:B$24,2,FALSE),0)</f>
        <v>213554.03220691642</v>
      </c>
      <c r="X70" s="193">
        <f t="shared" si="12"/>
        <v>0</v>
      </c>
      <c r="Y70" s="171">
        <f t="shared" si="21"/>
        <v>1</v>
      </c>
      <c r="Z70" s="103">
        <f t="shared" si="22"/>
        <v>0</v>
      </c>
    </row>
    <row r="71" spans="1:26" hidden="1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713505.92728443746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713505.92728443746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1778992.2257450195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1655460.5426482284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5381619.5037339376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4703372.1615964994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2914.9101192356643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379399.3889951203</v>
      </c>
      <c r="O73" s="195">
        <f t="shared" si="20"/>
        <v>379399.3889951203</v>
      </c>
      <c r="P73" s="205">
        <f t="shared" si="10"/>
        <v>2914.9101192356643</v>
      </c>
      <c r="Q73" s="192">
        <f>IFERROR(VLOOKUP(A73,[1]Energiindhold!$A$2:$C$11,3,FALSE),IFERROR(VLOOKUP(A73,[1]Biogasudbytte!$A$2:$B$18,2,FALSE)*[1]Energiindhold!$C$10,0))*O73</f>
        <v>1.2993897913938279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1.3093729504647933</v>
      </c>
      <c r="S73" s="192">
        <f>IFERROR(VLOOKUP(A73,[1]Biogasudbytte!$A$2:$B$18,2,FALSE)*[1]Energiindhold!$C$10,0)*J73*IFERROR(VLOOKUP(A73,Biogasanlæg!$F$3:$G$8,2,FALSE),1)</f>
        <v>9.9831590709654593E-3</v>
      </c>
      <c r="T73" s="193">
        <f t="shared" si="11"/>
        <v>1.2993897913938279</v>
      </c>
      <c r="U73" s="191">
        <f>O73*IFERROR(VLOOKUP(A73,[1]Tørstofindhold!A$2:B$24,2,FALSE),0)</f>
        <v>117613.81058848729</v>
      </c>
      <c r="V73" s="192">
        <f>IF(D73=År1,P73,SUM(O73,P73))*IFERROR(VLOOKUP(A73,[1]Tørstofindhold!A$2:B$24,2,FALSE),0)</f>
        <v>118517.43272545036</v>
      </c>
      <c r="W73" s="192">
        <f>J73*IFERROR(VLOOKUP(A73,[1]Tørstofindhold!A$2:B$24,2,FALSE),0)</f>
        <v>903.62213696305594</v>
      </c>
      <c r="X73" s="193">
        <f t="shared" si="12"/>
        <v>117613.81058848731</v>
      </c>
      <c r="Y73" s="171">
        <f t="shared" si="21"/>
        <v>0</v>
      </c>
      <c r="Z73" s="103">
        <f t="shared" si="22"/>
        <v>1</v>
      </c>
    </row>
    <row r="74" spans="1:26" hidden="1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771875.25410193205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-771875.25410193205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10386797.369068628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9348117.6321617663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688125.32570079644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350554.41120606475</v>
      </c>
      <c r="O75" s="195">
        <f t="shared" si="20"/>
        <v>350554.41120606475</v>
      </c>
      <c r="P75" s="205">
        <f t="shared" si="10"/>
        <v>9348117.6321617663</v>
      </c>
      <c r="Q75" s="192">
        <f>IFERROR(VLOOKUP(A75,[1]Energiindhold!$A$2:$C$11,3,FALSE),IFERROR(VLOOKUP(A75,[1]Biogasudbytte!$A$2:$B$18,2,FALSE)*[1]Energiindhold!$C$10,0))*O75</f>
        <v>0.17744713740839793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4.9093708016323632</v>
      </c>
      <c r="S75" s="192">
        <f>IFERROR(VLOOKUP(A75,[1]Biogasudbytte!$A$2:$B$18,2,FALSE)*[1]Energiindhold!$C$10,0)*J75*IFERROR(VLOOKUP(A75,Biogasanlæg!$F$3:$G$8,2,FALSE),1)</f>
        <v>4.7319236642239648</v>
      </c>
      <c r="T75" s="193">
        <f t="shared" si="11"/>
        <v>0.17744713740839835</v>
      </c>
      <c r="U75" s="191">
        <f>O75*IFERROR(VLOOKUP(A75,[1]Tørstofindhold!A$2:B$24,2,FALSE),0)</f>
        <v>26642.135251660919</v>
      </c>
      <c r="V75" s="192">
        <f>IF(D75=År1,P75,SUM(O75,P75))*IFERROR(VLOOKUP(A75,[1]Tørstofindhold!A$2:B$24,2,FALSE),0)</f>
        <v>737099.07529595518</v>
      </c>
      <c r="W75" s="192">
        <f>J75*IFERROR(VLOOKUP(A75,[1]Tørstofindhold!A$2:B$24,2,FALSE),0)</f>
        <v>710456.94004429423</v>
      </c>
      <c r="X75" s="193">
        <f t="shared" si="12"/>
        <v>26642.135251660948</v>
      </c>
      <c r="Y75" s="171">
        <f t="shared" si="21"/>
        <v>0</v>
      </c>
      <c r="Z75" s="103">
        <f t="shared" si="22"/>
        <v>1</v>
      </c>
    </row>
    <row r="76" spans="1:26" hidden="1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1296795.0922933305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84223.753359721275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5903489.3992296383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255215.75389295255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1122630.616160715</v>
      </c>
      <c r="O77" s="195">
        <f t="shared" si="20"/>
        <v>1122630.616160715</v>
      </c>
      <c r="P77" s="205">
        <f t="shared" si="10"/>
        <v>255215.75389295255</v>
      </c>
      <c r="Q77" s="192">
        <f>IFERROR(VLOOKUP(A77,[1]Energiindhold!$A$2:$C$11,3,FALSE),IFERROR(VLOOKUP(A77,[1]Biogasudbytte!$A$2:$B$18,2,FALSE)*[1]Energiindhold!$C$10,0))*O77</f>
        <v>4.0302439120169673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4.9464684684926672</v>
      </c>
      <c r="S77" s="192">
        <f>IFERROR(VLOOKUP(A77,[1]Biogasudbytte!$A$2:$B$18,2,FALSE)*[1]Energiindhold!$C$10,0)*J77*IFERROR(VLOOKUP(A77,Biogasanlæg!$F$3:$G$8,2,FALSE),1)</f>
        <v>0.91622455647569978</v>
      </c>
      <c r="T77" s="193">
        <f t="shared" si="11"/>
        <v>4.0302439120169673</v>
      </c>
      <c r="U77" s="191">
        <f>O77*IFERROR(VLOOKUP(A77,[1]Tørstofindhold!A$2:B$24,2,FALSE),0)</f>
        <v>336789.1848482145</v>
      </c>
      <c r="V77" s="192">
        <f>IF(D77=År1,P77,SUM(O77,P77))*IFERROR(VLOOKUP(A77,[1]Tørstofindhold!A$2:B$24,2,FALSE),0)</f>
        <v>413353.91101610026</v>
      </c>
      <c r="W77" s="192">
        <f>J77*IFERROR(VLOOKUP(A77,[1]Tørstofindhold!A$2:B$24,2,FALSE),0)</f>
        <v>76564.726167885761</v>
      </c>
      <c r="X77" s="193">
        <f t="shared" si="12"/>
        <v>336789.1848482145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2502141.5052936058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2029734.6292751078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O79*IFERROR(VLOOKUP(A79,[1]Tørstofindhold!A$2:B$24,2,FALSE),0)</f>
        <v>21748.400817645732</v>
      </c>
      <c r="V79" s="192">
        <f>IF(D79=År1,P79,SUM(O79,P79))*IFERROR(VLOOKUP(A79,[1]Tørstofindhold!A$2:B$24,2,FALSE),0)</f>
        <v>21748.400817645732</v>
      </c>
      <c r="W79" s="192">
        <f>J79*IFERROR(VLOOKUP(A79,[1]Tørstofindhold!A$2:B$24,2,FALSE),0)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84934.510833187902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24906.257794285637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1</v>
      </c>
      <c r="Z80" s="103">
        <f t="shared" si="22"/>
        <v>0</v>
      </c>
    </row>
    <row r="81" spans="1:26" hidden="1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1025729.6203575714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1025729.6203575714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154484.73733408173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154484.73733408173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154484.73733408173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2.8425191669471035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2.8425191669471035</v>
      </c>
      <c r="U82" s="191">
        <f>O82*IFERROR(VLOOKUP(A82,[1]Tørstofindhold!A$2:B$24,2,FALSE),0)</f>
        <v>0</v>
      </c>
      <c r="V82" s="192">
        <f>IF(D82=År1,P82,SUM(O82,P82))*IFERROR(VLOOKUP(A82,[1]Tørstofindhold!A$2:B$24,2,FALSE),0)</f>
        <v>64111.165993643925</v>
      </c>
      <c r="W82" s="192">
        <f>J82*IFERROR(VLOOKUP(A82,[1]Tørstofindhold!A$2:B$24,2,FALSE),0)</f>
        <v>0</v>
      </c>
      <c r="X82" s="193">
        <f t="shared" ref="X82:X149" si="26">V82-W82</f>
        <v>64111.165993643925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O83*IFERROR(VLOOKUP(A83,[1]Tørstofindhold!A$2:B$24,2,FALSE),0)</f>
        <v>0</v>
      </c>
      <c r="V83" s="192">
        <f>IF(D83=År1,P83,SUM(O83,P83))*IFERROR(VLOOKUP(A83,[1]Tørstofindhold!A$2:B$24,2,FALSE),0)</f>
        <v>0</v>
      </c>
      <c r="W83" s="192">
        <f>J83*IFERROR(VLOOKUP(A83,[1]Tørstofindhold!A$2:B$24,2,FALSE),0)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O84*IFERROR(VLOOKUP(A84,[1]Tørstofindhold!A$2:B$24,2,FALSE),0)</f>
        <v>0</v>
      </c>
      <c r="V84" s="192">
        <f>IF(D84=År1,P84,SUM(O84,P84))*IFERROR(VLOOKUP(A84,[1]Tørstofindhold!A$2:B$24,2,FALSE),0)</f>
        <v>0</v>
      </c>
      <c r="W84" s="192">
        <f>J84*IFERROR(VLOOKUP(A84,[1]Tørstofindhold!A$2:B$24,2,FALSE),0)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3896345.2282942934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3896345.2282942934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370490.27594297461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370490.27594297461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185245.1379714873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13965.853098477499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118556.88830175188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118556.88830175188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118556.88830175188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4.1494910905613152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4.1494910905613152</v>
      </c>
      <c r="U88" s="191">
        <f>O88*IFERROR(VLOOKUP(A88,[1]Tørstofindhold!A$2:B$24,2,FALSE),0)</f>
        <v>0</v>
      </c>
      <c r="V88" s="192">
        <f>IF(D88=År1,P88,SUM(O88,P88))*IFERROR(VLOOKUP(A88,[1]Tørstofindhold!A$2:B$24,2,FALSE),0)</f>
        <v>0</v>
      </c>
      <c r="W88" s="192">
        <f>J88*IFERROR(VLOOKUP(A88,[1]Tørstofindhold!A$2:B$24,2,FALSE),0)</f>
        <v>0</v>
      </c>
      <c r="X88" s="193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4923583.0761439931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672934.09412450308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21927.581361856195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4228721.4006576333</v>
      </c>
      <c r="O89" s="195">
        <f t="shared" si="20"/>
        <v>4228721.4006576333</v>
      </c>
      <c r="P89" s="205">
        <f t="shared" si="24"/>
        <v>21927.581361856195</v>
      </c>
      <c r="Q89" s="192">
        <f>IFERROR(VLOOKUP(A89,[1]Energiindhold!$A$2:$C$11,3,FALSE),IFERROR(VLOOKUP(A89,[1]Biogasudbytte!$A$2:$B$18,2,FALSE)*[1]Energiindhold!$C$10,0))*O89</f>
        <v>11.476919030240843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11.536431363160176</v>
      </c>
      <c r="S89" s="192">
        <f>IFERROR(VLOOKUP(A89,[1]Biogasudbytte!$A$2:$B$18,2,FALSE)*[1]Energiindhold!$C$10,0)*J89*IFERROR(VLOOKUP(A89,Biogasanlæg!$F$3:$G$8,2,FALSE),1)</f>
        <v>5.9512332919332188E-2</v>
      </c>
      <c r="T89" s="193">
        <f t="shared" si="25"/>
        <v>11.476919030240843</v>
      </c>
      <c r="U89" s="191">
        <f>O89*IFERROR(VLOOKUP(A89,[1]Tørstofindhold!A$2:B$24,2,FALSE),0)</f>
        <v>845744.28013152676</v>
      </c>
      <c r="V89" s="192">
        <f>IF(D89=År1,P89,SUM(O89,P89))*IFERROR(VLOOKUP(A89,[1]Tørstofindhold!A$2:B$24,2,FALSE),0)</f>
        <v>850129.79640389793</v>
      </c>
      <c r="W89" s="192">
        <f>J89*IFERROR(VLOOKUP(A89,[1]Tørstofindhold!A$2:B$24,2,FALSE),0)</f>
        <v>4385.5162723712392</v>
      </c>
      <c r="X89" s="193">
        <f t="shared" si="26"/>
        <v>845744.28013152664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152898.46172507474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152898.46172507474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103754.66217102103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72222.074160927164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3949558.8398278607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2451693.2150962139</v>
      </c>
      <c r="O92" s="195">
        <f t="shared" si="20"/>
        <v>2451693.2150962139</v>
      </c>
      <c r="P92" s="205">
        <f t="shared" si="24"/>
        <v>1497865.6247316466</v>
      </c>
      <c r="Q92" s="192">
        <f>IFERROR(VLOOKUP(A92,[1]Energiindhold!$A$2:$C$11,3,FALSE),IFERROR(VLOOKUP(A92,[1]Biogasudbytte!$A$2:$B$18,2,FALSE)*[1]Energiindhold!$C$10,0))*O92</f>
        <v>1.2234194312651618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92">
        <f>IFERROR(VLOOKUP(A92,[1]Biogasudbytte!$A$2:$B$18,2,FALSE)*[1]Energiindhold!$C$10,0)*J92*IFERROR(VLOOKUP(A92,Biogasanlæg!$F$3:$G$8,2,FALSE),1)</f>
        <v>0.74744992539733912</v>
      </c>
      <c r="T92" s="193">
        <f t="shared" si="25"/>
        <v>1.2234194312651616</v>
      </c>
      <c r="U92" s="191">
        <f>O92*IFERROR(VLOOKUP(A92,[1]Tørstofindhold!A$2:B$24,2,FALSE),0)</f>
        <v>147101.59290577282</v>
      </c>
      <c r="V92" s="192">
        <f>IF(D92=År1,P92,SUM(O92,P92))*IFERROR(VLOOKUP(A92,[1]Tørstofindhold!A$2:B$24,2,FALSE),0)</f>
        <v>236973.53038967162</v>
      </c>
      <c r="W92" s="192">
        <f>J92*IFERROR(VLOOKUP(A92,[1]Tørstofindhold!A$2:B$24,2,FALSE),0)</f>
        <v>89871.937483898801</v>
      </c>
      <c r="X92" s="193">
        <f t="shared" si="26"/>
        <v>147101.59290577282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12059866.540704856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10853879.88663437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1205986.6540704854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10853879.88663437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4.6758514551620873</v>
      </c>
      <c r="S93" s="192">
        <f>IFERROR(VLOOKUP(A93,[1]Biogasudbytte!$A$2:$B$18,2,FALSE)*[1]Energiindhold!$C$10,0)*J93*IFERROR(VLOOKUP(A93,Biogasanlæg!$F$3:$G$8,2,FALSE),1)</f>
        <v>4.6758514551620873</v>
      </c>
      <c r="T93" s="193">
        <f t="shared" si="25"/>
        <v>0</v>
      </c>
      <c r="U93" s="191">
        <f>O93*IFERROR(VLOOKUP(A93,[1]Tørstofindhold!A$2:B$24,2,FALSE),0)</f>
        <v>0</v>
      </c>
      <c r="V93" s="192">
        <f>IF(D93=År1,P93,SUM(O93,P93))*IFERROR(VLOOKUP(A93,[1]Tørstofindhold!A$2:B$24,2,FALSE),0)</f>
        <v>542693.99433171854</v>
      </c>
      <c r="W93" s="192">
        <f>J93*IFERROR(VLOOKUP(A93,[1]Tørstofindhold!A$2:B$24,2,FALSE),0)</f>
        <v>542693.99433171854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1102410.4206254377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980534.87657675741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O95*IFERROR(VLOOKUP(A95,[1]Tørstofindhold!A$2:B$24,2,FALSE),0)</f>
        <v>1620</v>
      </c>
      <c r="V95" s="192">
        <f>IF(D95=År1,P95,SUM(O95,P95))*IFERROR(VLOOKUP(A95,[1]Tørstofindhold!A$2:B$24,2,FALSE),0)</f>
        <v>1620</v>
      </c>
      <c r="W95" s="192">
        <f>J95*IFERROR(VLOOKUP(A95,[1]Tørstofindhold!A$2:B$24,2,FALSE),0)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2216341.6308326661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2216341.6308326661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2216341.6308326661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32.122700134129985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32.122700134129985</v>
      </c>
      <c r="U97" s="191">
        <f>O97*IFERROR(VLOOKUP(A97,[1]Tørstofindhold!A$2:B$24,2,FALSE),0)</f>
        <v>0</v>
      </c>
      <c r="V97" s="192">
        <f>IF(D97=År1,P97,SUM(O97,P97))*IFERROR(VLOOKUP(A97,[1]Tørstofindhold!A$2:B$24,2,FALSE),0)</f>
        <v>1096165.6315826562</v>
      </c>
      <c r="W97" s="192">
        <f>J97*IFERROR(VLOOKUP(A97,[1]Tørstofindhold!A$2:B$24,2,FALSE),0)</f>
        <v>0</v>
      </c>
      <c r="X97" s="193">
        <f t="shared" si="26"/>
        <v>1096165.6315826562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613803.17949896643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613803.17949896643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hidden="1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166578.5911943354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132728.62230789059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229440.63810667559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177841.85772652199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O101*IFERROR(VLOOKUP(A101,[1]Tørstofindhold!A$2:B$24,2,FALSE),0)</f>
        <v>0</v>
      </c>
      <c r="V101" s="192">
        <f ca="1">IF(D101=År1,P101,SUM(O101,P101))*IFERROR(VLOOKUP(A101,[1]Tørstofindhold!A$2:B$24,2,FALSE),0)</f>
        <v>55295.585392034671</v>
      </c>
      <c r="W101" s="192">
        <f ca="1">J101*IFERROR(VLOOKUP(A101,[1]Tørstofindhold!A$2:B$24,2,FALSE),0)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501057849.5712257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501057849.5712257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501057849.5712257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O102*IFERROR(VLOOKUP(A102,[1]Tørstofindhold!A$2:B$24,2,FALSE),0)</f>
        <v>0</v>
      </c>
      <c r="V102" s="192">
        <f ca="1"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21558531.376915034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19034352.153405923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2524179.2235091105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O104*IFERROR(VLOOKUP(A104,[1]Tørstofindhold!A$2:B$24,2,FALSE),0)</f>
        <v>0</v>
      </c>
      <c r="V104" s="192">
        <f>IF(D104=År1,P104,SUM(O104,P104))*IFERROR(VLOOKUP(A104,[1]Tørstofindhold!A$2:B$24,2,FALSE),0)</f>
        <v>0</v>
      </c>
      <c r="W104" s="192">
        <f>J104*IFERROR(VLOOKUP(A104,[1]Tørstofindhold!A$2:B$24,2,FALSE),0)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hidden="1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2222382.1821508599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690525.89231115999</v>
      </c>
      <c r="O105" s="195">
        <f t="shared" si="20"/>
        <v>690525.89231115999</v>
      </c>
      <c r="P105" s="205">
        <f t="shared" si="24"/>
        <v>1111191.0910754299</v>
      </c>
      <c r="Q105" s="192">
        <f>IFERROR(VLOOKUP(A105,[1]Energiindhold!$A$2:$C$11,3,FALSE),IFERROR(VLOOKUP(A105,[1]Biogasudbytte!$A$2:$B$18,2,FALSE)*[1]Energiindhold!$C$10,0))*O105</f>
        <v>1.4873927720382387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92">
        <f>IFERROR(VLOOKUP(A105,[1]Biogasudbytte!$A$2:$B$18,2,FALSE)*[1]Energiindhold!$C$10,0)*J105*IFERROR(VLOOKUP(A105,Biogasanlæg!$F$3:$G$8,2,FALSE),1)</f>
        <v>2.3935056101764762</v>
      </c>
      <c r="T105" s="193">
        <f t="shared" si="25"/>
        <v>1.4873927720382389</v>
      </c>
      <c r="U105" s="191">
        <f>O105*IFERROR(VLOOKUP(A105,[1]Tørstofindhold!A$2:B$24,2,FALSE),0)</f>
        <v>207157.767693348</v>
      </c>
      <c r="V105" s="192">
        <f>IF(D105=År1,P105,SUM(O105,P105))*IFERROR(VLOOKUP(A105,[1]Tørstofindhold!A$2:B$24,2,FALSE),0)</f>
        <v>540515.09501597693</v>
      </c>
      <c r="W105" s="192">
        <f>J105*IFERROR(VLOOKUP(A105,[1]Tørstofindhold!A$2:B$24,2,FALSE),0)</f>
        <v>333357.32732262899</v>
      </c>
      <c r="X105" s="193">
        <f t="shared" si="26"/>
        <v>207157.76769334794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hidden="1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6892.4253779859373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6203.1828401873436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521.85506433322087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167.38747346537275</v>
      </c>
      <c r="O107" s="195">
        <f t="shared" si="20"/>
        <v>167.38747346537275</v>
      </c>
      <c r="P107" s="205">
        <f t="shared" si="24"/>
        <v>6203.1828401873436</v>
      </c>
      <c r="Q107" s="192">
        <f>IFERROR(VLOOKUP(A107,[1]Energiindhold!$A$2:$C$11,3,FALSE),IFERROR(VLOOKUP(A107,[1]Biogasudbytte!$A$2:$B$18,2,FALSE)*[1]Energiindhold!$C$10,0))*O107</f>
        <v>7.8720654896030152E-5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2.9960155128077363E-3</v>
      </c>
      <c r="S107" s="192">
        <f>IFERROR(VLOOKUP(A107,[1]Biogasudbytte!$A$2:$B$18,2,FALSE)*[1]Energiindhold!$C$10,0)*J107*IFERROR(VLOOKUP(A107,Biogasanlæg!$F$3:$G$8,2,FALSE),1)</f>
        <v>2.917294857911706E-3</v>
      </c>
      <c r="T107" s="193">
        <f t="shared" si="25"/>
        <v>7.8720654896030206E-5</v>
      </c>
      <c r="U107" s="191">
        <f>O107*IFERROR(VLOOKUP(A107,[1]Tørstofindhold!A$2:B$24,2,FALSE),0)</f>
        <v>10.545410828318483</v>
      </c>
      <c r="V107" s="192">
        <f>IF(D107=År1,P107,SUM(O107,P107))*IFERROR(VLOOKUP(A107,[1]Tørstofindhold!A$2:B$24,2,FALSE),0)</f>
        <v>401.34592976012112</v>
      </c>
      <c r="W107" s="192">
        <f>J107*IFERROR(VLOOKUP(A107,[1]Tørstofindhold!A$2:B$24,2,FALSE),0)</f>
        <v>390.80051893180263</v>
      </c>
      <c r="X107" s="193">
        <f t="shared" si="26"/>
        <v>10.545410828318495</v>
      </c>
      <c r="Y107" s="171">
        <f t="shared" si="21"/>
        <v>0</v>
      </c>
      <c r="Z107" s="103">
        <f t="shared" si="22"/>
        <v>1</v>
      </c>
    </row>
    <row r="108" spans="1:26" hidden="1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138927.00099994309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102256.20137296121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1145476.8591293055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1145476.8591293055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32793.097303413146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-235185.82304760831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29404263.983943939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66758.668734263701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19547353.387803037</v>
      </c>
      <c r="O112" s="195">
        <f t="shared" si="20"/>
        <v>19547353.387803037</v>
      </c>
      <c r="P112" s="205">
        <f t="shared" si="24"/>
        <v>66758.668734263701</v>
      </c>
      <c r="Q112" s="192">
        <f>IFERROR(VLOOKUP(A112,[1]Energiindhold!$A$2:$C$11,3,FALSE),IFERROR(VLOOKUP(A112,[1]Biogasudbytte!$A$2:$B$18,2,FALSE)*[1]Energiindhold!$C$10,0))*O112</f>
        <v>35.964686814384116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36.08751442002157</v>
      </c>
      <c r="S112" s="192">
        <f>IFERROR(VLOOKUP(A112,[1]Biogasudbytte!$A$2:$B$18,2,FALSE)*[1]Energiindhold!$C$10,0)*J112*IFERROR(VLOOKUP(A112,Biogasanlæg!$F$3:$G$8,2,FALSE),1)</f>
        <v>0.12282760563745343</v>
      </c>
      <c r="T112" s="193">
        <f t="shared" si="25"/>
        <v>35.964686814384116</v>
      </c>
      <c r="U112" s="191">
        <f>O112*IFERROR(VLOOKUP(A112,[1]Tørstofindhold!A$2:B$24,2,FALSE),0)</f>
        <v>5473258.9485848509</v>
      </c>
      <c r="V112" s="192">
        <f>IF(D112=År1,P112,SUM(O112,P112))*IFERROR(VLOOKUP(A112,[1]Tørstofindhold!A$2:B$24,2,FALSE),0)</f>
        <v>5491951.3758304445</v>
      </c>
      <c r="W112" s="192">
        <f>J112*IFERROR(VLOOKUP(A112,[1]Tørstofindhold!A$2:B$24,2,FALSE),0)</f>
        <v>18692.427245593837</v>
      </c>
      <c r="X112" s="193">
        <f t="shared" si="26"/>
        <v>5473258.9485848509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220830.77573350482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-59841.882949933439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2835213.6153094829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579210.80448009283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56360.409398816068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1581173.6865962329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1637534.095995049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16.667653207999045</v>
      </c>
      <c r="S115" s="192">
        <f>IFERROR(VLOOKUP(A115,[1]Biogasudbytte!$A$2:$B$18,2,FALSE)*[1]Energiindhold!$C$10,0)*J115*IFERROR(VLOOKUP(A115,Biogasanlæg!$F$3:$G$8,2,FALSE),1)</f>
        <v>0.32494819480525</v>
      </c>
      <c r="T115" s="193">
        <f t="shared" si="25"/>
        <v>16.342705013193797</v>
      </c>
      <c r="U115" s="191">
        <f>O115*IFERROR(VLOOKUP(A115,[1]Tørstofindhold!A$2:B$24,2,FALSE),0)</f>
        <v>0</v>
      </c>
      <c r="V115" s="192">
        <f>IF(D115=År1,P115,SUM(O115,P115))*IFERROR(VLOOKUP(A115,[1]Tørstofindhold!A$2:B$24,2,FALSE),0)</f>
        <v>1391903.9815957916</v>
      </c>
      <c r="W115" s="192">
        <f>J115*IFERROR(VLOOKUP(A115,[1]Tørstofindhold!A$2:B$24,2,FALSE),0)</f>
        <v>47906.347988993657</v>
      </c>
      <c r="X115" s="193">
        <f t="shared" si="26"/>
        <v>1343997.633606798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O116*IFERROR(VLOOKUP(A116,[1]Tørstofindhold!A$2:B$24,2,FALSE),0)</f>
        <v>0</v>
      </c>
      <c r="V116" s="192">
        <f>IF(D116=År1,P116,SUM(O116,P116))*IFERROR(VLOOKUP(A116,[1]Tørstofindhold!A$2:B$24,2,FALSE),0)</f>
        <v>157464.59251181944</v>
      </c>
      <c r="W116" s="192">
        <f>J116*IFERROR(VLOOKUP(A116,[1]Tørstofindhold!A$2:B$24,2,FALSE),0)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-3862742.0312364982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hidden="1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453678.05576738477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-51417.493458536803</v>
      </c>
      <c r="O118" s="195">
        <f t="shared" si="20"/>
        <v>0</v>
      </c>
      <c r="P118" s="205">
        <f t="shared" si="24"/>
        <v>505095.54922592157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92">
        <f>IFERROR(VLOOKUP(A118,[1]Biogasudbytte!$A$2:$B$18,2,FALSE)*[1]Energiindhold!$C$10,0)*J118*IFERROR(VLOOKUP(A118,Biogasanlæg!$F$3:$G$8,2,FALSE),1)</f>
        <v>1.8603479756347201</v>
      </c>
      <c r="T118" s="193">
        <f t="shared" si="25"/>
        <v>0</v>
      </c>
      <c r="U118" s="191">
        <f>O118*IFERROR(VLOOKUP(A118,[1]Tørstofindhold!A$2:B$24,2,FALSE),0)</f>
        <v>0</v>
      </c>
      <c r="V118" s="192">
        <f>IF(D118=År1,P118,SUM(O118,P118))*IFERROR(VLOOKUP(A118,[1]Tørstofindhold!A$2:B$24,2,FALSE),0)</f>
        <v>212140.13067488704</v>
      </c>
      <c r="W118" s="192">
        <f>J118*IFERROR(VLOOKUP(A118,[1]Tørstofindhold!A$2:B$24,2,FALSE),0)</f>
        <v>212140.13067488704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hidden="1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729011.95091777691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729011.95091777691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1818589.8087592444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1690242.0100648077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5523408.7197105791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2901.770538547059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509664.23685699236</v>
      </c>
      <c r="O121" s="195">
        <f t="shared" si="20"/>
        <v>509664.23685699236</v>
      </c>
      <c r="P121" s="205">
        <f t="shared" si="24"/>
        <v>2901.770538547059</v>
      </c>
      <c r="Q121" s="192">
        <f>IFERROR(VLOOKUP(A121,[1]Energiindhold!$A$2:$C$11,3,FALSE),IFERROR(VLOOKUP(A121,[1]Biogasudbytte!$A$2:$B$18,2,FALSE)*[1]Energiindhold!$C$10,0))*O121</f>
        <v>1.7455286582420391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1.7554668160886873</v>
      </c>
      <c r="S121" s="192">
        <f>IFERROR(VLOOKUP(A121,[1]Biogasudbytte!$A$2:$B$18,2,FALSE)*[1]Energiindhold!$C$10,0)*J121*IFERROR(VLOOKUP(A121,Biogasanlæg!$F$3:$G$8,2,FALSE),1)</f>
        <v>9.9381578466482823E-3</v>
      </c>
      <c r="T121" s="193">
        <f t="shared" si="25"/>
        <v>1.7455286582420391</v>
      </c>
      <c r="U121" s="191">
        <f>O121*IFERROR(VLOOKUP(A121,[1]Tørstofindhold!A$2:B$24,2,FALSE),0)</f>
        <v>157995.91342566762</v>
      </c>
      <c r="V121" s="192">
        <f>IF(D121=År1,P121,SUM(O121,P121))*IFERROR(VLOOKUP(A121,[1]Tørstofindhold!A$2:B$24,2,FALSE),0)</f>
        <v>158895.46229261722</v>
      </c>
      <c r="W121" s="192">
        <f>J121*IFERROR(VLOOKUP(A121,[1]Tørstofindhold!A$2:B$24,2,FALSE),0)</f>
        <v>899.54886694958827</v>
      </c>
      <c r="X121" s="193">
        <f t="shared" si="26"/>
        <v>157995.91342566762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725594.03868632857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-725594.03868632857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10188325.202039858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9169492.6818358731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674976.54463514045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343855.97556884401</v>
      </c>
      <c r="O123" s="195">
        <f t="shared" si="20"/>
        <v>343855.97556884401</v>
      </c>
      <c r="P123" s="205">
        <f t="shared" si="24"/>
        <v>9169492.6818358731</v>
      </c>
      <c r="Q123" s="192">
        <f>IFERROR(VLOOKUP(A123,[1]Energiindhold!$A$2:$C$11,3,FALSE),IFERROR(VLOOKUP(A123,[1]Biogasudbytte!$A$2:$B$18,2,FALSE)*[1]Energiindhold!$C$10,0))*O123</f>
        <v>0.17405645627319316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4.8155619568916936</v>
      </c>
      <c r="S123" s="192">
        <f>IFERROR(VLOOKUP(A123,[1]Biogasudbytte!$A$2:$B$18,2,FALSE)*[1]Energiindhold!$C$10,0)*J123*IFERROR(VLOOKUP(A123,Biogasanlæg!$F$3:$G$8,2,FALSE),1)</f>
        <v>4.6415055006185009</v>
      </c>
      <c r="T123" s="193">
        <f t="shared" si="25"/>
        <v>0.17405645627319277</v>
      </c>
      <c r="U123" s="191">
        <f>O123*IFERROR(VLOOKUP(A123,[1]Tørstofindhold!A$2:B$24,2,FALSE),0)</f>
        <v>26133.054143232144</v>
      </c>
      <c r="V123" s="192">
        <f>IF(D123=År1,P123,SUM(O123,P123))*IFERROR(VLOOKUP(A123,[1]Tørstofindhold!A$2:B$24,2,FALSE),0)</f>
        <v>723014.49796275853</v>
      </c>
      <c r="W123" s="192">
        <f>J123*IFERROR(VLOOKUP(A123,[1]Tørstofindhold!A$2:B$24,2,FALSE),0)</f>
        <v>696881.44381952635</v>
      </c>
      <c r="X123" s="193">
        <f t="shared" si="26"/>
        <v>26133.054143232177</v>
      </c>
      <c r="Y123" s="171">
        <f t="shared" si="21"/>
        <v>0</v>
      </c>
      <c r="Z123" s="103">
        <f t="shared" si="22"/>
        <v>1</v>
      </c>
    </row>
    <row r="124" spans="1:26" hidden="1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1272706.7760624508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60135.437128841644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6101831.6290168501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254098.83749353027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1322089.762347349</v>
      </c>
      <c r="O125" s="195">
        <f t="shared" si="20"/>
        <v>1322089.762347349</v>
      </c>
      <c r="P125" s="205">
        <f t="shared" si="24"/>
        <v>254098.83749353027</v>
      </c>
      <c r="Q125" s="192">
        <f>IFERROR(VLOOKUP(A125,[1]Energiindhold!$A$2:$C$11,3,FALSE),IFERROR(VLOOKUP(A125,[1]Biogasudbytte!$A$2:$B$18,2,FALSE)*[1]Energiindhold!$C$10,0))*O125</f>
        <v>4.7463022468269829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5.6585170734287562</v>
      </c>
      <c r="S125" s="192">
        <f>IFERROR(VLOOKUP(A125,[1]Biogasudbytte!$A$2:$B$18,2,FALSE)*[1]Energiindhold!$C$10,0)*J125*IFERROR(VLOOKUP(A125,Biogasanlæg!$F$3:$G$8,2,FALSE),1)</f>
        <v>0.91221482660177378</v>
      </c>
      <c r="T125" s="193">
        <f t="shared" si="25"/>
        <v>4.746302246826982</v>
      </c>
      <c r="U125" s="191">
        <f>O125*IFERROR(VLOOKUP(A125,[1]Tørstofindhold!A$2:B$24,2,FALSE),0)</f>
        <v>396626.92870420468</v>
      </c>
      <c r="V125" s="192">
        <f>IF(D125=År1,P125,SUM(O125,P125))*IFERROR(VLOOKUP(A125,[1]Tørstofindhold!A$2:B$24,2,FALSE),0)</f>
        <v>472856.57995226374</v>
      </c>
      <c r="W125" s="192">
        <f>J125*IFERROR(VLOOKUP(A125,[1]Tørstofindhold!A$2:B$24,2,FALSE),0)</f>
        <v>76229.651248059075</v>
      </c>
      <c r="X125" s="193">
        <f t="shared" si="26"/>
        <v>396626.92870420468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2455663.5565474145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1964839.0076939645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O127*IFERROR(VLOOKUP(A127,[1]Tørstofindhold!A$2:B$24,2,FALSE),0)</f>
        <v>29214.269755046505</v>
      </c>
      <c r="V127" s="192">
        <f>IF(D127=År1,P127,SUM(O127,P127))*IFERROR(VLOOKUP(A127,[1]Tørstofindhold!A$2:B$24,2,FALSE),0)</f>
        <v>29214.269755046505</v>
      </c>
      <c r="W127" s="192">
        <f>J127*IFERROR(VLOOKUP(A127,[1]Tørstofindhold!A$2:B$24,2,FALSE),0)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82230.492590145455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19861.924916870877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1048609.453845398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1048609.453845398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158491.06742829576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158491.06742829576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158491.06742829576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2.9162356406806413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2.9162356406806413</v>
      </c>
      <c r="U130" s="191">
        <f>O130*IFERROR(VLOOKUP(A130,[1]Tørstofindhold!A$2:B$24,2,FALSE),0)</f>
        <v>0</v>
      </c>
      <c r="V130" s="192">
        <f>IF(D130=År1,P130,SUM(O130,P130))*IFERROR(VLOOKUP(A130,[1]Tørstofindhold!A$2:B$24,2,FALSE),0)</f>
        <v>65773.792982742743</v>
      </c>
      <c r="W130" s="192">
        <f>J130*IFERROR(VLOOKUP(A130,[1]Tørstofindhold!A$2:B$24,2,FALSE),0)</f>
        <v>0</v>
      </c>
      <c r="X130" s="193">
        <f t="shared" si="26"/>
        <v>65773.792982742743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O131*IFERROR(VLOOKUP(A131,[1]Tørstofindhold!A$2:B$24,2,FALSE),0)</f>
        <v>0</v>
      </c>
      <c r="V131" s="192">
        <f>IF(D131=År1,P131,SUM(O131,P131))*IFERROR(VLOOKUP(A131,[1]Tørstofindhold!A$2:B$24,2,FALSE),0)</f>
        <v>0</v>
      </c>
      <c r="W131" s="192">
        <f>J131*IFERROR(VLOOKUP(A131,[1]Tørstofindhold!A$2:B$24,2,FALSE),0)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O132*IFERROR(VLOOKUP(A132,[1]Tørstofindhold!A$2:B$24,2,FALSE),0)</f>
        <v>0</v>
      </c>
      <c r="V132" s="192">
        <f>IF(D132=År1,P132,SUM(O132,P132))*IFERROR(VLOOKUP(A132,[1]Tørstofindhold!A$2:B$24,2,FALSE),0)</f>
        <v>0</v>
      </c>
      <c r="W132" s="192">
        <f>J132*IFERROR(VLOOKUP(A132,[1]Tørstofindhold!A$2:B$24,2,FALSE),0)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3823969.5719075543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3823969.5719075543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378080.80621229054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378080.80621229054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189040.40310614527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17761.118233135465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120985.85798793298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120985.85798793298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120985.85798793298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4.2345050295776536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4.2345050295776536</v>
      </c>
      <c r="U136" s="191">
        <f>O136*IFERROR(VLOOKUP(A136,[1]Tørstofindhold!A$2:B$24,2,FALSE),0)</f>
        <v>0</v>
      </c>
      <c r="V136" s="192">
        <f>IF(D136=År1,P136,SUM(O136,P136))*IFERROR(VLOOKUP(A136,[1]Tørstofindhold!A$2:B$24,2,FALSE),0)</f>
        <v>0</v>
      </c>
      <c r="W136" s="192">
        <f>J136*IFERROR(VLOOKUP(A136,[1]Tørstofindhold!A$2:B$24,2,FALSE),0)</f>
        <v>0</v>
      </c>
      <c r="X136" s="193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5024574.3595380196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21821.426523041016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4329818.8388904752</v>
      </c>
      <c r="O137" s="195">
        <f t="shared" si="39"/>
        <v>4329818.8388904752</v>
      </c>
      <c r="P137" s="205">
        <f t="shared" si="24"/>
        <v>21821.426523041016</v>
      </c>
      <c r="Q137" s="192">
        <f>IFERROR(VLOOKUP(A137,[1]Energiindhold!$A$2:$C$11,3,FALSE),IFERROR(VLOOKUP(A137,[1]Biogasudbytte!$A$2:$B$18,2,FALSE)*[1]Energiindhold!$C$10,0))*O137</f>
        <v>11.751301521502306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11.8105257459429</v>
      </c>
      <c r="S137" s="192">
        <f>IFERROR(VLOOKUP(A137,[1]Biogasudbytte!$A$2:$B$18,2,FALSE)*[1]Energiindhold!$C$10,0)*J137*IFERROR(VLOOKUP(A137,Biogasanlæg!$F$3:$G$8,2,FALSE),1)</f>
        <v>5.9224224440594241E-2</v>
      </c>
      <c r="T137" s="193">
        <f t="shared" si="25"/>
        <v>11.751301521502306</v>
      </c>
      <c r="U137" s="191">
        <f>O137*IFERROR(VLOOKUP(A137,[1]Tørstofindhold!A$2:B$24,2,FALSE),0)</f>
        <v>865963.76777809509</v>
      </c>
      <c r="V137" s="192">
        <f>IF(D137=År1,P137,SUM(O137,P137))*IFERROR(VLOOKUP(A137,[1]Tørstofindhold!A$2:B$24,2,FALSE),0)</f>
        <v>870328.05308270326</v>
      </c>
      <c r="W137" s="192">
        <f>J137*IFERROR(VLOOKUP(A137,[1]Tørstofindhold!A$2:B$24,2,FALSE),0)</f>
        <v>4364.2853046082037</v>
      </c>
      <c r="X137" s="193">
        <f t="shared" si="26"/>
        <v>865963.76777809509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148453.72937457461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148453.72937457461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100880.19861397019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69347.610603876325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4097932.7879593684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2543796.5149034681</v>
      </c>
      <c r="O140" s="195">
        <f t="shared" si="39"/>
        <v>2543796.5149034681</v>
      </c>
      <c r="P140" s="205">
        <f t="shared" si="24"/>
        <v>1554136.2730559006</v>
      </c>
      <c r="Q140" s="192">
        <f>IFERROR(VLOOKUP(A140,[1]Energiindhold!$A$2:$C$11,3,FALSE),IFERROR(VLOOKUP(A140,[1]Biogasudbytte!$A$2:$B$18,2,FALSE)*[1]Energiindhold!$C$10,0))*O140</f>
        <v>1.2693798989019798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92">
        <f>IFERROR(VLOOKUP(A140,[1]Biogasudbytte!$A$2:$B$18,2,FALSE)*[1]Energiindhold!$C$10,0)*J140*IFERROR(VLOOKUP(A140,Biogasanlæg!$F$3:$G$8,2,FALSE),1)</f>
        <v>0.77552954161762511</v>
      </c>
      <c r="T140" s="193">
        <f t="shared" si="25"/>
        <v>1.2693798989019798</v>
      </c>
      <c r="U140" s="191">
        <f>O140*IFERROR(VLOOKUP(A140,[1]Tørstofindhold!A$2:B$24,2,FALSE),0)</f>
        <v>152627.79089420807</v>
      </c>
      <c r="V140" s="192">
        <f>IF(D140=År1,P140,SUM(O140,P140))*IFERROR(VLOOKUP(A140,[1]Tørstofindhold!A$2:B$24,2,FALSE),0)</f>
        <v>245875.96727756213</v>
      </c>
      <c r="W140" s="192">
        <f>J140*IFERROR(VLOOKUP(A140,[1]Tørstofindhold!A$2:B$24,2,FALSE),0)</f>
        <v>93248.176383354032</v>
      </c>
      <c r="X140" s="193">
        <f t="shared" si="26"/>
        <v>152627.7908942081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11545833.414063649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10391250.072657285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1154583.3414063647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10391250.072657285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4.4765505313007594</v>
      </c>
      <c r="S141" s="192">
        <f>IFERROR(VLOOKUP(A141,[1]Biogasudbytte!$A$2:$B$18,2,FALSE)*[1]Energiindhold!$C$10,0)*J141*IFERROR(VLOOKUP(A141,Biogasanlæg!$F$3:$G$8,2,FALSE),1)</f>
        <v>4.4765505313007594</v>
      </c>
      <c r="T141" s="193">
        <f t="shared" si="25"/>
        <v>0</v>
      </c>
      <c r="U141" s="191">
        <f>O141*IFERROR(VLOOKUP(A141,[1]Tørstofindhold!A$2:B$24,2,FALSE),0)</f>
        <v>0</v>
      </c>
      <c r="V141" s="192">
        <f>IF(D141=År1,P141,SUM(O141,P141))*IFERROR(VLOOKUP(A141,[1]Tørstofindhold!A$2:B$24,2,FALSE),0)</f>
        <v>519562.50363286427</v>
      </c>
      <c r="W141" s="192">
        <f>J141*IFERROR(VLOOKUP(A141,[1]Tørstofindhold!A$2:B$24,2,FALSE),0)</f>
        <v>519562.50363286427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1072120.6999068451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945493.60796413617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O143*IFERROR(VLOOKUP(A143,[1]Tørstofindhold!A$2:B$24,2,FALSE),0)</f>
        <v>2025</v>
      </c>
      <c r="V143" s="192">
        <f>IF(D143=År1,P143,SUM(O143,P143))*IFERROR(VLOOKUP(A143,[1]Tørstofindhold!A$2:B$24,2,FALSE),0)</f>
        <v>2025</v>
      </c>
      <c r="W143" s="192">
        <f>J143*IFERROR(VLOOKUP(A143,[1]Tørstofindhold!A$2:B$24,2,FALSE),0)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2235295.9759470159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2235295.9759470159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2235295.9759470159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32.397416241013886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32.397416241013886</v>
      </c>
      <c r="U145" s="191">
        <f>O145*IFERROR(VLOOKUP(A145,[1]Tørstofindhold!A$2:B$24,2,FALSE),0)</f>
        <v>0</v>
      </c>
      <c r="V145" s="192">
        <f>IF(D145=År1,P145,SUM(O145,P145))*IFERROR(VLOOKUP(A145,[1]Tørstofindhold!A$2:B$24,2,FALSE),0)</f>
        <v>1105540.1347704616</v>
      </c>
      <c r="W145" s="192">
        <f>J145*IFERROR(VLOOKUP(A145,[1]Tørstofindhold!A$2:B$24,2,FALSE),0)</f>
        <v>0</v>
      </c>
      <c r="X145" s="193">
        <f t="shared" si="26"/>
        <v>1105540.1347704616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687223.1739007252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687223.1739007252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hidden="1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O149*IFERROR(VLOOKUP(A149,[1]Tørstofindhold!A$2:B$24,2,FALSE),0)</f>
        <v>0</v>
      </c>
      <c r="V149" s="192">
        <f ca="1">IF(D149=År1,P149,SUM(O149,P149))*IFERROR(VLOOKUP(A149,[1]Tørstofindhold!A$2:B$24,2,FALSE),0)</f>
        <v>93965.299605017586</v>
      </c>
      <c r="W149" s="192">
        <f ca="1">J149*IFERROR(VLOOKUP(A149,[1]Tørstofindhold!A$2:B$24,2,FALSE),0)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O150*IFERROR(VLOOKUP(A150,[1]Tørstofindhold!A$2:B$24,2,FALSE),0)</f>
        <v>0</v>
      </c>
      <c r="V150" s="192">
        <f ca="1"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O152*IFERROR(VLOOKUP(A152,[1]Tørstofindhold!A$2:B$24,2,FALSE),0)</f>
        <v>0</v>
      </c>
      <c r="V152" s="192">
        <f>IF(D152=År1,P152,SUM(O152,P152))*IFERROR(VLOOKUP(A152,[1]Tørstofindhold!A$2:B$24,2,FALSE),0)</f>
        <v>0</v>
      </c>
      <c r="W152" s="192">
        <f>J152*IFERROR(VLOOKUP(A152,[1]Tørstofindhold!A$2:B$24,2,FALSE),0)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O153*IFERROR(VLOOKUP(A153,[1]Tørstofindhold!A$2:B$24,2,FALSE),0)</f>
        <v>46023.172979508287</v>
      </c>
      <c r="V153" s="192">
        <f>IF(D153=År1,P153,SUM(O153,P153))*IFERROR(VLOOKUP(A153,[1]Tørstofindhold!A$2:B$24,2,FALSE),0)</f>
        <v>25767.69853491227</v>
      </c>
      <c r="W153" s="192">
        <f>J153*IFERROR(VLOOKUP(A153,[1]Tørstofindhold!A$2:B$24,2,FALSE),0)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O155*IFERROR(VLOOKUP(A155,[1]Tørstofindhold!A$2:B$24,2,FALSE),0)</f>
        <v>5.1667154758723441</v>
      </c>
      <c r="V155" s="192">
        <f>IF(D155=År1,P155,SUM(O155,P155))*IFERROR(VLOOKUP(A155,[1]Tørstofindhold!A$2:B$24,2,FALSE),0)</f>
        <v>21.274710783003783</v>
      </c>
      <c r="W155" s="192">
        <f>J155*IFERROR(VLOOKUP(A155,[1]Tørstofindhold!A$2:B$24,2,FALSE),0)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hidden="1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O160*IFERROR(VLOOKUP(A160,[1]Tørstofindhold!A$2:B$24,2,FALSE),0)</f>
        <v>158991.90017574377</v>
      </c>
      <c r="V160" s="192">
        <f>IF(D160=År1,P160,SUM(O160,P160))*IFERROR(VLOOKUP(A160,[1]Tørstofindhold!A$2:B$24,2,FALSE),0)</f>
        <v>2780.6341080944362</v>
      </c>
      <c r="W160" s="192">
        <f>J160*IFERROR(VLOOKUP(A160,[1]Tørstofindhold!A$2:B$24,2,FALSE),0)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O163*IFERROR(VLOOKUP(A163,[1]Tørstofindhold!A$2:B$24,2,FALSE),0)</f>
        <v>0</v>
      </c>
      <c r="V163" s="192">
        <f>IF(D163=År1,P163,SUM(O163,P163))*IFERROR(VLOOKUP(A163,[1]Tørstofindhold!A$2:B$24,2,FALSE),0)</f>
        <v>643424.50540230493</v>
      </c>
      <c r="W163" s="192">
        <f>J163*IFERROR(VLOOKUP(A163,[1]Tørstofindhold!A$2:B$24,2,FALSE),0)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O164*IFERROR(VLOOKUP(A164,[1]Tørstofindhold!A$2:B$24,2,FALSE),0)</f>
        <v>0</v>
      </c>
      <c r="V164" s="192">
        <f>IF(D164=År1,P164,SUM(O164,P164))*IFERROR(VLOOKUP(A164,[1]Tørstofindhold!A$2:B$24,2,FALSE),0)</f>
        <v>135703.9537013004</v>
      </c>
      <c r="W164" s="192">
        <f>J164*IFERROR(VLOOKUP(A164,[1]Tørstofindhold!A$2:B$24,2,FALSE),0)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O166*IFERROR(VLOOKUP(A166,[1]Tørstofindhold!A$2:B$24,2,FALSE),0)</f>
        <v>0</v>
      </c>
      <c r="V166" s="192">
        <f>IF(D166=År1,P166,SUM(O166,P166))*IFERROR(VLOOKUP(A166,[1]Tørstofindhold!A$2:B$24,2,FALSE),0)</f>
        <v>117411.1041450089</v>
      </c>
      <c r="W166" s="192">
        <f>J166*IFERROR(VLOOKUP(A166,[1]Tørstofindhold!A$2:B$24,2,FALSE),0)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O169*IFERROR(VLOOKUP(A169,[1]Tørstofindhold!A$2:B$24,2,FALSE),0)</f>
        <v>405810.34249165189</v>
      </c>
      <c r="V169" s="192">
        <f>IF(D169=År1,P169,SUM(O169,P169))*IFERROR(VLOOKUP(A169,[1]Tørstofindhold!A$2:B$24,2,FALSE),0)</f>
        <v>293.20254797942562</v>
      </c>
      <c r="W169" s="192">
        <f>J169*IFERROR(VLOOKUP(A169,[1]Tørstofindhold!A$2:B$24,2,FALSE),0)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O171*IFERROR(VLOOKUP(A171,[1]Tørstofindhold!A$2:B$24,2,FALSE),0)</f>
        <v>16375.964438075878</v>
      </c>
      <c r="V171" s="192">
        <f>IF(D171=År1,P171,SUM(O171,P171))*IFERROR(VLOOKUP(A171,[1]Tørstofindhold!A$2:B$24,2,FALSE),0)</f>
        <v>21785.024548619625</v>
      </c>
      <c r="W171" s="192">
        <f>J171*IFERROR(VLOOKUP(A171,[1]Tørstofindhold!A$2:B$24,2,FALSE),0)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hidden="1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O173*IFERROR(VLOOKUP(A173,[1]Tørstofindhold!A$2:B$24,2,FALSE),0)</f>
        <v>0</v>
      </c>
      <c r="V173" s="192">
        <f>IF(D173=År1,P173,SUM(O173,P173))*IFERROR(VLOOKUP(A173,[1]Tørstofindhold!A$2:B$24,2,FALSE),0)</f>
        <v>4561.3695205316753</v>
      </c>
      <c r="W173" s="192">
        <f>J173*IFERROR(VLOOKUP(A173,[1]Tørstofindhold!A$2:B$24,2,FALSE),0)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O175*IFERROR(VLOOKUP(A175,[1]Tørstofindhold!A$2:B$24,2,FALSE),0)</f>
        <v>0.17965298253572234</v>
      </c>
      <c r="V175" s="192">
        <f>IF(D175=År1,P175,SUM(O175,P175))*IFERROR(VLOOKUP(A175,[1]Tørstofindhold!A$2:B$24,2,FALSE),0)</f>
        <v>0</v>
      </c>
      <c r="W175" s="192">
        <f>J175*IFERROR(VLOOKUP(A175,[1]Tørstofindhold!A$2:B$24,2,FALSE),0)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O178*IFERROR(VLOOKUP(A178,[1]Tørstofindhold!A$2:B$24,2,FALSE),0)</f>
        <v>0</v>
      </c>
      <c r="V178" s="192">
        <f>IF(D178=År1,P178,SUM(O178,P178))*IFERROR(VLOOKUP(A178,[1]Tørstofindhold!A$2:B$24,2,FALSE),0)</f>
        <v>15594.58777718433</v>
      </c>
      <c r="W178" s="192">
        <f>J178*IFERROR(VLOOKUP(A178,[1]Tørstofindhold!A$2:B$24,2,FALSE),0)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4" t="s">
        <v>316</v>
      </c>
      <c r="B179" s="194" t="s">
        <v>322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O179*IFERROR(VLOOKUP(A179,[1]Tørstofindhold!A$2:B$24,2,FALSE),0)</f>
        <v>0</v>
      </c>
      <c r="V179" s="192">
        <f>IF(D179=År1,P179,SUM(O179,P179))*IFERROR(VLOOKUP(A179,[1]Tørstofindhold!A$2:B$24,2,FALSE),0)</f>
        <v>0</v>
      </c>
      <c r="W179" s="192">
        <f>J179*IFERROR(VLOOKUP(A179,[1]Tørstofindhold!A$2:B$24,2,FALSE),0)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4" t="s">
        <v>317</v>
      </c>
      <c r="B180" s="194" t="s">
        <v>322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O180*IFERROR(VLOOKUP(A180,[1]Tørstofindhold!A$2:B$24,2,FALSE),0)</f>
        <v>0</v>
      </c>
      <c r="V180" s="192">
        <f>IF(D180=År1,P180,SUM(O180,P180))*IFERROR(VLOOKUP(A180,[1]Tørstofindhold!A$2:B$24,2,FALSE),0)</f>
        <v>0</v>
      </c>
      <c r="W180" s="192">
        <f>J180*IFERROR(VLOOKUP(A180,[1]Tørstofindhold!A$2:B$24,2,FALSE),0)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4">
        <f t="shared" si="48"/>
        <v>0</v>
      </c>
      <c r="O184" s="195">
        <f t="shared" si="39"/>
        <v>0</v>
      </c>
      <c r="P184" s="205">
        <f t="shared" si="49"/>
        <v>32210.735628649098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1.1273757470027184</v>
      </c>
      <c r="U184" s="191">
        <f>O184*IFERROR(VLOOKUP(A184,[1]Tørstofindhold!A$2:B$24,2,FALSE),0)</f>
        <v>0</v>
      </c>
      <c r="V184" s="192">
        <f>IF(D184=År1,P184,SUM(O184,P184))*IFERROR(VLOOKUP(A184,[1]Tørstofindhold!A$2:B$24,2,FALSE),0)</f>
        <v>0</v>
      </c>
      <c r="W184" s="192">
        <f>J184*IFERROR(VLOOKUP(A184,[1]Tørstofindhold!A$2:B$24,2,FALSE),0)</f>
        <v>0</v>
      </c>
      <c r="X184" s="193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O185*IFERROR(VLOOKUP(A185,[1]Tørstofindhold!A$2:B$24,2,FALSE),0)</f>
        <v>331272.92830018292</v>
      </c>
      <c r="V185" s="192">
        <f>IF(D185=År1,P185,SUM(O185,P185))*IFERROR(VLOOKUP(A185,[1]Tørstofindhold!A$2:B$24,2,FALSE),0)</f>
        <v>4908.7902151605549</v>
      </c>
      <c r="W185" s="192">
        <f>J185*IFERROR(VLOOKUP(A185,[1]Tørstofindhold!A$2:B$24,2,FALSE),0)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O188*IFERROR(VLOOKUP(A188,[1]Tørstofindhold!A$2:B$24,2,FALSE),0)</f>
        <v>118698.59693418349</v>
      </c>
      <c r="V188" s="192">
        <f>IF(D188=År1,P188,SUM(O188,P188))*IFERROR(VLOOKUP(A188,[1]Tørstofindhold!A$2:B$24,2,FALSE),0)</f>
        <v>72519.084752050971</v>
      </c>
      <c r="W188" s="192">
        <f>J188*IFERROR(VLOOKUP(A188,[1]Tørstofindhold!A$2:B$24,2,FALSE),0)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O189*IFERROR(VLOOKUP(A189,[1]Tørstofindhold!A$2:B$24,2,FALSE),0)</f>
        <v>0</v>
      </c>
      <c r="V189" s="192">
        <f>IF(D189=År1,P189,SUM(O189,P189))*IFERROR(VLOOKUP(A189,[1]Tørstofindhold!A$2:B$24,2,FALSE),0)</f>
        <v>19021.363017805568</v>
      </c>
      <c r="W189" s="192">
        <f>J189*IFERROR(VLOOKUP(A189,[1]Tørstofindhold!A$2:B$24,2,FALSE),0)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O191*IFERROR(VLOOKUP(A191,[1]Tørstofindhold!A$2:B$24,2,FALSE),0)</f>
        <v>0</v>
      </c>
      <c r="V191" s="192">
        <f>IF(D191=År1,P191,SUM(O191,P191))*IFERROR(VLOOKUP(A191,[1]Tørstofindhold!A$2:B$24,2,FALSE),0)</f>
        <v>0</v>
      </c>
      <c r="W191" s="192">
        <f>J191*IFERROR(VLOOKUP(A191,[1]Tørstofindhold!A$2:B$24,2,FALSE),0)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O193*IFERROR(VLOOKUP(A193,[1]Tørstofindhold!A$2:B$24,2,FALSE),0)</f>
        <v>0</v>
      </c>
      <c r="V193" s="192">
        <f>IF(D193=År1,P193,SUM(O193,P193))*IFERROR(VLOOKUP(A193,[1]Tørstofindhold!A$2:B$24,2,FALSE),0)</f>
        <v>337109.41129074246</v>
      </c>
      <c r="W193" s="192">
        <f>J193*IFERROR(VLOOKUP(A193,[1]Tørstofindhold!A$2:B$24,2,FALSE),0)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hidden="1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14354.783550318367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-13854.556574310172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66320.575580958233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59987.282177966161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O197*IFERROR(VLOOKUP(A197,[1]Tørstofindhold!A$2:B$24,2,FALSE),0)</f>
        <v>0</v>
      </c>
      <c r="V197" s="192">
        <f ca="1">IF(D197=År1,P197,SUM(O197,P197))*IFERROR(VLOOKUP(A197,[1]Tørstofindhold!A$2:B$24,2,FALSE),0)</f>
        <v>47295.572483938791</v>
      </c>
      <c r="W197" s="192">
        <f ca="1">J197*IFERROR(VLOOKUP(A197,[1]Tørstofindhold!A$2:B$24,2,FALSE),0)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117001032.45606402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117001032.45606402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117001032.45606402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O198*IFERROR(VLOOKUP(A198,[1]Tørstofindhold!A$2:B$24,2,FALSE),0)</f>
        <v>0</v>
      </c>
      <c r="V198" s="192">
        <f ca="1"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3846030.9782367097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3424154.0812072256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421876.89702948416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O200*IFERROR(VLOOKUP(A200,[1]Tørstofindhold!A$2:B$24,2,FALSE),0)</f>
        <v>0</v>
      </c>
      <c r="V200" s="192">
        <f>IF(D200=År1,P200,SUM(O200,P200))*IFERROR(VLOOKUP(A200,[1]Tørstofindhold!A$2:B$24,2,FALSE),0)</f>
        <v>0</v>
      </c>
      <c r="W200" s="192">
        <f>J200*IFERROR(VLOOKUP(A200,[1]Tørstofindhold!A$2:B$24,2,FALSE),0)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hidden="1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286444.08767374518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89002.270098627952</v>
      </c>
      <c r="O201" s="195">
        <f t="shared" si="59"/>
        <v>89002.270098627952</v>
      </c>
      <c r="P201" s="205">
        <f t="shared" si="49"/>
        <v>143222.04383687259</v>
      </c>
      <c r="Q201" s="192">
        <f>IFERROR(VLOOKUP(A201,[1]Energiindhold!$A$2:$C$11,3,FALSE),IFERROR(VLOOKUP(A201,[1]Biogasudbytte!$A$2:$B$18,2,FALSE)*[1]Energiindhold!$C$10,0))*O201</f>
        <v>0.19171088979244461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92">
        <f>IFERROR(VLOOKUP(A201,[1]Biogasudbytte!$A$2:$B$18,2,FALSE)*[1]Energiindhold!$C$10,0)*J201*IFERROR(VLOOKUP(A201,Biogasanlæg!$F$3:$G$8,2,FALSE),1)</f>
        <v>0.30850028242462357</v>
      </c>
      <c r="T201" s="193">
        <f t="shared" si="50"/>
        <v>0.19171088979244455</v>
      </c>
      <c r="U201" s="191">
        <f>O201*IFERROR(VLOOKUP(A201,[1]Tørstofindhold!A$2:B$24,2,FALSE),0)</f>
        <v>26700.681029588384</v>
      </c>
      <c r="V201" s="192">
        <f>IF(D201=År1,P201,SUM(O201,P201))*IFERROR(VLOOKUP(A201,[1]Tørstofindhold!A$2:B$24,2,FALSE),0)</f>
        <v>69667.294180650162</v>
      </c>
      <c r="W201" s="192">
        <f>J201*IFERROR(VLOOKUP(A201,[1]Tørstofindhold!A$2:B$24,2,FALSE),0)</f>
        <v>42966.613151061778</v>
      </c>
      <c r="X201" s="193">
        <f t="shared" si="51"/>
        <v>26700.681029588384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hidden="1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560.16154012228367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504.14538611005531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42.412230894972893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13.603923117255476</v>
      </c>
      <c r="O203" s="195">
        <f t="shared" si="59"/>
        <v>13.603923117255476</v>
      </c>
      <c r="P203" s="205">
        <f t="shared" si="49"/>
        <v>504.14538611005531</v>
      </c>
      <c r="Q203" s="192">
        <f>IFERROR(VLOOKUP(A203,[1]Energiindhold!$A$2:$C$11,3,FALSE),IFERROR(VLOOKUP(A203,[1]Biogasudbytte!$A$2:$B$18,2,FALSE)*[1]Energiindhold!$C$10,0))*O203</f>
        <v>6.397789002814078E-6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2.4349232263651198E-4</v>
      </c>
      <c r="S203" s="192">
        <f>IFERROR(VLOOKUP(A203,[1]Biogasudbytte!$A$2:$B$18,2,FALSE)*[1]Energiindhold!$C$10,0)*J203*IFERROR(VLOOKUP(A203,Biogasanlæg!$F$3:$G$8,2,FALSE),1)</f>
        <v>2.3709453363369792E-4</v>
      </c>
      <c r="T203" s="193">
        <f t="shared" si="50"/>
        <v>6.3977890028140653E-6</v>
      </c>
      <c r="U203" s="191">
        <f>O203*IFERROR(VLOOKUP(A203,[1]Tørstofindhold!A$2:B$24,2,FALSE),0)</f>
        <v>0.85704715638709505</v>
      </c>
      <c r="V203" s="192">
        <f>IF(D203=År1,P203,SUM(O203,P203))*IFERROR(VLOOKUP(A203,[1]Tørstofindhold!A$2:B$24,2,FALSE),0)</f>
        <v>32.618206481320577</v>
      </c>
      <c r="W203" s="192">
        <f>J203*IFERROR(VLOOKUP(A203,[1]Tørstofindhold!A$2:B$24,2,FALSE),0)</f>
        <v>31.761159324933484</v>
      </c>
      <c r="X203" s="193">
        <f t="shared" si="51"/>
        <v>0.85704715638709317</v>
      </c>
      <c r="Y203" s="171">
        <f t="shared" si="60"/>
        <v>0</v>
      </c>
      <c r="Z203" s="103">
        <f t="shared" si="61"/>
        <v>1</v>
      </c>
    </row>
    <row r="204" spans="1:26" hidden="1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12195.236527675561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-18364.881940672021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342757.79858178977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342757.79858178977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9754.2866982633659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-213569.65595504592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7915785.5258047525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18670.90350678641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6695460.1614885945</v>
      </c>
      <c r="O208" s="195">
        <f t="shared" si="59"/>
        <v>6695460.1614885945</v>
      </c>
      <c r="P208" s="205">
        <f t="shared" si="49"/>
        <v>18670.90350678641</v>
      </c>
      <c r="Q208" s="192">
        <f>IFERROR(VLOOKUP(A208,[1]Energiindhold!$A$2:$C$11,3,FALSE),IFERROR(VLOOKUP(A208,[1]Biogasudbytte!$A$2:$B$18,2,FALSE)*[1]Energiindhold!$C$10,0))*O208</f>
        <v>12.318809764618829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12.353161893208377</v>
      </c>
      <c r="S208" s="192">
        <f>IFERROR(VLOOKUP(A208,[1]Biogasudbytte!$A$2:$B$18,2,FALSE)*[1]Energiindhold!$C$10,0)*J208*IFERROR(VLOOKUP(A208,Biogasanlæg!$F$3:$G$8,2,FALSE),1)</f>
        <v>3.4352128589548649E-2</v>
      </c>
      <c r="T208" s="193">
        <f t="shared" si="50"/>
        <v>12.318809764618829</v>
      </c>
      <c r="U208" s="191">
        <f>O208*IFERROR(VLOOKUP(A208,[1]Tørstofindhold!A$2:B$24,2,FALSE),0)</f>
        <v>1874728.8452168067</v>
      </c>
      <c r="V208" s="192">
        <f>IF(D208=År1,P208,SUM(O208,P208))*IFERROR(VLOOKUP(A208,[1]Tørstofindhold!A$2:B$24,2,FALSE),0)</f>
        <v>1879956.6981987068</v>
      </c>
      <c r="W208" s="192">
        <f>J208*IFERROR(VLOOKUP(A208,[1]Tørstofindhold!A$2:B$24,2,FALSE),0)</f>
        <v>5227.8529819001951</v>
      </c>
      <c r="X208" s="193">
        <f t="shared" si="51"/>
        <v>1874728.8452168067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66219.734583524318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-167682.71061652066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888494.96140285372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82816.687681498166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19176.116683861201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710590.59860996436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729766.7152938256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7.455087481427622</v>
      </c>
      <c r="S211" s="192">
        <f>IFERROR(VLOOKUP(A211,[1]Biogasudbytte!$A$2:$B$18,2,FALSE)*[1]Energiindhold!$C$10,0)*J211*IFERROR(VLOOKUP(A211,Biogasanlæg!$F$3:$G$8,2,FALSE),1)</f>
        <v>0.11056066778546911</v>
      </c>
      <c r="T211" s="193">
        <f t="shared" si="50"/>
        <v>7.3445268136421529</v>
      </c>
      <c r="U211" s="191">
        <f>O211*IFERROR(VLOOKUP(A211,[1]Tørstofindhold!A$2:B$24,2,FALSE),0)</f>
        <v>0</v>
      </c>
      <c r="V211" s="192">
        <f>IF(D211=År1,P211,SUM(O211,P211))*IFERROR(VLOOKUP(A211,[1]Tørstofindhold!A$2:B$24,2,FALSE),0)</f>
        <v>620301.70799975179</v>
      </c>
      <c r="W211" s="192">
        <f>J211*IFERROR(VLOOKUP(A211,[1]Tørstofindhold!A$2:B$24,2,FALSE),0)</f>
        <v>16299.69918128202</v>
      </c>
      <c r="X211" s="193">
        <f t="shared" si="51"/>
        <v>604002.00881846971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O212*IFERROR(VLOOKUP(A212,[1]Tørstofindhold!A$2:B$24,2,FALSE),0)</f>
        <v>0</v>
      </c>
      <c r="V212" s="192">
        <f>IF(D212=År1,P212,SUM(O212,P212))*IFERROR(VLOOKUP(A212,[1]Tørstofindhold!A$2:B$24,2,FALSE),0)</f>
        <v>136822.46703948267</v>
      </c>
      <c r="W212" s="192">
        <f>J212*IFERROR(VLOOKUP(A212,[1]Tørstofindhold!A$2:B$24,2,FALSE),0)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-474117.38114065683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hidden="1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195278.17736560528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-22227.841189355648</v>
      </c>
      <c r="O214" s="195">
        <f t="shared" si="59"/>
        <v>0</v>
      </c>
      <c r="P214" s="205">
        <f t="shared" si="49"/>
        <v>217506.01855496093</v>
      </c>
      <c r="Q214" s="192">
        <f>IFERROR(VLOOKUP(A214,[1]Energiindhold!$A$2:$C$11,3,FALSE),IFERROR(VLOOKUP(A214,[1]Biogasudbytte!$A$2:$B$18,2,FALSE)*[1]Energiindhold!$C$10,0))*O214</f>
        <v>0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92">
        <f>IFERROR(VLOOKUP(A214,[1]Biogasudbytte!$A$2:$B$18,2,FALSE)*[1]Energiindhold!$C$10,0)*J214*IFERROR(VLOOKUP(A214,Biogasanlæg!$F$3:$G$8,2,FALSE),1)</f>
        <v>0.80110957605389932</v>
      </c>
      <c r="T214" s="193">
        <f t="shared" si="50"/>
        <v>0</v>
      </c>
      <c r="U214" s="191">
        <f>O214*IFERROR(VLOOKUP(A214,[1]Tørstofindhold!A$2:B$24,2,FALSE),0)</f>
        <v>0</v>
      </c>
      <c r="V214" s="192">
        <f>IF(D214=År1,P214,SUM(O214,P214))*IFERROR(VLOOKUP(A214,[1]Tørstofindhold!A$2:B$24,2,FALSE),0)</f>
        <v>91352.527793083587</v>
      </c>
      <c r="W214" s="192">
        <f>J214*IFERROR(VLOOKUP(A214,[1]Tørstofindhold!A$2:B$24,2,FALSE),0)</f>
        <v>91352.527793083587</v>
      </c>
      <c r="X214" s="193">
        <f t="shared" si="51"/>
        <v>0</v>
      </c>
      <c r="Y214" s="171">
        <f t="shared" si="60"/>
        <v>1</v>
      </c>
      <c r="Z214" s="103">
        <f t="shared" si="61"/>
        <v>0</v>
      </c>
    </row>
    <row r="215" spans="1:26" hidden="1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211505.55492892067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211505.55492892067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515263.04540454788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408302.63076533133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1608239.7398434528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577297.28616440261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871.08988076433457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773836.52433290996</v>
      </c>
      <c r="O217" s="195">
        <f t="shared" si="59"/>
        <v>773836.52433290996</v>
      </c>
      <c r="P217" s="205">
        <f t="shared" si="63"/>
        <v>871.08988076433457</v>
      </c>
      <c r="Q217" s="192">
        <f>IFERROR(VLOOKUP(A217,[1]Energiindhold!$A$2:$C$11,3,FALSE),IFERROR(VLOOKUP(A217,[1]Biogasudbytte!$A$2:$B$18,2,FALSE)*[1]Energiindhold!$C$10,0))*O217</f>
        <v>2.6502817587268104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2.653265119615845</v>
      </c>
      <c r="S217" s="192">
        <f>IFERROR(VLOOKUP(A217,[1]Biogasudbytte!$A$2:$B$18,2,FALSE)*[1]Energiindhold!$C$10,0)*J217*IFERROR(VLOOKUP(A217,Biogasanlæg!$F$3:$G$8,2,FALSE),1)</f>
        <v>2.9833608890345396E-3</v>
      </c>
      <c r="T217" s="193">
        <f t="shared" si="64"/>
        <v>2.6502817587268104</v>
      </c>
      <c r="U217" s="191">
        <f>O217*IFERROR(VLOOKUP(A217,[1]Tørstofindhold!A$2:B$24,2,FALSE),0)</f>
        <v>239889.32254320208</v>
      </c>
      <c r="V217" s="192">
        <f>IF(D217=År1,P217,SUM(O217,P217))*IFERROR(VLOOKUP(A217,[1]Tørstofindhold!A$2:B$24,2,FALSE),0)</f>
        <v>240159.36040623905</v>
      </c>
      <c r="W217" s="192">
        <f>J217*IFERROR(VLOOKUP(A217,[1]Tørstofindhold!A$2:B$24,2,FALSE),0)</f>
        <v>270.03786303694369</v>
      </c>
      <c r="X217" s="193">
        <f t="shared" si="65"/>
        <v>239889.32254320211</v>
      </c>
      <c r="Y217" s="171">
        <f t="shared" si="60"/>
        <v>0</v>
      </c>
      <c r="Z217" s="103">
        <f t="shared" si="61"/>
        <v>1</v>
      </c>
    </row>
    <row r="218" spans="1:26" hidden="1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353758.48713435931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-353758.48713435931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738231.33813296724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664408.20431967056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48907.826151309069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24915.307661987608</v>
      </c>
      <c r="O219" s="195">
        <f t="shared" si="59"/>
        <v>24915.307661987608</v>
      </c>
      <c r="P219" s="205">
        <f t="shared" si="63"/>
        <v>664408.20431967056</v>
      </c>
      <c r="Q219" s="192">
        <f>IFERROR(VLOOKUP(A219,[1]Energiindhold!$A$2:$C$11,3,FALSE),IFERROR(VLOOKUP(A219,[1]Biogasudbytte!$A$2:$B$18,2,FALSE)*[1]Energiindhold!$C$10,0))*O219</f>
        <v>1.2611879585421509E-2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0.3489286685299956</v>
      </c>
      <c r="S219" s="192">
        <f>IFERROR(VLOOKUP(A219,[1]Biogasudbytte!$A$2:$B$18,2,FALSE)*[1]Energiindhold!$C$10,0)*J219*IFERROR(VLOOKUP(A219,Biogasanlæg!$F$3:$G$8,2,FALSE),1)</f>
        <v>0.33631678894457406</v>
      </c>
      <c r="T219" s="193">
        <f t="shared" si="64"/>
        <v>1.2611879585421537E-2</v>
      </c>
      <c r="U219" s="191">
        <f>O219*IFERROR(VLOOKUP(A219,[1]Tørstofindhold!A$2:B$24,2,FALSE),0)</f>
        <v>1893.5633823110581</v>
      </c>
      <c r="V219" s="192">
        <f>IF(D219=År1,P219,SUM(O219,P219))*IFERROR(VLOOKUP(A219,[1]Tørstofindhold!A$2:B$24,2,FALSE),0)</f>
        <v>52388.58691060602</v>
      </c>
      <c r="W219" s="192">
        <f>J219*IFERROR(VLOOKUP(A219,[1]Tørstofindhold!A$2:B$24,2,FALSE),0)</f>
        <v>50495.023528294958</v>
      </c>
      <c r="X219" s="193">
        <f t="shared" si="65"/>
        <v>1893.563382311062</v>
      </c>
      <c r="Y219" s="171">
        <f t="shared" si="60"/>
        <v>0</v>
      </c>
      <c r="Z219" s="103">
        <f t="shared" si="61"/>
        <v>1</v>
      </c>
    </row>
    <row r="220" spans="1:26" hidden="1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92168.427114874314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-56663.967855439478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1730463.2966817433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74810.246107047482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1100170.4416872659</v>
      </c>
      <c r="O221" s="195">
        <f t="shared" si="59"/>
        <v>1100170.4416872659</v>
      </c>
      <c r="P221" s="205">
        <f t="shared" si="63"/>
        <v>74810.246107047482</v>
      </c>
      <c r="Q221" s="192">
        <f>IFERROR(VLOOKUP(A221,[1]Energiindhold!$A$2:$C$11,3,FALSE),IFERROR(VLOOKUP(A221,[1]Biogasudbytte!$A$2:$B$18,2,FALSE)*[1]Energiindhold!$C$10,0))*O221</f>
        <v>3.9496118856572848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4.2181806691815851</v>
      </c>
      <c r="S221" s="192">
        <f>IFERROR(VLOOKUP(A221,[1]Biogasudbytte!$A$2:$B$18,2,FALSE)*[1]Energiindhold!$C$10,0)*J221*IFERROR(VLOOKUP(A221,Biogasanlæg!$F$3:$G$8,2,FALSE),1)</f>
        <v>0.26856878352430047</v>
      </c>
      <c r="T221" s="193">
        <f t="shared" si="64"/>
        <v>3.9496118856572844</v>
      </c>
      <c r="U221" s="191">
        <f>O221*IFERROR(VLOOKUP(A221,[1]Tørstofindhold!A$2:B$24,2,FALSE),0)</f>
        <v>330051.13250617974</v>
      </c>
      <c r="V221" s="192">
        <f>IF(D221=År1,P221,SUM(O221,P221))*IFERROR(VLOOKUP(A221,[1]Tørstofindhold!A$2:B$24,2,FALSE),0)</f>
        <v>352494.20633829397</v>
      </c>
      <c r="W221" s="192">
        <f>J221*IFERROR(VLOOKUP(A221,[1]Tørstofindhold!A$2:B$24,2,FALSE),0)</f>
        <v>22443.073832114245</v>
      </c>
      <c r="X221" s="193">
        <f t="shared" si="65"/>
        <v>330051.13250617974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177837.22990030446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-231198.20190680941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O223*IFERROR(VLOOKUP(A223,[1]Tørstofindhold!A$2:B$24,2,FALSE),0)</f>
        <v>486.50027670673614</v>
      </c>
      <c r="V223" s="192">
        <f>IF(D223=År1,P223,SUM(O223,P223))*IFERROR(VLOOKUP(A223,[1]Tørstofindhold!A$2:B$24,2,FALSE),0)</f>
        <v>486.50027670673614</v>
      </c>
      <c r="W223" s="192">
        <f>J223*IFERROR(VLOOKUP(A223,[1]Tørstofindhold!A$2:B$24,2,FALSE),0)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6036.6362564051497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-45939.072923222928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1</v>
      </c>
      <c r="Z224" s="103">
        <f t="shared" si="61"/>
        <v>0</v>
      </c>
    </row>
    <row r="225" spans="1:26" hidden="1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301497.09442768525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301497.09442768525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42074.872472772768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42074.872472772768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42074.872472772768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0.77417765349901879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0.77417765349901879</v>
      </c>
      <c r="U226" s="191">
        <f>O226*IFERROR(VLOOKUP(A226,[1]Tørstofindhold!A$2:B$24,2,FALSE),0)</f>
        <v>0</v>
      </c>
      <c r="V226" s="192">
        <f>IF(D226=År1,P226,SUM(O226,P226))*IFERROR(VLOOKUP(A226,[1]Tørstofindhold!A$2:B$24,2,FALSE),0)</f>
        <v>17461.0720762007</v>
      </c>
      <c r="W226" s="192">
        <f>J226*IFERROR(VLOOKUP(A226,[1]Tørstofindhold!A$2:B$24,2,FALSE),0)</f>
        <v>0</v>
      </c>
      <c r="X226" s="193">
        <f t="shared" si="65"/>
        <v>17461.0720762007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O227*IFERROR(VLOOKUP(A227,[1]Tørstofindhold!A$2:B$24,2,FALSE),0)</f>
        <v>0</v>
      </c>
      <c r="V227" s="192">
        <f>IF(D227=År1,P227,SUM(O227,P227))*IFERROR(VLOOKUP(A227,[1]Tørstofindhold!A$2:B$24,2,FALSE),0)</f>
        <v>0</v>
      </c>
      <c r="W227" s="192">
        <f>J227*IFERROR(VLOOKUP(A227,[1]Tørstofindhold!A$2:B$24,2,FALSE),0)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O228*IFERROR(VLOOKUP(A228,[1]Tørstofindhold!A$2:B$24,2,FALSE),0)</f>
        <v>0</v>
      </c>
      <c r="V228" s="192">
        <f>IF(D228=År1,P228,SUM(O228,P228))*IFERROR(VLOOKUP(A228,[1]Tørstofindhold!A$2:B$24,2,FALSE),0)</f>
        <v>0</v>
      </c>
      <c r="W228" s="192">
        <f>J228*IFERROR(VLOOKUP(A228,[1]Tørstofindhold!A$2:B$24,2,FALSE),0)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276928.87898992695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276928.87898992695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111531.10220983687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111531.10220983687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55765.551104918435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34742.535503319741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35689.952707147801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35689.952707147801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35689.952707147801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1.249148344750173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1.249148344750173</v>
      </c>
      <c r="U232" s="191">
        <f>O232*IFERROR(VLOOKUP(A232,[1]Tørstofindhold!A$2:B$24,2,FALSE),0)</f>
        <v>0</v>
      </c>
      <c r="V232" s="192">
        <f>IF(D232=År1,P232,SUM(O232,P232))*IFERROR(VLOOKUP(A232,[1]Tørstofindhold!A$2:B$24,2,FALSE),0)</f>
        <v>0</v>
      </c>
      <c r="W232" s="192">
        <f>J232*IFERROR(VLOOKUP(A232,[1]Tørstofindhold!A$2:B$24,2,FALSE),0)</f>
        <v>0</v>
      </c>
      <c r="X232" s="193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1508318.1394402247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82596.701464021666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6717.4186381438076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1419004.0193380592</v>
      </c>
      <c r="O233" s="195">
        <f t="shared" si="59"/>
        <v>1419004.0193380592</v>
      </c>
      <c r="P233" s="205">
        <f t="shared" si="63"/>
        <v>6717.4186381438076</v>
      </c>
      <c r="Q233" s="192">
        <f>IFERROR(VLOOKUP(A233,[1]Energiindhold!$A$2:$C$11,3,FALSE),IFERROR(VLOOKUP(A233,[1]Biogasudbytte!$A$2:$B$18,2,FALSE)*[1]Energiindhold!$C$10,0))*O233</f>
        <v>3.8512336686442663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3.8694650115249343</v>
      </c>
      <c r="S233" s="192">
        <f>IFERROR(VLOOKUP(A233,[1]Biogasudbytte!$A$2:$B$18,2,FALSE)*[1]Energiindhold!$C$10,0)*J233*IFERROR(VLOOKUP(A233,Biogasanlæg!$F$3:$G$8,2,FALSE),1)</f>
        <v>1.8231342880667821E-2</v>
      </c>
      <c r="T233" s="193">
        <f t="shared" si="64"/>
        <v>3.8512336686442663</v>
      </c>
      <c r="U233" s="191">
        <f>O233*IFERROR(VLOOKUP(A233,[1]Tørstofindhold!A$2:B$24,2,FALSE),0)</f>
        <v>283800.80386761186</v>
      </c>
      <c r="V233" s="192">
        <f>IF(D233=År1,P233,SUM(O233,P233))*IFERROR(VLOOKUP(A233,[1]Tørstofindhold!A$2:B$24,2,FALSE),0)</f>
        <v>285144.28759524063</v>
      </c>
      <c r="W233" s="192">
        <f>J233*IFERROR(VLOOKUP(A233,[1]Tørstofindhold!A$2:B$24,2,FALSE),0)</f>
        <v>1343.4837276287617</v>
      </c>
      <c r="X233" s="193">
        <f t="shared" si="65"/>
        <v>283800.80386761186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18028.658633856463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18028.658633856463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14632.341003448482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10761.995034953325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3342323.2852705466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2074751.0427045652</v>
      </c>
      <c r="O236" s="195">
        <f t="shared" si="59"/>
        <v>2074751.0427045652</v>
      </c>
      <c r="P236" s="205">
        <f t="shared" si="63"/>
        <v>1267572.2425659813</v>
      </c>
      <c r="Q236" s="192">
        <f>IFERROR(VLOOKUP(A236,[1]Energiindhold!$A$2:$C$11,3,FALSE),IFERROR(VLOOKUP(A236,[1]Biogasudbytte!$A$2:$B$18,2,FALSE)*[1]Energiindhold!$C$10,0))*O236</f>
        <v>1.0353215178200053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92">
        <f>IFERROR(VLOOKUP(A236,[1]Biogasudbytte!$A$2:$B$18,2,FALSE)*[1]Energiindhold!$C$10,0)*J236*IFERROR(VLOOKUP(A236,Biogasanlæg!$F$3:$G$8,2,FALSE),1)</f>
        <v>0.6325312247628504</v>
      </c>
      <c r="T236" s="193">
        <f t="shared" si="64"/>
        <v>1.0353215178200053</v>
      </c>
      <c r="U236" s="191">
        <f>O236*IFERROR(VLOOKUP(A236,[1]Tørstofindhold!A$2:B$24,2,FALSE),0)</f>
        <v>124485.0625622739</v>
      </c>
      <c r="V236" s="192">
        <f>IF(D236=År1,P236,SUM(O236,P236))*IFERROR(VLOOKUP(A236,[1]Tørstofindhold!A$2:B$24,2,FALSE),0)</f>
        <v>200539.39711623278</v>
      </c>
      <c r="W236" s="192">
        <f>J236*IFERROR(VLOOKUP(A236,[1]Tørstofindhold!A$2:B$24,2,FALSE),0)</f>
        <v>76054.334553958877</v>
      </c>
      <c r="X236" s="193">
        <f t="shared" si="65"/>
        <v>124485.0625622739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1747439.8704342765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1572695.883390849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174743.98704342762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1572695.883390849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0.67751738656477789</v>
      </c>
      <c r="S237" s="192">
        <f>IFERROR(VLOOKUP(A237,[1]Biogasudbytte!$A$2:$B$18,2,FALSE)*[1]Energiindhold!$C$10,0)*J237*IFERROR(VLOOKUP(A237,Biogasanlæg!$F$3:$G$8,2,FALSE),1)</f>
        <v>0.67751738656477789</v>
      </c>
      <c r="T237" s="193">
        <f t="shared" si="64"/>
        <v>0</v>
      </c>
      <c r="U237" s="191">
        <f>O237*IFERROR(VLOOKUP(A237,[1]Tørstofindhold!A$2:B$24,2,FALSE),0)</f>
        <v>0</v>
      </c>
      <c r="V237" s="192">
        <f>IF(D237=År1,P237,SUM(O237,P237))*IFERROR(VLOOKUP(A237,[1]Tørstofindhold!A$2:B$24,2,FALSE),0)</f>
        <v>78634.794169542452</v>
      </c>
      <c r="W237" s="192">
        <f>J237*IFERROR(VLOOKUP(A237,[1]Tørstofindhold!A$2:B$24,2,FALSE),0)</f>
        <v>78634.794169542452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159736.08962264023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54209.6497730923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O239*IFERROR(VLOOKUP(A239,[1]Tørstofindhold!A$2:B$24,2,FALSE),0)</f>
        <v>540</v>
      </c>
      <c r="V239" s="192">
        <f>IF(D239=År1,P239,SUM(O239,P239))*IFERROR(VLOOKUP(A239,[1]Tørstofindhold!A$2:B$24,2,FALSE),0)</f>
        <v>540</v>
      </c>
      <c r="W239" s="192">
        <f>J239*IFERROR(VLOOKUP(A239,[1]Tørstofindhold!A$2:B$24,2,FALSE),0)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647088.73530897219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647088.73530897219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647088.73530897219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9.3786251701161518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9.3786251701161518</v>
      </c>
      <c r="U241" s="191">
        <f>O241*IFERROR(VLOOKUP(A241,[1]Tørstofindhold!A$2:B$24,2,FALSE),0)</f>
        <v>0</v>
      </c>
      <c r="V241" s="192">
        <f>IF(D241=År1,P241,SUM(O241,P241))*IFERROR(VLOOKUP(A241,[1]Tørstofindhold!A$2:B$24,2,FALSE),0)</f>
        <v>320039.30367156246</v>
      </c>
      <c r="W241" s="192">
        <f>J241*IFERROR(VLOOKUP(A241,[1]Tørstofindhold!A$2:B$24,2,FALSE),0)</f>
        <v>0</v>
      </c>
      <c r="X241" s="193">
        <f t="shared" si="65"/>
        <v>320039.30367156246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178637.61286448501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178637.61286448501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hidden="1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13980.879672720754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-15551.122347381201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69084.929808935805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62751.636405943726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O245*IFERROR(VLOOKUP(A245,[1]Tørstofindhold!A$2:B$24,2,FALSE),0)</f>
        <v>0</v>
      </c>
      <c r="V245" s="192">
        <f ca="1">IF(D245=År1,P245,SUM(O245,P245))*IFERROR(VLOOKUP(A245,[1]Tørstofindhold!A$2:B$24,2,FALSE),0)</f>
        <v>48241.974607965349</v>
      </c>
      <c r="W245" s="192">
        <f ca="1">J245*IFERROR(VLOOKUP(A245,[1]Tørstofindhold!A$2:B$24,2,FALSE),0)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117860054.55405192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117860054.55405192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117860054.55405192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O246*IFERROR(VLOOKUP(A246,[1]Tørstofindhold!A$2:B$24,2,FALSE),0)</f>
        <v>0</v>
      </c>
      <c r="V246" s="192">
        <f ca="1"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3839450.0046601556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3389908.2542493283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449541.75041082734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O248*IFERROR(VLOOKUP(A248,[1]Tørstofindhold!A$2:B$24,2,FALSE),0)</f>
        <v>0</v>
      </c>
      <c r="V248" s="192">
        <f>IF(D248=År1,P248,SUM(O248,P248))*IFERROR(VLOOKUP(A248,[1]Tørstofindhold!A$2:B$24,2,FALSE),0)</f>
        <v>0</v>
      </c>
      <c r="W248" s="192">
        <f>J248*IFERROR(VLOOKUP(A248,[1]Tørstofindhold!A$2:B$24,2,FALSE),0)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hidden="1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301646.48561279988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93725.872315405693</v>
      </c>
      <c r="O249" s="195">
        <f t="shared" si="59"/>
        <v>93725.872315405693</v>
      </c>
      <c r="P249" s="205">
        <f t="shared" si="63"/>
        <v>150823.24280639994</v>
      </c>
      <c r="Q249" s="192">
        <f>IFERROR(VLOOKUP(A249,[1]Energiindhold!$A$2:$C$11,3,FALSE),IFERROR(VLOOKUP(A249,[1]Biogasudbytte!$A$2:$B$18,2,FALSE)*[1]Energiindhold!$C$10,0))*O249</f>
        <v>0.20188552896738388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92">
        <f>IFERROR(VLOOKUP(A249,[1]Biogasudbytte!$A$2:$B$18,2,FALSE)*[1]Energiindhold!$C$10,0)*J249*IFERROR(VLOOKUP(A249,Biogasanlæg!$F$3:$G$8,2,FALSE),1)</f>
        <v>0.32487326500498548</v>
      </c>
      <c r="T249" s="193">
        <f t="shared" si="64"/>
        <v>0.20188552896738388</v>
      </c>
      <c r="U249" s="191">
        <f>O249*IFERROR(VLOOKUP(A249,[1]Tørstofindhold!A$2:B$24,2,FALSE),0)</f>
        <v>28117.761694621706</v>
      </c>
      <c r="V249" s="192">
        <f>IF(D249=År1,P249,SUM(O249,P249))*IFERROR(VLOOKUP(A249,[1]Tørstofindhold!A$2:B$24,2,FALSE),0)</f>
        <v>73364.734536541684</v>
      </c>
      <c r="W249" s="192">
        <f>J249*IFERROR(VLOOKUP(A249,[1]Tørstofindhold!A$2:B$24,2,FALSE),0)</f>
        <v>45246.972841919982</v>
      </c>
      <c r="X249" s="193">
        <f t="shared" si="65"/>
        <v>28117.761694621702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hidden="1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578.47871789484248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520.63084610535827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43.799102926323776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14.048768863160376</v>
      </c>
      <c r="O251" s="195">
        <f t="shared" si="59"/>
        <v>14.048768863160376</v>
      </c>
      <c r="P251" s="205">
        <f t="shared" si="63"/>
        <v>520.63084610535827</v>
      </c>
      <c r="Q251" s="192">
        <f>IFERROR(VLOOKUP(A251,[1]Energiindhold!$A$2:$C$11,3,FALSE),IFERROR(VLOOKUP(A251,[1]Biogasudbytte!$A$2:$B$18,2,FALSE)*[1]Energiindhold!$C$10,0))*O251</f>
        <v>6.6069955086556931E-6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2.5145447612354464E-4</v>
      </c>
      <c r="S251" s="192">
        <f>IFERROR(VLOOKUP(A251,[1]Biogasudbytte!$A$2:$B$18,2,FALSE)*[1]Energiindhold!$C$10,0)*J251*IFERROR(VLOOKUP(A251,Biogasanlæg!$F$3:$G$8,2,FALSE),1)</f>
        <v>2.4484748061488895E-4</v>
      </c>
      <c r="T251" s="193">
        <f t="shared" si="64"/>
        <v>6.6069955086556914E-6</v>
      </c>
      <c r="U251" s="191">
        <f>O251*IFERROR(VLOOKUP(A251,[1]Tørstofindhold!A$2:B$24,2,FALSE),0)</f>
        <v>0.88507243837910365</v>
      </c>
      <c r="V251" s="192">
        <f>IF(D251=År1,P251,SUM(O251,P251))*IFERROR(VLOOKUP(A251,[1]Tørstofindhold!A$2:B$24,2,FALSE),0)</f>
        <v>33.684815743016678</v>
      </c>
      <c r="W251" s="192">
        <f>J251*IFERROR(VLOOKUP(A251,[1]Tørstofindhold!A$2:B$24,2,FALSE),0)</f>
        <v>32.799743304637573</v>
      </c>
      <c r="X251" s="193">
        <f t="shared" si="65"/>
        <v>0.88507243837910465</v>
      </c>
      <c r="Y251" s="171">
        <f t="shared" si="60"/>
        <v>0</v>
      </c>
      <c r="Z251" s="103">
        <f t="shared" si="61"/>
        <v>1</v>
      </c>
    </row>
    <row r="252" spans="1:26" hidden="1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11660.091914249606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-20332.910274194179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357304.25157150667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357304.25157150667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10163.089759541812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-223631.92623293199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8332694.7229536632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18918.331265736317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7112121.9308785554</v>
      </c>
      <c r="O256" s="195">
        <f t="shared" si="59"/>
        <v>7112121.9308785554</v>
      </c>
      <c r="P256" s="205">
        <f t="shared" si="63"/>
        <v>18918.331265736317</v>
      </c>
      <c r="Q256" s="192">
        <f>IFERROR(VLOOKUP(A256,[1]Energiindhold!$A$2:$C$11,3,FALSE),IFERROR(VLOOKUP(A256,[1]Biogasudbytte!$A$2:$B$18,2,FALSE)*[1]Energiindhold!$C$10,0))*O256</f>
        <v>13.085415337575183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13.120222702312729</v>
      </c>
      <c r="S256" s="192">
        <f>IFERROR(VLOOKUP(A256,[1]Biogasudbytte!$A$2:$B$18,2,FALSE)*[1]Energiindhold!$C$10,0)*J256*IFERROR(VLOOKUP(A256,Biogasanlæg!$F$3:$G$8,2,FALSE),1)</f>
        <v>3.4807364737546607E-2</v>
      </c>
      <c r="T256" s="193">
        <f t="shared" si="64"/>
        <v>13.085415337575183</v>
      </c>
      <c r="U256" s="191">
        <f>O256*IFERROR(VLOOKUP(A256,[1]Tørstofindhold!A$2:B$24,2,FALSE),0)</f>
        <v>1991394.1406459957</v>
      </c>
      <c r="V256" s="192">
        <f>IF(D256=År1,P256,SUM(O256,P256))*IFERROR(VLOOKUP(A256,[1]Tørstofindhold!A$2:B$24,2,FALSE),0)</f>
        <v>1996691.2734004019</v>
      </c>
      <c r="W256" s="192">
        <f>J256*IFERROR(VLOOKUP(A256,[1]Tørstofindhold!A$2:B$24,2,FALSE),0)</f>
        <v>5297.1327544061696</v>
      </c>
      <c r="X256" s="193">
        <f t="shared" si="65"/>
        <v>1991394.1406459957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68513.709869912811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-176355.80688009923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865944.52172148146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82449.939525946174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19573.590601183951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688009.43316682125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707583.02376800519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7.2239845802646228</v>
      </c>
      <c r="S259" s="192">
        <f>IFERROR(VLOOKUP(A259,[1]Biogasudbytte!$A$2:$B$18,2,FALSE)*[1]Energiindhold!$C$10,0)*J259*IFERROR(VLOOKUP(A259,Biogasanlæg!$F$3:$G$8,2,FALSE),1)</f>
        <v>0.11285231955475013</v>
      </c>
      <c r="T259" s="193">
        <f t="shared" si="64"/>
        <v>7.1111322607098728</v>
      </c>
      <c r="U259" s="191">
        <f>O259*IFERROR(VLOOKUP(A259,[1]Tørstofindhold!A$2:B$24,2,FALSE),0)</f>
        <v>0</v>
      </c>
      <c r="V259" s="192">
        <f>IF(D259=År1,P259,SUM(O259,P259))*IFERROR(VLOOKUP(A259,[1]Tørstofindhold!A$2:B$24,2,FALSE),0)</f>
        <v>601445.5702028044</v>
      </c>
      <c r="W259" s="192">
        <f>J259*IFERROR(VLOOKUP(A259,[1]Tørstofindhold!A$2:B$24,2,FALSE),0)</f>
        <v>16637.552011006359</v>
      </c>
      <c r="X259" s="193">
        <f t="shared" si="65"/>
        <v>584808.01819179801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O260*IFERROR(VLOOKUP(A260,[1]Tørstofindhold!A$2:B$24,2,FALSE),0)</f>
        <v>0</v>
      </c>
      <c r="V260" s="192">
        <f>IF(D260=År1,P260,SUM(O260,P260))*IFERROR(VLOOKUP(A260,[1]Tørstofindhold!A$2:B$24,2,FALSE),0)</f>
        <v>137378.10748818054</v>
      </c>
      <c r="W260" s="192">
        <f>J260*IFERROR(VLOOKUP(A260,[1]Tørstofindhold!A$2:B$24,2,FALSE),0)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-474117.381140657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hidden="1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195751.05229011617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-22185.398483962403</v>
      </c>
      <c r="O262" s="195">
        <f t="shared" si="75"/>
        <v>0</v>
      </c>
      <c r="P262" s="205">
        <f t="shared" si="63"/>
        <v>217936.45077407858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92">
        <f>IFERROR(VLOOKUP(A262,[1]Biogasudbytte!$A$2:$B$18,2,FALSE)*[1]Energiindhold!$C$10,0)*J262*IFERROR(VLOOKUP(A262,Biogasanlæg!$F$3:$G$8,2,FALSE),1)</f>
        <v>0.80269492700128076</v>
      </c>
      <c r="T262" s="193">
        <f t="shared" si="64"/>
        <v>0</v>
      </c>
      <c r="U262" s="191">
        <f>O262*IFERROR(VLOOKUP(A262,[1]Tørstofindhold!A$2:B$24,2,FALSE),0)</f>
        <v>0</v>
      </c>
      <c r="V262" s="192">
        <f>IF(D262=År1,P262,SUM(O262,P262))*IFERROR(VLOOKUP(A262,[1]Tørstofindhold!A$2:B$24,2,FALSE),0)</f>
        <v>91533.309325113005</v>
      </c>
      <c r="W262" s="192">
        <f>J262*IFERROR(VLOOKUP(A262,[1]Tørstofindhold!A$2:B$24,2,FALSE),0)</f>
        <v>91533.309325113005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hidden="1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220334.04456617165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220334.04456617165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536733.47505489504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424757.96739534178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1683096.8033949384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884.229461452941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836666.26941982331</v>
      </c>
      <c r="O265" s="195">
        <f t="shared" si="75"/>
        <v>836666.26941982331</v>
      </c>
      <c r="P265" s="205">
        <f t="shared" si="63"/>
        <v>884.229461452941</v>
      </c>
      <c r="Q265" s="192">
        <f>IFERROR(VLOOKUP(A265,[1]Energiindhold!$A$2:$C$11,3,FALSE),IFERROR(VLOOKUP(A265,[1]Biogasudbytte!$A$2:$B$18,2,FALSE)*[1]Energiindhold!$C$10,0))*O265</f>
        <v>2.8654648394851767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2.8684932015985285</v>
      </c>
      <c r="S265" s="192">
        <f>IFERROR(VLOOKUP(A265,[1]Biogasudbytte!$A$2:$B$18,2,FALSE)*[1]Energiindhold!$C$10,0)*J265*IFERROR(VLOOKUP(A265,Biogasanlæg!$F$3:$G$8,2,FALSE),1)</f>
        <v>3.0283621133517201E-3</v>
      </c>
      <c r="T265" s="193">
        <f t="shared" si="64"/>
        <v>2.8654648394851767</v>
      </c>
      <c r="U265" s="191">
        <f>O265*IFERROR(VLOOKUP(A265,[1]Tørstofindhold!A$2:B$24,2,FALSE),0)</f>
        <v>259366.54352014523</v>
      </c>
      <c r="V265" s="192">
        <f>IF(D265=År1,P265,SUM(O265,P265))*IFERROR(VLOOKUP(A265,[1]Tørstofindhold!A$2:B$24,2,FALSE),0)</f>
        <v>259640.65465319564</v>
      </c>
      <c r="W265" s="192">
        <f>J265*IFERROR(VLOOKUP(A265,[1]Tørstofindhold!A$2:B$24,2,FALSE),0)</f>
        <v>274.11113305041169</v>
      </c>
      <c r="X265" s="193">
        <f t="shared" si="65"/>
        <v>259366.54352014523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343152.81118002941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-343152.81118002941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724125.12538599269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651712.6128473935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47973.289556822005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24439.222981777159</v>
      </c>
      <c r="O267" s="195">
        <f t="shared" si="75"/>
        <v>24439.222981777159</v>
      </c>
      <c r="P267" s="205">
        <f t="shared" si="63"/>
        <v>651712.6128473935</v>
      </c>
      <c r="Q267" s="192">
        <f>IFERROR(VLOOKUP(A267,[1]Energiindhold!$A$2:$C$11,3,FALSE),IFERROR(VLOOKUP(A267,[1]Biogasudbytte!$A$2:$B$18,2,FALSE)*[1]Energiindhold!$C$10,0))*O267</f>
        <v>1.2370890281145781E-2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0.34226129777836795</v>
      </c>
      <c r="S267" s="192">
        <f>IFERROR(VLOOKUP(A267,[1]Biogasudbytte!$A$2:$B$18,2,FALSE)*[1]Energiindhold!$C$10,0)*J267*IFERROR(VLOOKUP(A267,Biogasanlæg!$F$3:$G$8,2,FALSE),1)</f>
        <v>0.32989040749722215</v>
      </c>
      <c r="T267" s="193">
        <f t="shared" si="64"/>
        <v>1.2370890281145797E-2</v>
      </c>
      <c r="U267" s="191">
        <f>O267*IFERROR(VLOOKUP(A267,[1]Tørstofindhold!A$2:B$24,2,FALSE),0)</f>
        <v>1857.380946615064</v>
      </c>
      <c r="V267" s="192">
        <f>IF(D267=År1,P267,SUM(O267,P267))*IFERROR(VLOOKUP(A267,[1]Tørstofindhold!A$2:B$24,2,FALSE),0)</f>
        <v>51387.539523016967</v>
      </c>
      <c r="W267" s="192">
        <f>J267*IFERROR(VLOOKUP(A267,[1]Tørstofindhold!A$2:B$24,2,FALSE),0)</f>
        <v>49530.158576401904</v>
      </c>
      <c r="X267" s="193">
        <f t="shared" si="65"/>
        <v>1857.3809466150633</v>
      </c>
      <c r="Y267" s="171">
        <f t="shared" si="76"/>
        <v>0</v>
      </c>
      <c r="Z267" s="103">
        <f t="shared" si="77"/>
        <v>1</v>
      </c>
    </row>
    <row r="268" spans="1:26" hidden="1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90456.37389070644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-58376.021079607381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1823285.6405542411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75927.162506469729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1191875.8691603413</v>
      </c>
      <c r="O269" s="195">
        <f t="shared" si="75"/>
        <v>1191875.8691603413</v>
      </c>
      <c r="P269" s="205">
        <f t="shared" si="63"/>
        <v>75927.162506469729</v>
      </c>
      <c r="Q269" s="192">
        <f>IFERROR(VLOOKUP(A269,[1]Energiindhold!$A$2:$C$11,3,FALSE),IFERROR(VLOOKUP(A269,[1]Biogasudbytte!$A$2:$B$18,2,FALSE)*[1]Energiindhold!$C$10,0))*O269</f>
        <v>4.278834370285626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4.5514128836838523</v>
      </c>
      <c r="S269" s="192">
        <f>IFERROR(VLOOKUP(A269,[1]Biogasudbytte!$A$2:$B$18,2,FALSE)*[1]Energiindhold!$C$10,0)*J269*IFERROR(VLOOKUP(A269,Biogasanlæg!$F$3:$G$8,2,FALSE),1)</f>
        <v>0.27257851339822636</v>
      </c>
      <c r="T269" s="193">
        <f t="shared" si="64"/>
        <v>4.278834370285626</v>
      </c>
      <c r="U269" s="191">
        <f>O269*IFERROR(VLOOKUP(A269,[1]Tørstofindhold!A$2:B$24,2,FALSE),0)</f>
        <v>357562.76074810239</v>
      </c>
      <c r="V269" s="192">
        <f>IF(D269=År1,P269,SUM(O269,P269))*IFERROR(VLOOKUP(A269,[1]Tørstofindhold!A$2:B$24,2,FALSE),0)</f>
        <v>380340.90950004332</v>
      </c>
      <c r="W269" s="192">
        <f>J269*IFERROR(VLOOKUP(A269,[1]Tørstofindhold!A$2:B$24,2,FALSE),0)</f>
        <v>22778.148751940917</v>
      </c>
      <c r="X269" s="193">
        <f t="shared" si="65"/>
        <v>357562.76074810239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174533.85571503793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-253680.1735764404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O271*IFERROR(VLOOKUP(A271,[1]Tørstofindhold!A$2:B$24,2,FALSE),0)</f>
        <v>7297.504150601043</v>
      </c>
      <c r="V271" s="192">
        <f>IF(D271=År1,P271,SUM(O271,P271))*IFERROR(VLOOKUP(A271,[1]Tørstofindhold!A$2:B$24,2,FALSE),0)</f>
        <v>7297.504150601043</v>
      </c>
      <c r="W271" s="192">
        <f>J271*IFERROR(VLOOKUP(A271,[1]Tørstofindhold!A$2:B$24,2,FALSE),0)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5844.4508372651044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-48568.262884772746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314116.08613367198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314116.08613367198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43858.564110476924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43858.564110476924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43858.564110476924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0.8069975796327753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0.8069975796327753</v>
      </c>
      <c r="U274" s="191">
        <f>O274*IFERROR(VLOOKUP(A274,[1]Tørstofindhold!A$2:B$24,2,FALSE),0)</f>
        <v>0</v>
      </c>
      <c r="V274" s="192">
        <f>IF(D274=År1,P274,SUM(O274,P274))*IFERROR(VLOOKUP(A274,[1]Tørstofindhold!A$2:B$24,2,FALSE),0)</f>
        <v>18201.304105847925</v>
      </c>
      <c r="W274" s="192">
        <f>J274*IFERROR(VLOOKUP(A274,[1]Tørstofindhold!A$2:B$24,2,FALSE),0)</f>
        <v>0</v>
      </c>
      <c r="X274" s="193">
        <f t="shared" si="65"/>
        <v>18201.304105847925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O275*IFERROR(VLOOKUP(A275,[1]Tørstofindhold!A$2:B$24,2,FALSE),0)</f>
        <v>0</v>
      </c>
      <c r="V275" s="192">
        <f>IF(D275=År1,P275,SUM(O275,P275))*IFERROR(VLOOKUP(A275,[1]Tørstofindhold!A$2:B$24,2,FALSE),0)</f>
        <v>0</v>
      </c>
      <c r="W275" s="192">
        <f>J275*IFERROR(VLOOKUP(A275,[1]Tørstofindhold!A$2:B$24,2,FALSE),0)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O276*IFERROR(VLOOKUP(A276,[1]Tørstofindhold!A$2:B$24,2,FALSE),0)</f>
        <v>0</v>
      </c>
      <c r="V276" s="192">
        <f>IF(D276=År1,P276,SUM(O276,P276))*IFERROR(VLOOKUP(A276,[1]Tørstofindhold!A$2:B$24,2,FALSE),0)</f>
        <v>0</v>
      </c>
      <c r="W276" s="192">
        <f>J276*IFERROR(VLOOKUP(A276,[1]Tørstofindhold!A$2:B$24,2,FALSE),0)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271784.85087768652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271784.85087768652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116086.90219815794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116086.90219815794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58043.451099078971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37020.43549748027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37147.808703410541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37147.808703410541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37147.808703410541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1.3001733046193689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1.3001733046193689</v>
      </c>
      <c r="U280" s="191">
        <f>O280*IFERROR(VLOOKUP(A280,[1]Tørstofindhold!A$2:B$24,2,FALSE),0)</f>
        <v>0</v>
      </c>
      <c r="V280" s="192">
        <f>IF(D280=År1,P280,SUM(O280,P280))*IFERROR(VLOOKUP(A280,[1]Tørstofindhold!A$2:B$24,2,FALSE),0)</f>
        <v>0</v>
      </c>
      <c r="W280" s="192">
        <f>J280*IFERROR(VLOOKUP(A280,[1]Tørstofindhold!A$2:B$24,2,FALSE),0)</f>
        <v>0</v>
      </c>
      <c r="X280" s="193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1571187.4884325294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6823.5734769589817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1481767.2134915488</v>
      </c>
      <c r="O281" s="195">
        <f t="shared" si="89"/>
        <v>1481767.2134915488</v>
      </c>
      <c r="P281" s="205">
        <f t="shared" si="63"/>
        <v>6823.5734769589817</v>
      </c>
      <c r="Q281" s="192">
        <f>IFERROR(VLOOKUP(A281,[1]Energiindhold!$A$2:$C$11,3,FALSE),IFERROR(VLOOKUP(A281,[1]Biogasudbytte!$A$2:$B$18,2,FALSE)*[1]Energiindhold!$C$10,0))*O281</f>
        <v>4.0215754881046033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4.0400949394640087</v>
      </c>
      <c r="S281" s="192">
        <f>IFERROR(VLOOKUP(A281,[1]Biogasudbytte!$A$2:$B$18,2,FALSE)*[1]Energiindhold!$C$10,0)*J281*IFERROR(VLOOKUP(A281,Biogasanlæg!$F$3:$G$8,2,FALSE),1)</f>
        <v>1.8519451359405754E-2</v>
      </c>
      <c r="T281" s="193">
        <f t="shared" si="64"/>
        <v>4.0215754881046033</v>
      </c>
      <c r="U281" s="191">
        <f>O281*IFERROR(VLOOKUP(A281,[1]Tørstofindhold!A$2:B$24,2,FALSE),0)</f>
        <v>296353.44269830978</v>
      </c>
      <c r="V281" s="192">
        <f>IF(D281=År1,P281,SUM(O281,P281))*IFERROR(VLOOKUP(A281,[1]Tørstofindhold!A$2:B$24,2,FALSE),0)</f>
        <v>297718.15739370155</v>
      </c>
      <c r="W281" s="192">
        <f>J281*IFERROR(VLOOKUP(A281,[1]Tørstofindhold!A$2:B$24,2,FALSE),0)</f>
        <v>1364.7146953917963</v>
      </c>
      <c r="X281" s="193">
        <f t="shared" si="65"/>
        <v>296353.44269830978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17515.983585710339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17515.983585710339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14228.619026408833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10358.273057913673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3498582.8365199142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2171749.3397621554</v>
      </c>
      <c r="O284" s="195">
        <f t="shared" si="89"/>
        <v>2171749.3397621554</v>
      </c>
      <c r="P284" s="205">
        <f t="shared" si="94"/>
        <v>1326833.4967577588</v>
      </c>
      <c r="Q284" s="192">
        <f>IFERROR(VLOOKUP(A284,[1]Energiindhold!$A$2:$C$11,3,FALSE),IFERROR(VLOOKUP(A284,[1]Biogasudbytte!$A$2:$B$18,2,FALSE)*[1]Energiindhold!$C$10,0))*O284</f>
        <v>1.0837246380347134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92">
        <f>IFERROR(VLOOKUP(A284,[1]Biogasudbytte!$A$2:$B$18,2,FALSE)*[1]Energiindhold!$C$10,0)*J284*IFERROR(VLOOKUP(A284,Biogasanlæg!$F$3:$G$8,2,FALSE),1)</f>
        <v>0.66210318321708928</v>
      </c>
      <c r="T284" s="193">
        <f t="shared" si="95"/>
        <v>1.0837246380347136</v>
      </c>
      <c r="U284" s="191">
        <f>O284*IFERROR(VLOOKUP(A284,[1]Tørstofindhold!A$2:B$24,2,FALSE),0)</f>
        <v>130304.96038572933</v>
      </c>
      <c r="V284" s="192">
        <f>IF(D284=År1,P284,SUM(O284,P284))*IFERROR(VLOOKUP(A284,[1]Tørstofindhold!A$2:B$24,2,FALSE),0)</f>
        <v>209914.97019119485</v>
      </c>
      <c r="W284" s="192">
        <f>J284*IFERROR(VLOOKUP(A284,[1]Tørstofindhold!A$2:B$24,2,FALSE),0)</f>
        <v>79610.009805465525</v>
      </c>
      <c r="X284" s="193">
        <f t="shared" si="96"/>
        <v>130304.96038572933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1672957.9533098161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1505662.1579788346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167295.79533098158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1505662.1579788346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0.64863925765728203</v>
      </c>
      <c r="S285" s="192">
        <f>IFERROR(VLOOKUP(A285,[1]Biogasudbytte!$A$2:$B$18,2,FALSE)*[1]Energiindhold!$C$10,0)*J285*IFERROR(VLOOKUP(A285,Biogasanlæg!$F$3:$G$8,2,FALSE),1)</f>
        <v>0.64863925765728203</v>
      </c>
      <c r="T285" s="193">
        <f t="shared" si="95"/>
        <v>0</v>
      </c>
      <c r="U285" s="191">
        <f>O285*IFERROR(VLOOKUP(A285,[1]Tørstofindhold!A$2:B$24,2,FALSE),0)</f>
        <v>0</v>
      </c>
      <c r="V285" s="192">
        <f>IF(D285=År1,P285,SUM(O285,P285))*IFERROR(VLOOKUP(A285,[1]Tørstofindhold!A$2:B$24,2,FALSE),0)</f>
        <v>75283.107898941729</v>
      </c>
      <c r="W285" s="192">
        <f>J285*IFERROR(VLOOKUP(A285,[1]Tørstofindhold!A$2:B$24,2,FALSE),0)</f>
        <v>75283.107898941729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155347.1964728414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44872.898915976679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O287*IFERROR(VLOOKUP(A287,[1]Tørstofindhold!A$2:B$24,2,FALSE),0)</f>
        <v>675</v>
      </c>
      <c r="V287" s="192">
        <f>IF(D287=År1,P287,SUM(O287,P287))*IFERROR(VLOOKUP(A287,[1]Tørstofindhold!A$2:B$24,2,FALSE),0)</f>
        <v>675</v>
      </c>
      <c r="W287" s="192">
        <f>J287*IFERROR(VLOOKUP(A287,[1]Tørstofindhold!A$2:B$24,2,FALSE),0)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624603.98534617631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624603.98534617631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624603.98534617631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9.0527408973136652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9.0527408973136652</v>
      </c>
      <c r="U289" s="191">
        <f>O289*IFERROR(VLOOKUP(A289,[1]Tørstofindhold!A$2:B$24,2,FALSE),0)</f>
        <v>0</v>
      </c>
      <c r="V289" s="192">
        <f>IF(D289=År1,P289,SUM(O289,P289))*IFERROR(VLOOKUP(A289,[1]Tørstofindhold!A$2:B$24,2,FALSE),0)</f>
        <v>308918.72108579637</v>
      </c>
      <c r="W289" s="192">
        <f>J289*IFERROR(VLOOKUP(A289,[1]Tørstofindhold!A$2:B$24,2,FALSE),0)</f>
        <v>0</v>
      </c>
      <c r="X289" s="193">
        <f t="shared" si="96"/>
        <v>308918.72108579637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184169.19735067486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184169.19735067486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>
    <filterColumn colId="0">
      <filters>
        <filter val="Raps"/>
        <filter val="Rapskage"/>
        <filter val="Rapsolie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6" t="s">
        <v>23</v>
      </c>
      <c r="B2" s="367"/>
      <c r="C2" s="367"/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2" t="s">
        <v>7</v>
      </c>
      <c r="D3" s="363"/>
      <c r="E3" s="363"/>
      <c r="F3" s="363"/>
      <c r="G3" s="363"/>
      <c r="H3" s="363"/>
      <c r="I3" s="363"/>
      <c r="J3" s="363"/>
      <c r="K3" s="364"/>
      <c r="L3" s="362" t="s">
        <v>8</v>
      </c>
      <c r="M3" s="363"/>
      <c r="N3" s="363"/>
      <c r="O3" s="363"/>
      <c r="P3" s="363"/>
      <c r="Q3" s="363"/>
      <c r="R3" s="363"/>
      <c r="S3" s="363"/>
      <c r="T3" s="364"/>
      <c r="U3" s="71"/>
      <c r="W3" s="31" t="s">
        <v>282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623909.73940601887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>
        <f>IF(Landbrug!$E$47&gt;0,SUMIF(Landbrug!$B$32:$B$45,$B6,IF(I4=År2,Landbrug!$D$32:$D$45,Landbrug!$E$32:$E$45)),'[1]Afgrødefordeling - jordtype'!$G4)*(1-Landbrug!$E$5)*Arealanvendelse!P$26</f>
        <v>576591.97905547544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97373.196323482727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>
        <f>IF(Landbrug!$E$47&gt;0,SUMIF(Landbrug!$B$32:$B$45,$B6,IF(I4=År2,Landbrug!$D$32:$D$45,Landbrug!$E$32:$E$45)),'[1]Afgrødefordeling - jordtype'!$G4)*(Landbrug!$E$5)*Arealanvendelse!P$26</f>
        <v>122307.389496616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285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48011.920691725383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>
        <f>IF(Landbrug!$E$47&gt;0,SUMIF(Landbrug!$B$32:$B$45,$B7,IF(I5=År2,Landbrug!$D$32:$D$45,Landbrug!$E$32:$E$45)),'[1]Afgrødefordeling - jordtype'!$G5)*(1-Landbrug!$E$5)*Arealanvendelse!P$26</f>
        <v>44370.662327297228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7493.1899345467373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>
        <f>IF(Landbrug!$E$47&gt;0,SUMIF(Landbrug!$B$32:$B$45,$B7,IF(I5=År2,Landbrug!$D$32:$D$45,Landbrug!$E$32:$E$45)),'[1]Afgrødefordeling - jordtype'!$G5)*(Landbrug!$E$5)*Arealanvendelse!P$26</f>
        <v>9411.9586754872907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286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70259.109449246753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>
        <f>IF(Landbrug!$E$47&gt;0,SUMIF(Landbrug!$B$32:$B$45,$B8,IF(I6=År2,Landbrug!$D$32:$D$45,Landbrug!$E$32:$E$45)),'[1]Afgrødefordeling - jordtype'!$G6)*(1-Landbrug!$E$5)*Arealanvendelse!P$26</f>
        <v>64930.608396310665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10965.294538321748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>
        <f>IF(Landbrug!$E$47&gt;0,SUMIF(Landbrug!$B$32:$B$45,$B8,IF(I6=År2,Landbrug!$D$32:$D$45,Landbrug!$E$32:$E$45)),'[1]Afgrødefordeling - jordtype'!$G6)*(Landbrug!$E$5)*Arealanvendelse!P$26</f>
        <v>13773.159356793169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287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389039.43578841945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>
        <f>IF(Landbrug!$E$47&gt;0,SUMIF(Landbrug!$B$32:$B$45,$B9,IF(I7=År2,Landbrug!$D$32:$D$45,Landbrug!$E$32:$E$45)),'[1]Afgrødefordeling - jordtype'!$G7)*(1-Landbrug!$E$5)*Arealanvendelse!P$26</f>
        <v>359534.40705289674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60717.137377383391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>
        <f>IF(Landbrug!$E$47&gt;0,SUMIF(Landbrug!$B$32:$B$45,$B9,IF(I7=År2,Landbrug!$D$32:$D$45,Landbrug!$E$32:$E$45)),'[1]Afgrødefordeling - jordtype'!$G7)*(Landbrug!$E$5)*Arealanvendelse!P$26</f>
        <v>76264.874223341743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8069.2150499893842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>
        <f>IF(Landbrug!$E$47&gt;0,SUMIF(Landbrug!$B$32:$B$45,$B10,IF(I8=År2,Landbrug!$D$32:$D$45,Landbrug!$E$32:$E$45)),'[1]Afgrødefordeling - jordtype'!$G8)*(1-Landbrug!$E$5)*Arealanvendelse!P$26</f>
        <v>7457.2400160431316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1259.3572621370715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>
        <f>IF(Landbrug!$E$47&gt;0,SUMIF(Landbrug!$B$32:$B$45,$B10,IF(I8=År2,Landbrug!$D$32:$D$45,Landbrug!$E$32:$E$45)),'[1]Afgrødefordeling - jordtype'!$G8)*(Landbrug!$E$5)*Arealanvendelse!P$26</f>
        <v>1581.8387912818764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33939.868192186092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>
        <f>IF(Landbrug!$E$47&gt;0,SUMIF(Landbrug!$B$32:$B$45,$B11,IF(I9=År2,Landbrug!$D$32:$D$45,Landbrug!$E$32:$E$45)),'[1]Afgrødefordeling - jordtype'!$G9)*(1-Landbrug!$E$5)*Arealanvendelse!P$26</f>
        <v>31365.844342236556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5296.973648491472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>
        <f>IF(Landbrug!$E$47&gt;0,SUMIF(Landbrug!$B$32:$B$45,$B11,IF(I9=År2,Landbrug!$D$32:$D$45,Landbrug!$E$32:$E$45)),'[1]Afgrødefordeling - jordtype'!$G9)*(Landbrug!$E$5)*Arealanvendelse!P$26</f>
        <v>6653.3609210804825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51872.305654463133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>
        <f>IF(Landbrug!$E$47&gt;0,SUMIF(Landbrug!$B$32:$B$45,$B12,IF(I10=År2,Landbrug!$D$32:$D$45,Landbrug!$E$32:$E$45)),'[1]Afgrødefordeling - jordtype'!$G10)*(1-Landbrug!$E$5)*Arealanvendelse!P$26</f>
        <v>47938.272936646019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8095.677761101183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>
        <f>IF(Landbrug!$E$47&gt;0,SUMIF(Landbrug!$B$32:$B$45,$B12,IF(I10=År2,Landbrug!$D$32:$D$45,Landbrug!$E$32:$E$45)),'[1]Afgrødefordeling - jordtype'!$G10)*(Landbrug!$E$5)*Arealanvendelse!P$26</f>
        <v>10168.724562318854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105024.04342368516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>
        <f>IF(Landbrug!$E$47&gt;0,SUMIF(Landbrug!$B$32:$B$45,$B13,IF(I11=År2,Landbrug!$D$32:$D$45,Landbrug!$E$32:$E$45)),'[1]Afgrødefordeling - jordtype'!$G11)*(1-Landbrug!$E$5)*Arealanvendelse!P$26</f>
        <v>97058.944942455943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16391.035678841039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>
        <f>IF(Landbrug!$E$47&gt;0,SUMIF(Landbrug!$B$32:$B$45,$B13,IF(I11=År2,Landbrug!$D$32:$D$45,Landbrug!$E$32:$E$45)),'[1]Afgrødefordeling - jordtype'!$G11)*(Landbrug!$E$5)*Arealanvendelse!P$26</f>
        <v>20588.261048399749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3146.7111847138076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>
        <f>IF(Landbrug!$E$47&gt;0,SUMIF(Landbrug!$B$32:$B$45,$B14,IF(I12=År2,Landbrug!$D$32:$D$45,Landbrug!$E$32:$E$45)),'[1]Afgrødefordeling - jordtype'!$G12)*(1-Landbrug!$E$5)*Arealanvendelse!P$26</f>
        <v>2908.0623604905873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491.10521379926485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>
        <f>IF(Landbrug!$E$47&gt;0,SUMIF(Landbrug!$B$32:$B$45,$B14,IF(I12=År2,Landbrug!$D$32:$D$45,Landbrug!$E$32:$E$45)),'[1]Afgrødefordeling - jordtype'!$G12)*(Landbrug!$E$5)*Arealanvendelse!P$26</f>
        <v>616.86171283133672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27850.682564630642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>
        <f>IF(Landbrug!$E$47&gt;0,SUMIF(Landbrug!$B$32:$B$45,$B15,IF(I13=År2,Landbrug!$D$32:$D$45,Landbrug!$E$32:$E$45)),'[1]Afgrødefordeling - jordtype'!$G13)*(1-Landbrug!$E$5)*Arealanvendelse!P$26</f>
        <v>25738.466902719567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4346.6383193354177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>
        <f>IF(Landbrug!$E$47&gt;0,SUMIF(Landbrug!$B$32:$B$45,$B15,IF(I13=År2,Landbrug!$D$32:$D$45,Landbrug!$E$32:$E$45)),'[1]Afgrødefordeling - jordtype'!$G13)*(Landbrug!$E$5)*Arealanvendelse!P$26</f>
        <v>5459.6747975465751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62611.02615456815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>
        <f>IF(Landbrug!$E$47&gt;0,SUMIF(Landbrug!$B$32:$B$45,$B16,IF(I14=År2,Landbrug!$D$32:$D$45,Landbrug!$E$32:$E$45)),'[1]Afgrødefordeling - jordtype'!$G14)*(1-Landbrug!$E$5)*Arealanvendelse!P$26</f>
        <v>57862.561202403813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9771.6630414643932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>
        <f>IF(Landbrug!$E$47&gt;0,SUMIF(Landbrug!$B$32:$B$45,$B16,IF(I14=År2,Landbrug!$D$32:$D$45,Landbrug!$E$32:$E$45)),'[1]Afgrødefordeling - jordtype'!$G14)*(Landbrug!$E$5)*Arealanvendelse!P$26</f>
        <v>12273.876618691718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11759.429887638771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>
        <f>IF(Landbrug!$E$47&gt;0,SUMIF(Landbrug!$B$32:$B$45,$B17,IF(I15=År2,Landbrug!$D$32:$D$45,Landbrug!$E$32:$E$45)),'[1]Afgrødefordeling - jordtype'!$G15)*(1-Landbrug!$E$5)*Arealanvendelse!P$26</f>
        <v>10867.586324157863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1835.286745469635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>
        <f>IF(Landbrug!$E$47&gt;0,SUMIF(Landbrug!$B$32:$B$45,$B17,IF(I15=År2,Landbrug!$D$32:$D$45,Landbrug!$E$32:$E$45)),'[1]Afgrødefordeling - jordtype'!$G15)*(Landbrug!$E$5)*Arealanvendelse!P$26</f>
        <v>2305.2455839122736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4522.0169004115751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>
        <f>IF(Landbrug!$E$47&gt;0,SUMIF(Landbrug!$B$32:$B$45,$B18,IF(I16=År2,Landbrug!$D$32:$D$45,Landbrug!$E$32:$E$45)),'[1]Afgrødefordeling - jordtype'!$G16)*(1-Landbrug!$E$5)*Arealanvendelse!P$26</f>
        <v>4179.063908207143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705.74830237637309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>
        <f>IF(Landbrug!$E$47&gt;0,SUMIF(Landbrug!$B$32:$B$45,$B18,IF(I16=År2,Landbrug!$D$32:$D$45,Landbrug!$E$32:$E$45)),'[1]Afgrødefordeling - jordtype'!$G16)*(Landbrug!$E$5)*Arealanvendelse!P$26</f>
        <v>886.46810174090911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109694.9188294395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>
        <f>IF(Landbrug!$E$47&gt;0,SUMIF(Landbrug!$B$32:$B$45,$B19,IF(I17=År2,Landbrug!$D$32:$D$45,Landbrug!$E$32:$E$45)),'[1]Afgrødefordeling - jordtype'!$G17)*(1-Landbrug!$E$5)*Arealanvendelse!P$26</f>
        <v>101375.57782061782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17120.016233496339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>
        <f>IF(Landbrug!$E$47&gt;0,SUMIF(Landbrug!$B$32:$B$45,$B19,IF(I17=År2,Landbrug!$D$32:$D$45,Landbrug!$E$32:$E$45)),'[1]Afgrødefordeling - jordtype'!$G17)*(Landbrug!$E$5)*Arealanvendelse!P$26</f>
        <v>21503.910446797723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1549710.4231771363</v>
      </c>
      <c r="G20" s="38">
        <f t="shared" si="2"/>
        <v>72619.812449615012</v>
      </c>
      <c r="H20" s="38">
        <f t="shared" si="2"/>
        <v>55230.474335887062</v>
      </c>
      <c r="I20" s="38">
        <f t="shared" si="2"/>
        <v>1432179.2775879591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241862.32038024676</v>
      </c>
      <c r="P20" s="38">
        <f t="shared" si="2"/>
        <v>11333.727954564194</v>
      </c>
      <c r="Q20" s="38">
        <f t="shared" si="2"/>
        <v>8619.7850119592531</v>
      </c>
      <c r="R20" s="38">
        <f t="shared" si="2"/>
        <v>303795.60433683975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2" t="s">
        <v>7</v>
      </c>
      <c r="D22" s="363"/>
      <c r="E22" s="364"/>
      <c r="F22" s="365" t="s">
        <v>8</v>
      </c>
      <c r="G22" s="363"/>
      <c r="H22" s="36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9" t="s">
        <v>24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0"/>
      <c r="R29" s="370"/>
      <c r="S29" s="370"/>
      <c r="T29" s="370"/>
      <c r="U29" s="371"/>
    </row>
    <row r="30" spans="1:21" x14ac:dyDescent="0.25">
      <c r="A30" s="56"/>
      <c r="B30" s="53"/>
      <c r="C30" s="372" t="s">
        <v>7</v>
      </c>
      <c r="D30" s="373"/>
      <c r="E30" s="373"/>
      <c r="F30" s="373"/>
      <c r="G30" s="373"/>
      <c r="H30" s="373"/>
      <c r="I30" s="373"/>
      <c r="J30" s="373"/>
      <c r="K30" s="374"/>
      <c r="L30" s="372" t="s">
        <v>8</v>
      </c>
      <c r="M30" s="373"/>
      <c r="N30" s="373"/>
      <c r="O30" s="373"/>
      <c r="P30" s="373"/>
      <c r="Q30" s="373"/>
      <c r="R30" s="373"/>
      <c r="S30" s="373"/>
      <c r="T30" s="374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190174.15207493372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>
        <f>IF(Landbrug!$E$47&gt;0,SUMIF(Landbrug!$B$32:$B$45,$B33,IF(I32=År2,Landbrug!$D$32:$D$45,Landbrug!$E$32:$E$45)),'[1]Afgrødefordeling - jordtype'!$P4)*(1-Landbrug!$E$5)*Arealanvendelse!P$36</f>
        <v>179389.67006955924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29680.358994353821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>
        <f>IF(Landbrug!$E$47&gt;0,SUMIF(Landbrug!$B$32:$B$45,$B33,IF(R32=År2,Landbrug!$D$32:$D$45,Landbrug!$E$32:$E$45)),'[1]Afgrødefordeling - jordtype'!$P4)*(Landbrug!$E$5)*Arealanvendelse!P$36</f>
        <v>38052.354257179235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14634.530814874721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>
        <f>IF(Landbrug!$E$47&gt;0,SUMIF(Landbrug!$B$32:$B$45,$B34,IF(I33=År2,Landbrug!$D$32:$D$45,Landbrug!$E$32:$E$45)),'[1]Afgrødefordeling - jordtype'!$P5)*(1-Landbrug!$E$5)*Arealanvendelse!P$36</f>
        <v>13804.629208856637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2284.0019190844941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>
        <f>IF(Landbrug!$E$47&gt;0,SUMIF(Landbrug!$B$32:$B$45,$B34,IF(R33=År2,Landbrug!$D$32:$D$45,Landbrug!$E$32:$E$45)),'[1]Afgrødefordeling - jordtype'!$P5)*(Landbrug!$E$5)*Arealanvendelse!P$36</f>
        <v>2928.2546806665596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21415.704421878378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>
        <f>IF(Landbrug!$E$47&gt;0,SUMIF(Landbrug!$B$32:$B$45,$B35,IF(I34=År2,Landbrug!$D$32:$D$45,Landbrug!$E$32:$E$45)),'[1]Afgrødefordeling - jordtype'!$P6)*(1-Landbrug!$E$5)*Arealanvendelse!P$36</f>
        <v>20201.252949634338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3342.3353722006718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>
        <f>IF(Landbrug!$E$47&gt;0,SUMIF(Landbrug!$B$32:$B$45,$B35,IF(R34=År2,Landbrug!$D$32:$D$45,Landbrug!$E$32:$E$45)),'[1]Afgrødefordeling - jordtype'!$P6)*(Landbrug!$E$5)*Arealanvendelse!P$36</f>
        <v>4285.1142620436467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118583.25035158051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>
        <f>IF(Landbrug!$E$47&gt;0,SUMIF(Landbrug!$B$32:$B$45,$B36,IF(I35=År2,Landbrug!$D$32:$D$45,Landbrug!$E$32:$E$45)),'[1]Afgrødefordeling - jordtype'!$P7)*(1-Landbrug!$E$5)*Arealanvendelse!P$36</f>
        <v>111858.57764710314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18507.212482616615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>
        <f>IF(Landbrug!$E$47&gt;0,SUMIF(Landbrug!$B$32:$B$45,$B36,IF(R35=År2,Landbrug!$D$32:$D$45,Landbrug!$E$32:$E$45)),'[1]Afgrødefordeling - jordtype'!$P7)*(Landbrug!$E$5)*Arealanvendelse!P$36</f>
        <v>23727.577076658243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2459.5803417061084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>
        <f>IF(Landbrug!$E$47&gt;0,SUMIF(Landbrug!$B$32:$B$45,$B37,IF(I36=År2,Landbrug!$D$32:$D$45,Landbrug!$E$32:$E$45)),'[1]Afgrødefordeling - jordtype'!$P8)*(1-Landbrug!$E$5)*Arealanvendelse!P$36</f>
        <v>2320.101344973416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383.86514003505738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>
        <f>IF(Landbrug!$E$47&gt;0,SUMIF(Landbrug!$B$32:$B$45,$B37,IF(R36=År2,Landbrug!$D$32:$D$45,Landbrug!$E$32:$E$45)),'[1]Afgrødefordeling - jordtype'!$P8)*(Landbrug!$E$5)*Arealanvendelse!P$36</f>
        <v>492.14270953981543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10345.22343108295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>
        <f>IF(Landbrug!$E$47&gt;0,SUMIF(Landbrug!$B$32:$B$45,$B38,IF(I37=År2,Landbrug!$D$32:$D$45,Landbrug!$E$32:$E$45)),'[1]Afgrødefordeling - jordtype'!$P9)*(1-Landbrug!$E$5)*Arealanvendelse!P$36</f>
        <v>9758.5618121573061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1614.5724430013856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>
        <f>IF(Landbrug!$E$47&gt;0,SUMIF(Landbrug!$B$32:$B$45,$B38,IF(R37=År2,Landbrug!$D$32:$D$45,Landbrug!$E$32:$E$45)),'[1]Afgrødefordeling - jordtype'!$P9)*(Landbrug!$E$5)*Arealanvendelse!P$36</f>
        <v>2069.9979601545801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15811.216143862219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>
        <f>IF(Landbrug!$E$47&gt;0,SUMIF(Landbrug!$B$32:$B$45,$B39,IF(I38=År2,Landbrug!$D$32:$D$45,Landbrug!$E$32:$E$45)),'[1]Afgrødefordeling - jordtype'!$P10)*(1-Landbrug!$E$5)*Arealanvendelse!P$36</f>
        <v>14914.586532918138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2467.64645019815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>
        <f>IF(Landbrug!$E$47&gt;0,SUMIF(Landbrug!$B$32:$B$45,$B39,IF(R38=År2,Landbrug!$D$32:$D$45,Landbrug!$E$32:$E$45)),'[1]Afgrødefordeling - jordtype'!$P10)*(Landbrug!$E$5)*Arealanvendelse!P$36</f>
        <v>3163.7001736493021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32012.416450807639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>
        <f>IF(Landbrug!$E$47&gt;0,SUMIF(Landbrug!$B$32:$B$45,$B40,IF(I39=År2,Landbrug!$D$32:$D$45,Landbrug!$E$32:$E$45)),'[1]Afgrødefordeling - jordtype'!$P11)*(1-Landbrug!$E$5)*Arealanvendelse!P$36</f>
        <v>30197.041830253234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4996.1574807618863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>
        <f>IF(Landbrug!$E$47&gt;0,SUMIF(Landbrug!$B$32:$B$45,$B40,IF(R39=År2,Landbrug!$D$32:$D$45,Landbrug!$E$32:$E$45)),'[1]Afgrødefordeling - jordtype'!$P11)*(Landbrug!$E$5)*Arealanvendelse!P$36</f>
        <v>6405.4331155082618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959.15016801528964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>
        <f>IF(Landbrug!$E$47&gt;0,SUMIF(Landbrug!$B$32:$B$45,$B41,IF(I40=År2,Landbrug!$D$32:$D$45,Landbrug!$E$32:$E$45)),'[1]Afgrødefordeling - jordtype'!$P12)*(1-Landbrug!$E$5)*Arealanvendelse!P$36</f>
        <v>904.75824558759291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149.69395685787757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>
        <f>IF(Landbrug!$E$47&gt;0,SUMIF(Landbrug!$B$32:$B$45,$B41,IF(R40=År2,Landbrug!$D$32:$D$45,Landbrug!$E$32:$E$45)),'[1]Afgrødefordeling - jordtype'!$P12)*(Landbrug!$E$5)*Arealanvendelse!P$36</f>
        <v>191.91841573070153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8489.1765698018808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>
        <f>IF(Landbrug!$E$47&gt;0,SUMIF(Landbrug!$B$32:$B$45,$B42,IF(I41=År2,Landbrug!$D$32:$D$45,Landbrug!$E$32:$E$45)),'[1]Afgrødefordeling - jordtype'!$P13)*(1-Landbrug!$E$5)*Arealanvendelse!P$36</f>
        <v>8007.7684974714139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1324.9003895066519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>
        <f>IF(Landbrug!$E$47&gt;0,SUMIF(Landbrug!$B$32:$B$45,$B42,IF(R41=År2,Landbrug!$D$32:$D$45,Landbrug!$E$32:$E$45)),'[1]Afgrødefordeling - jordtype'!$P13)*(Landbrug!$E$5)*Arealanvendelse!P$36</f>
        <v>1698.6175600696938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19084.489401980361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>
        <f>IF(Landbrug!$E$47&gt;0,SUMIF(Landbrug!$B$32:$B$45,$B43,IF(I42=År2,Landbrug!$D$32:$D$45,Landbrug!$E$32:$E$45)),'[1]Afgrødefordeling - jordtype'!$P14)*(1-Landbrug!$E$5)*Arealanvendelse!P$36</f>
        <v>18002.237527623009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2978.5041263206344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>
        <f>IF(Landbrug!$E$47&gt;0,SUMIF(Landbrug!$B$32:$B$45,$B43,IF(R42=År2,Landbrug!$D$32:$D$45,Landbrug!$E$32:$E$45)),'[1]Afgrødefordeling - jordtype'!$P14)*(Landbrug!$E$5)*Arealanvendelse!P$36</f>
        <v>3818.6564452533657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3584.3960536589798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>
        <f>IF(Landbrug!$E$47&gt;0,SUMIF(Landbrug!$B$32:$B$45,$B44,IF(I43=År2,Landbrug!$D$32:$D$45,Landbrug!$E$32:$E$45)),'[1]Afgrødefordeling - jordtype'!$P15)*(1-Landbrug!$E$5)*Arealanvendelse!P$36</f>
        <v>3381.1304977511027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559.41441299880034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>
        <f>IF(Landbrug!$E$47&gt;0,SUMIF(Landbrug!$B$32:$B$45,$B44,IF(R43=År2,Landbrug!$D$32:$D$45,Landbrug!$E$32:$E$45)),'[1]Afgrødefordeling - jordtype'!$P15)*(Landbrug!$E$5)*Arealanvendelse!P$36</f>
        <v>717.2094995229611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1378.3575978842866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>
        <f>IF(Landbrug!$E$47&gt;0,SUMIF(Landbrug!$B$32:$B$45,$B45,IF(I44=År2,Landbrug!$D$32:$D$45,Landbrug!$E$32:$E$45)),'[1]Afgrødefordeling - jordtype'!$P16)*(1-Landbrug!$E$5)*Arealanvendelse!P$36</f>
        <v>1300.1930705330769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215.11939388945515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>
        <f>IF(Landbrug!$E$47&gt;0,SUMIF(Landbrug!$B$32:$B$45,$B45,IF(R44=År2,Landbrug!$D$32:$D$45,Landbrug!$E$32:$E$45)),'[1]Afgrødefordeling - jordtype'!$P16)*(Landbrug!$E$5)*Arealanvendelse!P$36</f>
        <v>275.79853011307694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33436.147663246578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>
        <f>IF(Landbrug!$E$47&gt;0,SUMIF(Landbrug!$B$32:$B$45,$B46,IF(I45=År2,Landbrug!$D$32:$D$45,Landbrug!$E$32:$E$45)),'[1]Afgrødefordeling - jordtype'!$P17)*(1-Landbrug!$E$5)*Arealanvendelse!P$36</f>
        <v>31540.035447842853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5218.3583058246104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>
        <f>IF(Landbrug!$E$47&gt;0,SUMIF(Landbrug!$B$32:$B$45,$B46,IF(R45=År2,Landbrug!$D$32:$D$45,Landbrug!$E$32:$E$45)),'[1]Afgrødefordeling - jordtype'!$P17)*(Landbrug!$E$5)*Arealanvendelse!P$36</f>
        <v>6690.3105495424243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472367.79148531368</v>
      </c>
      <c r="G47" s="38">
        <f t="shared" si="3"/>
        <v>7826.9175503849747</v>
      </c>
      <c r="H47" s="38">
        <f t="shared" si="3"/>
        <v>5952.705664112922</v>
      </c>
      <c r="I47" s="38">
        <f t="shared" si="3"/>
        <v>445580.54468226456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73722.140867650116</v>
      </c>
      <c r="P47" s="38">
        <f t="shared" si="3"/>
        <v>1221.5420454358054</v>
      </c>
      <c r="Q47" s="38">
        <f t="shared" si="3"/>
        <v>929.03498804074502</v>
      </c>
      <c r="R47" s="38">
        <f t="shared" si="3"/>
        <v>94517.08523563185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2" t="s">
        <v>7</v>
      </c>
      <c r="D49" s="363"/>
      <c r="E49" s="364"/>
      <c r="F49" s="365" t="s">
        <v>8</v>
      </c>
      <c r="G49" s="363"/>
      <c r="H49" s="36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3223493.7051022411</v>
      </c>
      <c r="F5" s="242"/>
      <c r="G5" s="242">
        <v>17676.221889995504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2444654</v>
      </c>
      <c r="Q5" s="242"/>
      <c r="R5" s="242">
        <v>11357.999999999998</v>
      </c>
      <c r="S5" s="242">
        <v>24187240.797831371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8315241.6371112876</v>
      </c>
      <c r="AB5" s="242">
        <v>27238357.333994672</v>
      </c>
      <c r="AC5" s="242"/>
      <c r="AD5" s="242"/>
      <c r="AE5" s="242"/>
      <c r="AF5" s="242"/>
      <c r="AG5" s="242"/>
      <c r="AH5" s="242"/>
      <c r="AI5" s="242"/>
      <c r="AJ5" s="242">
        <v>68890233.695929572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1204392.371220411</v>
      </c>
      <c r="F7" s="242"/>
      <c r="G7" s="242">
        <v>6510.908203702802</v>
      </c>
      <c r="H7" s="242"/>
      <c r="I7" s="242"/>
      <c r="J7" s="242">
        <v>142742</v>
      </c>
      <c r="K7" s="242">
        <v>85677</v>
      </c>
      <c r="L7" s="242"/>
      <c r="M7" s="242">
        <v>75934.000000000015</v>
      </c>
      <c r="N7" s="242">
        <v>78</v>
      </c>
      <c r="O7" s="242"/>
      <c r="P7" s="242">
        <v>725968.00000000012</v>
      </c>
      <c r="Q7" s="242"/>
      <c r="R7" s="242">
        <v>3785.9999999999991</v>
      </c>
      <c r="S7" s="242">
        <v>10012525.836481437</v>
      </c>
      <c r="T7" s="242"/>
      <c r="U7" s="242">
        <v>330026</v>
      </c>
      <c r="V7" s="242"/>
      <c r="W7" s="242"/>
      <c r="X7" s="242"/>
      <c r="Y7" s="242">
        <v>28645.000000000004</v>
      </c>
      <c r="Z7" s="242"/>
      <c r="AA7" s="242">
        <v>2765437.867297628</v>
      </c>
      <c r="AB7" s="242">
        <v>12426575.77002522</v>
      </c>
      <c r="AC7" s="242"/>
      <c r="AD7" s="242"/>
      <c r="AE7" s="242"/>
      <c r="AF7" s="242"/>
      <c r="AG7" s="242"/>
      <c r="AH7" s="242"/>
      <c r="AI7" s="242"/>
      <c r="AJ7" s="242">
        <v>28172293.7532284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1262014.3338818299</v>
      </c>
      <c r="F8" s="242"/>
      <c r="G8" s="242">
        <v>6723.8136862927022</v>
      </c>
      <c r="H8" s="242"/>
      <c r="I8" s="242"/>
      <c r="J8" s="242">
        <v>142742</v>
      </c>
      <c r="K8" s="242">
        <v>85677.000000000015</v>
      </c>
      <c r="L8" s="242"/>
      <c r="M8" s="242">
        <v>75934.000000000015</v>
      </c>
      <c r="N8" s="242">
        <v>78</v>
      </c>
      <c r="O8" s="242"/>
      <c r="P8" s="242">
        <v>723032.00000000012</v>
      </c>
      <c r="Q8" s="242"/>
      <c r="R8" s="242">
        <v>3786</v>
      </c>
      <c r="S8" s="242">
        <v>9821205.2946832664</v>
      </c>
      <c r="T8" s="242"/>
      <c r="U8" s="242">
        <v>330026</v>
      </c>
      <c r="V8" s="242"/>
      <c r="W8" s="242"/>
      <c r="X8" s="242"/>
      <c r="Y8" s="242">
        <v>28645</v>
      </c>
      <c r="Z8" s="242"/>
      <c r="AA8" s="242">
        <v>2880969.7698136596</v>
      </c>
      <c r="AB8" s="242">
        <v>11896912.23063612</v>
      </c>
      <c r="AC8" s="242"/>
      <c r="AD8" s="242"/>
      <c r="AE8" s="242"/>
      <c r="AF8" s="242"/>
      <c r="AG8" s="242"/>
      <c r="AH8" s="242"/>
      <c r="AI8" s="242"/>
      <c r="AJ8" s="242">
        <v>27627522.442701168</v>
      </c>
    </row>
    <row r="9" spans="1:36" x14ac:dyDescent="0.25">
      <c r="A9" s="78" t="s">
        <v>113</v>
      </c>
      <c r="B9" s="242"/>
      <c r="C9" s="242">
        <v>188279.23979522343</v>
      </c>
      <c r="D9" s="242"/>
      <c r="E9" s="242"/>
      <c r="F9" s="242"/>
      <c r="G9" s="242"/>
      <c r="H9" s="242"/>
      <c r="I9" s="242"/>
      <c r="J9" s="242"/>
      <c r="K9" s="242">
        <v>35723370.761702038</v>
      </c>
      <c r="L9" s="242"/>
      <c r="M9" s="242">
        <v>2256735.8881010804</v>
      </c>
      <c r="N9" s="242"/>
      <c r="O9" s="242">
        <v>14094793.090225756</v>
      </c>
      <c r="P9" s="242"/>
      <c r="Q9" s="242">
        <v>0</v>
      </c>
      <c r="R9" s="242">
        <v>17162175.705222934</v>
      </c>
      <c r="S9" s="242"/>
      <c r="T9" s="242">
        <v>4424562.1351877507</v>
      </c>
      <c r="U9" s="242">
        <v>16513658.323706053</v>
      </c>
      <c r="V9" s="242"/>
      <c r="W9" s="242"/>
      <c r="X9" s="242"/>
      <c r="Y9" s="242">
        <v>2455475.0856627058</v>
      </c>
      <c r="Z9" s="242">
        <v>115059.53543041431</v>
      </c>
      <c r="AA9" s="242"/>
      <c r="AB9" s="242"/>
      <c r="AC9" s="242"/>
      <c r="AD9" s="242"/>
      <c r="AE9" s="242"/>
      <c r="AF9" s="242">
        <v>624982.47654247773</v>
      </c>
      <c r="AG9" s="242"/>
      <c r="AH9" s="242"/>
      <c r="AI9" s="242"/>
      <c r="AJ9" s="242">
        <v>93559092.241576418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57932.073783145664</v>
      </c>
      <c r="D11" s="242"/>
      <c r="E11" s="242"/>
      <c r="F11" s="242"/>
      <c r="G11" s="242"/>
      <c r="H11" s="242"/>
      <c r="I11" s="242"/>
      <c r="J11" s="242"/>
      <c r="K11" s="242">
        <v>10991806.388216011</v>
      </c>
      <c r="L11" s="242"/>
      <c r="M11" s="242">
        <v>694380.27326187096</v>
      </c>
      <c r="N11" s="242"/>
      <c r="O11" s="242">
        <v>4336859.4123771554</v>
      </c>
      <c r="P11" s="242"/>
      <c r="Q11" s="242">
        <v>0</v>
      </c>
      <c r="R11" s="242">
        <v>5280669.4477609023</v>
      </c>
      <c r="S11" s="242"/>
      <c r="T11" s="242">
        <v>1361403.7339039231</v>
      </c>
      <c r="U11" s="242">
        <v>5081125.638063401</v>
      </c>
      <c r="V11" s="242"/>
      <c r="W11" s="242"/>
      <c r="X11" s="242"/>
      <c r="Y11" s="242">
        <v>755530.79558852478</v>
      </c>
      <c r="Z11" s="242">
        <v>35402.933978589019</v>
      </c>
      <c r="AA11" s="242"/>
      <c r="AB11" s="242"/>
      <c r="AC11" s="242"/>
      <c r="AD11" s="242"/>
      <c r="AE11" s="242"/>
      <c r="AF11" s="242">
        <v>192302.30047460849</v>
      </c>
      <c r="AG11" s="242"/>
      <c r="AH11" s="242"/>
      <c r="AI11" s="242"/>
      <c r="AJ11" s="242">
        <v>28787412.997408129</v>
      </c>
    </row>
    <row r="12" spans="1:36" x14ac:dyDescent="0.25">
      <c r="A12" s="79">
        <v>2050</v>
      </c>
      <c r="B12" s="242"/>
      <c r="C12" s="242">
        <v>57932.073783145672</v>
      </c>
      <c r="D12" s="242"/>
      <c r="E12" s="242"/>
      <c r="F12" s="242"/>
      <c r="G12" s="242"/>
      <c r="H12" s="242"/>
      <c r="I12" s="242"/>
      <c r="J12" s="242"/>
      <c r="K12" s="242">
        <v>10991806.388216011</v>
      </c>
      <c r="L12" s="242"/>
      <c r="M12" s="242">
        <v>694380.27326187096</v>
      </c>
      <c r="N12" s="242"/>
      <c r="O12" s="242">
        <v>4336859.4123771554</v>
      </c>
      <c r="P12" s="242"/>
      <c r="Q12" s="242">
        <v>0</v>
      </c>
      <c r="R12" s="242">
        <v>5280669.4477609023</v>
      </c>
      <c r="S12" s="242"/>
      <c r="T12" s="242">
        <v>1361403.7339039231</v>
      </c>
      <c r="U12" s="242">
        <v>5081125.638063401</v>
      </c>
      <c r="V12" s="242"/>
      <c r="W12" s="242"/>
      <c r="X12" s="242"/>
      <c r="Y12" s="242">
        <v>755530.79558852478</v>
      </c>
      <c r="Z12" s="242">
        <v>35402.933978589019</v>
      </c>
      <c r="AA12" s="242"/>
      <c r="AB12" s="242"/>
      <c r="AC12" s="242"/>
      <c r="AD12" s="242"/>
      <c r="AE12" s="242"/>
      <c r="AF12" s="242">
        <v>192302.30047460849</v>
      </c>
      <c r="AG12" s="242"/>
      <c r="AH12" s="242"/>
      <c r="AI12" s="242"/>
      <c r="AJ12" s="242">
        <v>28787412.997408129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6582976.2459011851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608691.6287406272</v>
      </c>
      <c r="AE17" s="242">
        <v>8733568.819759516</v>
      </c>
      <c r="AF17" s="242"/>
      <c r="AG17" s="242">
        <v>425267.56849537406</v>
      </c>
      <c r="AH17" s="242"/>
      <c r="AI17" s="242"/>
      <c r="AJ17" s="242">
        <v>19298697.262896702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2420027.9136025696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196559.60980685451</v>
      </c>
      <c r="AE19" s="242">
        <v>2863430.3661416383</v>
      </c>
      <c r="AF19" s="242"/>
      <c r="AG19" s="242">
        <v>154246.84100889968</v>
      </c>
      <c r="AH19" s="242"/>
      <c r="AI19" s="242"/>
      <c r="AJ19" s="242">
        <v>6616995.7305599619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2269183.119763054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202349.63153877269</v>
      </c>
      <c r="AE20" s="242">
        <v>2859899.9612931921</v>
      </c>
      <c r="AF20" s="242"/>
      <c r="AG20" s="242">
        <v>158133.66669134353</v>
      </c>
      <c r="AH20" s="242"/>
      <c r="AI20" s="242"/>
      <c r="AJ20" s="242">
        <v>6472297.3792863619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1757476.1026458484</v>
      </c>
      <c r="F25" s="242"/>
      <c r="G25" s="242">
        <v>4476.2472383647009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7883907.8318774002</v>
      </c>
      <c r="T25" s="242"/>
      <c r="U25" s="242"/>
      <c r="V25" s="242"/>
      <c r="W25" s="242"/>
      <c r="X25" s="242"/>
      <c r="Y25" s="242"/>
      <c r="Z25" s="242"/>
      <c r="AA25" s="242"/>
      <c r="AB25" s="242">
        <v>17444740.444517922</v>
      </c>
      <c r="AC25" s="242"/>
      <c r="AD25" s="242"/>
      <c r="AE25" s="242"/>
      <c r="AF25" s="242"/>
      <c r="AG25" s="242"/>
      <c r="AH25" s="242">
        <v>54285664.77337721</v>
      </c>
      <c r="AI25" s="242">
        <v>3302871.1450952319</v>
      </c>
      <c r="AJ25" s="242">
        <v>84679136.544751987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455948.54053344129</v>
      </c>
      <c r="F27" s="242"/>
      <c r="G27" s="242">
        <v>547.74307110515622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737033.15185210551</v>
      </c>
      <c r="T27" s="242"/>
      <c r="U27" s="242"/>
      <c r="V27" s="242"/>
      <c r="W27" s="242"/>
      <c r="X27" s="242"/>
      <c r="Y27" s="242"/>
      <c r="Z27" s="242"/>
      <c r="AA27" s="242"/>
      <c r="AB27" s="242">
        <v>1380730.6411139129</v>
      </c>
      <c r="AC27" s="242"/>
      <c r="AD27" s="242"/>
      <c r="AE27" s="242"/>
      <c r="AF27" s="242"/>
      <c r="AG27" s="242"/>
      <c r="AH27" s="242">
        <v>23057912.630213477</v>
      </c>
      <c r="AI27" s="242">
        <v>1125633.7412362914</v>
      </c>
      <c r="AJ27" s="242">
        <v>26757806.448020332</v>
      </c>
    </row>
    <row r="28" spans="1:36" x14ac:dyDescent="0.25">
      <c r="A28" s="79">
        <v>2050</v>
      </c>
      <c r="B28" s="242"/>
      <c r="C28" s="242"/>
      <c r="D28" s="242"/>
      <c r="E28" s="242">
        <v>477762.56925526413</v>
      </c>
      <c r="F28" s="242"/>
      <c r="G28" s="242">
        <v>565.65416725954469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722949.83419196249</v>
      </c>
      <c r="T28" s="242"/>
      <c r="U28" s="242"/>
      <c r="V28" s="242"/>
      <c r="W28" s="242"/>
      <c r="X28" s="242"/>
      <c r="Y28" s="242"/>
      <c r="Z28" s="242"/>
      <c r="AA28" s="242"/>
      <c r="AB28" s="242">
        <v>1321879.1367373462</v>
      </c>
      <c r="AC28" s="242"/>
      <c r="AD28" s="242"/>
      <c r="AE28" s="242"/>
      <c r="AF28" s="242"/>
      <c r="AG28" s="242"/>
      <c r="AH28" s="242">
        <v>22424260.40765525</v>
      </c>
      <c r="AI28" s="242">
        <v>1068746.8498663581</v>
      </c>
      <c r="AJ28" s="242">
        <v>26016164.45187344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1654596.9038416902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1654596.9038416902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482021.37815281149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482021.37815281149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494167.70841044851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494167.70841044851</v>
      </c>
    </row>
    <row r="33" spans="1:36" x14ac:dyDescent="0.25">
      <c r="A33" s="78" t="s">
        <v>61</v>
      </c>
      <c r="B33" s="242">
        <v>182574.19618217932</v>
      </c>
      <c r="C33" s="242">
        <v>188279.23979522343</v>
      </c>
      <c r="D33" s="242">
        <v>1462906</v>
      </c>
      <c r="E33" s="242">
        <v>4980969.8077480895</v>
      </c>
      <c r="F33" s="242">
        <v>281468.55244752642</v>
      </c>
      <c r="G33" s="242">
        <v>22152.469128360204</v>
      </c>
      <c r="H33" s="242">
        <v>197788.71253069426</v>
      </c>
      <c r="I33" s="242">
        <v>1445379.0531089196</v>
      </c>
      <c r="J33" s="242">
        <v>428226</v>
      </c>
      <c r="K33" s="242">
        <v>35980401.761702038</v>
      </c>
      <c r="L33" s="242">
        <v>1513844.376677237</v>
      </c>
      <c r="M33" s="242">
        <v>9067514.1340022665</v>
      </c>
      <c r="N33" s="242">
        <v>2948427</v>
      </c>
      <c r="O33" s="242">
        <v>14094793.090225756</v>
      </c>
      <c r="P33" s="242">
        <v>2444654</v>
      </c>
      <c r="Q33" s="242">
        <v>692260.49385742994</v>
      </c>
      <c r="R33" s="242">
        <v>18831915.987211064</v>
      </c>
      <c r="S33" s="242">
        <v>32071148.629708771</v>
      </c>
      <c r="T33" s="242">
        <v>4424562.1351877507</v>
      </c>
      <c r="U33" s="242">
        <v>17503736.323706053</v>
      </c>
      <c r="V33" s="242">
        <v>2647325.8446415998</v>
      </c>
      <c r="W33" s="242">
        <v>336392.95646566537</v>
      </c>
      <c r="X33" s="242">
        <v>1654596.9038416902</v>
      </c>
      <c r="Y33" s="242">
        <v>2541410.0856627058</v>
      </c>
      <c r="Z33" s="242">
        <v>115059.53543041431</v>
      </c>
      <c r="AA33" s="242">
        <v>8315241.6371112876</v>
      </c>
      <c r="AB33" s="242">
        <v>44683097.778512597</v>
      </c>
      <c r="AC33" s="242">
        <v>682979.63888483576</v>
      </c>
      <c r="AD33" s="242">
        <v>608691.6287406272</v>
      </c>
      <c r="AE33" s="242">
        <v>8733568.819759516</v>
      </c>
      <c r="AF33" s="242">
        <v>624982.47654247773</v>
      </c>
      <c r="AG33" s="242">
        <v>529471.00922934094</v>
      </c>
      <c r="AH33" s="242">
        <v>54285664.77337721</v>
      </c>
      <c r="AI33" s="242">
        <v>3302871.1450952319</v>
      </c>
      <c r="AJ33" s="242">
        <v>277824356.19651455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288</v>
      </c>
      <c r="B2" s="78">
        <v>1</v>
      </c>
    </row>
    <row r="4" spans="1:10" x14ac:dyDescent="0.25">
      <c r="A4" s="77" t="s">
        <v>315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1108490.5539925825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7949378.1351335607</v>
      </c>
    </row>
    <row r="7" spans="1:10" x14ac:dyDescent="0.25">
      <c r="A7" s="78">
        <v>2030</v>
      </c>
      <c r="B7" s="76">
        <v>2.825725611182861E-2</v>
      </c>
      <c r="C7" s="76">
        <v>220017.54042545299</v>
      </c>
      <c r="D7" s="76">
        <v>74189.67769150075</v>
      </c>
      <c r="E7" s="76">
        <v>1125633.7412362914</v>
      </c>
      <c r="F7" s="76">
        <v>21032.815128937291</v>
      </c>
      <c r="G7" s="76">
        <v>142742</v>
      </c>
      <c r="H7" s="76">
        <v>439387.69075181423</v>
      </c>
      <c r="I7" s="76">
        <v>4336859.4123771554</v>
      </c>
      <c r="J7" s="76">
        <v>6359862.9058684073</v>
      </c>
    </row>
    <row r="8" spans="1:10" x14ac:dyDescent="0.25">
      <c r="A8" s="78">
        <v>2050</v>
      </c>
      <c r="B8" s="76">
        <v>0.18489040050189942</v>
      </c>
      <c r="C8" s="76">
        <v>236197.68983003267</v>
      </c>
      <c r="D8" s="76">
        <v>73602.891942499205</v>
      </c>
      <c r="E8" s="76">
        <v>1068746.8498663581</v>
      </c>
      <c r="F8" s="76">
        <v>28706.337967901869</v>
      </c>
      <c r="G8" s="76">
        <v>142742</v>
      </c>
      <c r="H8" s="76">
        <v>458817.74928054027</v>
      </c>
      <c r="I8" s="76">
        <v>4336859.4123771554</v>
      </c>
      <c r="J8" s="76">
        <v>6345673.1161548877</v>
      </c>
    </row>
    <row r="9" spans="1:10" x14ac:dyDescent="0.25">
      <c r="A9" s="78" t="s">
        <v>61</v>
      </c>
      <c r="B9" s="76">
        <v>370459.88762915425</v>
      </c>
      <c r="C9" s="76">
        <v>659864.85126099177</v>
      </c>
      <c r="D9" s="76">
        <v>430124.59997510223</v>
      </c>
      <c r="E9" s="76">
        <v>3302871.1450952319</v>
      </c>
      <c r="F9" s="76">
        <v>49739.15309683916</v>
      </c>
      <c r="G9" s="76">
        <v>428226</v>
      </c>
      <c r="H9" s="76">
        <v>1318835.4298737824</v>
      </c>
      <c r="I9" s="76">
        <v>14094793.090225754</v>
      </c>
      <c r="J9" s="76">
        <v>20654914.157156855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10" width="9.85546875" style="171" bestFit="1" customWidth="1"/>
    <col min="11" max="11" width="13.85546875" style="171" bestFit="1" customWidth="1"/>
    <col min="12" max="12" width="9.85546875" style="171" bestFit="1" customWidth="1"/>
    <col min="13" max="13" width="16" style="171" bestFit="1" customWidth="1"/>
    <col min="14" max="14" width="10" style="171" bestFit="1" customWidth="1"/>
    <col min="15" max="15" width="8.7109375" style="171" bestFit="1" customWidth="1"/>
    <col min="16" max="17" width="11" style="171" bestFit="1" customWidth="1"/>
    <col min="18" max="18" width="21" style="171" bestFit="1" customWidth="1"/>
    <col min="19" max="19" width="20.7109375" style="171" bestFit="1" customWidth="1"/>
    <col min="20" max="20" width="9.85546875" style="171" bestFit="1" customWidth="1"/>
    <col min="21" max="21" width="7.140625" style="171" bestFit="1" customWidth="1"/>
    <col min="22" max="22" width="13.85546875" style="171" bestFit="1" customWidth="1"/>
    <col min="23" max="23" width="10.140625" style="171" bestFit="1" customWidth="1"/>
    <col min="24" max="24" width="12.140625" style="171" bestFit="1" customWidth="1"/>
    <col min="25" max="25" width="16" style="171" bestFit="1" customWidth="1"/>
    <col min="26" max="27" width="9.85546875" style="171" bestFit="1" customWidth="1"/>
    <col min="28" max="28" width="9.28515625" style="171" bestFit="1" customWidth="1"/>
    <col min="29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119</v>
      </c>
      <c r="W5" s="171" t="s">
        <v>137</v>
      </c>
      <c r="X5" s="171" t="s">
        <v>138</v>
      </c>
      <c r="Y5" s="171" t="s">
        <v>141</v>
      </c>
      <c r="Z5" s="171" t="s">
        <v>56</v>
      </c>
      <c r="AA5" s="171" t="s">
        <v>55</v>
      </c>
      <c r="AB5" s="171" t="s">
        <v>240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827693.20492220437</v>
      </c>
      <c r="W6" s="98">
        <v>3272565.4875000007</v>
      </c>
      <c r="X6" s="98">
        <v>1078.6499999999999</v>
      </c>
      <c r="Y6" s="98">
        <v>4368323.901678659</v>
      </c>
      <c r="Z6" s="98">
        <v>911574.64248506655</v>
      </c>
      <c r="AA6" s="98">
        <v>2005102.1714007764</v>
      </c>
      <c r="AB6" s="98">
        <v>98826.033045954537</v>
      </c>
      <c r="AC6" s="98">
        <v>38726531.363933533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232958.9113036553</v>
      </c>
      <c r="D7" s="98">
        <v>2840877.0171293938</v>
      </c>
      <c r="E7" s="98">
        <v>748443.83068696968</v>
      </c>
      <c r="F7" s="98">
        <v>91643.463111055491</v>
      </c>
      <c r="G7" s="98">
        <v>1462811.7838699373</v>
      </c>
      <c r="H7" s="98">
        <v>25246455.421058252</v>
      </c>
      <c r="I7" s="98">
        <v>2063763.1734135598</v>
      </c>
      <c r="J7" s="98">
        <v>1153235.9133280301</v>
      </c>
      <c r="K7" s="98">
        <v>27559.785504281797</v>
      </c>
      <c r="L7" s="98">
        <v>2222801.0578479809</v>
      </c>
      <c r="M7" s="98">
        <v>1798536.4273682984</v>
      </c>
      <c r="N7" s="98">
        <v>148232.6739623498</v>
      </c>
      <c r="O7" s="98"/>
      <c r="P7" s="98">
        <v>4173274.1072842204</v>
      </c>
      <c r="Q7" s="98">
        <v>5647725.4199956926</v>
      </c>
      <c r="R7" s="98">
        <v>170927.12035893119</v>
      </c>
      <c r="S7" s="98">
        <v>82984.069195880496</v>
      </c>
      <c r="T7" s="98">
        <v>1034744.5263498498</v>
      </c>
      <c r="U7" s="98">
        <v>14400</v>
      </c>
      <c r="V7" s="98">
        <v>792440.79236345144</v>
      </c>
      <c r="W7" s="98">
        <v>375469.71886805235</v>
      </c>
      <c r="X7" s="98">
        <v>175.69117375071085</v>
      </c>
      <c r="Y7" s="98">
        <v>4526444.2578007793</v>
      </c>
      <c r="Z7" s="98">
        <v>925011.48221335816</v>
      </c>
      <c r="AA7" s="98">
        <v>1327226.7147852567</v>
      </c>
      <c r="AB7" s="98">
        <v>48708.38860179724</v>
      </c>
      <c r="AC7" s="98">
        <v>57281450.966329776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240593.49413246571</v>
      </c>
      <c r="D8" s="98">
        <v>2973720.9739199379</v>
      </c>
      <c r="E8" s="98">
        <v>784251.76462656562</v>
      </c>
      <c r="F8" s="98">
        <v>81923.291098767033</v>
      </c>
      <c r="G8" s="98">
        <v>1502781.1107008122</v>
      </c>
      <c r="H8" s="98">
        <v>26659475.31868159</v>
      </c>
      <c r="I8" s="98">
        <v>2114999.9774601497</v>
      </c>
      <c r="J8" s="98">
        <v>1346330.5062768157</v>
      </c>
      <c r="K8" s="98">
        <v>1759.4160492342635</v>
      </c>
      <c r="L8" s="98">
        <v>2513965.6315076901</v>
      </c>
      <c r="M8" s="98">
        <v>1711158.8341175241</v>
      </c>
      <c r="N8" s="98">
        <v>243411.82603765032</v>
      </c>
      <c r="O8" s="98"/>
      <c r="P8" s="98">
        <v>4095754.4227852407</v>
      </c>
      <c r="Q8" s="98">
        <v>5811586.052382024</v>
      </c>
      <c r="R8" s="98">
        <v>165969.71296028496</v>
      </c>
      <c r="S8" s="98">
        <v>79705.883661789994</v>
      </c>
      <c r="T8" s="98">
        <v>990366.50688011281</v>
      </c>
      <c r="U8" s="98">
        <v>18000</v>
      </c>
      <c r="V8" s="98">
        <v>871392.37125140009</v>
      </c>
      <c r="W8" s="98">
        <v>368295.19855062116</v>
      </c>
      <c r="X8" s="98">
        <v>181.43624232853313</v>
      </c>
      <c r="Y8" s="98">
        <v>4715545.854665624</v>
      </c>
      <c r="Z8" s="98">
        <v>949345.99548394862</v>
      </c>
      <c r="AA8" s="98">
        <v>1362725.53997907</v>
      </c>
      <c r="AB8" s="98">
        <v>54781.553730615735</v>
      </c>
      <c r="AC8" s="98">
        <v>59775200.173142761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686263.41519186785</v>
      </c>
      <c r="D9" s="98">
        <v>9045127.0632908437</v>
      </c>
      <c r="E9" s="98">
        <v>2884913.6024563927</v>
      </c>
      <c r="F9" s="98">
        <v>311842.03423872165</v>
      </c>
      <c r="G9" s="98">
        <v>4468150.9301789645</v>
      </c>
      <c r="H9" s="98">
        <v>56023934.450040013</v>
      </c>
      <c r="I9" s="98">
        <v>6219636.9017398441</v>
      </c>
      <c r="J9" s="98">
        <v>4474236.7489162646</v>
      </c>
      <c r="K9" s="98">
        <v>81211.334173612384</v>
      </c>
      <c r="L9" s="98">
        <v>6003028.9356231634</v>
      </c>
      <c r="M9" s="98">
        <v>6046478.5028147623</v>
      </c>
      <c r="N9" s="98">
        <v>392524.60000000009</v>
      </c>
      <c r="O9" s="98">
        <v>8064.2063400965635</v>
      </c>
      <c r="P9" s="98">
        <v>13538028.530069461</v>
      </c>
      <c r="Q9" s="98">
        <v>13115676.11387863</v>
      </c>
      <c r="R9" s="98">
        <v>553907.20075473934</v>
      </c>
      <c r="S9" s="98">
        <v>268636.26442962571</v>
      </c>
      <c r="T9" s="98">
        <v>3407762.4644088694</v>
      </c>
      <c r="U9" s="98">
        <v>32476.5</v>
      </c>
      <c r="V9" s="98">
        <v>2491526.3685370558</v>
      </c>
      <c r="W9" s="98">
        <v>4016330.4049186744</v>
      </c>
      <c r="X9" s="98">
        <v>1435.7774160792439</v>
      </c>
      <c r="Y9" s="98">
        <v>13610314.014145063</v>
      </c>
      <c r="Z9" s="98">
        <v>2785932.1201823736</v>
      </c>
      <c r="AA9" s="98">
        <v>4695054.426165103</v>
      </c>
      <c r="AB9" s="98">
        <v>202315.9753783675</v>
      </c>
      <c r="AC9" s="98">
        <v>155783182.50340608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322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19.802671473587463</v>
      </c>
      <c r="C7" s="240">
        <v>0</v>
      </c>
      <c r="D7" s="240">
        <v>69.758330664378917</v>
      </c>
      <c r="E7" s="240">
        <v>28.962611400416186</v>
      </c>
      <c r="F7" s="240">
        <v>0.14596282488120896</v>
      </c>
      <c r="G7" s="240">
        <v>1.8022896540956554</v>
      </c>
      <c r="H7" s="240">
        <v>5.3986394353114884</v>
      </c>
      <c r="I7" s="240">
        <v>45.11802212469226</v>
      </c>
      <c r="J7" s="240">
        <v>0</v>
      </c>
      <c r="K7" s="240">
        <v>170.98852757736319</v>
      </c>
    </row>
    <row r="8" spans="1:11" x14ac:dyDescent="0.25">
      <c r="A8" s="79">
        <v>2050</v>
      </c>
      <c r="B8" s="240">
        <v>19.897035061438991</v>
      </c>
      <c r="C8" s="240">
        <v>0</v>
      </c>
      <c r="D8" s="240">
        <v>73.848115778678817</v>
      </c>
      <c r="E8" s="240">
        <v>28.064830771630888</v>
      </c>
      <c r="F8" s="240">
        <v>0.23461711386879117</v>
      </c>
      <c r="G8" s="240">
        <v>1.8757909752103661</v>
      </c>
      <c r="H8" s="240">
        <v>5.5346783341970225</v>
      </c>
      <c r="I8" s="240">
        <v>45.173390358640965</v>
      </c>
      <c r="J8" s="240">
        <v>0</v>
      </c>
      <c r="K8" s="240">
        <v>174.62845839366585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5.2940684669341902</v>
      </c>
      <c r="C11" s="240">
        <v>2.1694819870080004</v>
      </c>
      <c r="D11" s="240">
        <v>1.4201719861750002</v>
      </c>
      <c r="E11" s="240">
        <v>0.45076703432000009</v>
      </c>
      <c r="F11" s="240">
        <v>0</v>
      </c>
      <c r="G11" s="240">
        <v>13.01893247752329</v>
      </c>
      <c r="H11" s="240">
        <v>0</v>
      </c>
      <c r="I11" s="240">
        <v>0</v>
      </c>
      <c r="J11" s="240">
        <v>0</v>
      </c>
      <c r="K11" s="240">
        <v>22.353421951960478</v>
      </c>
    </row>
    <row r="12" spans="1:11" x14ac:dyDescent="0.25">
      <c r="A12" s="79">
        <v>2050</v>
      </c>
      <c r="B12" s="240">
        <v>5.3606050360007158</v>
      </c>
      <c r="C12" s="240">
        <v>2.1694819870080004</v>
      </c>
      <c r="D12" s="240">
        <v>1.4201719861750002</v>
      </c>
      <c r="E12" s="240">
        <v>0.45076703432000009</v>
      </c>
      <c r="F12" s="240">
        <v>0</v>
      </c>
      <c r="G12" s="240">
        <v>12.818126714593753</v>
      </c>
      <c r="H12" s="240">
        <v>0</v>
      </c>
      <c r="I12" s="240">
        <v>0</v>
      </c>
      <c r="J12" s="240">
        <v>0</v>
      </c>
      <c r="K12" s="240">
        <v>22.219152758097472</v>
      </c>
    </row>
    <row r="13" spans="1:11" x14ac:dyDescent="0.25">
      <c r="A13" s="78" t="s">
        <v>296</v>
      </c>
      <c r="B13" s="240">
        <v>57.243637059528758</v>
      </c>
      <c r="C13" s="240">
        <v>0</v>
      </c>
      <c r="D13" s="240">
        <v>143.60644644305773</v>
      </c>
      <c r="E13" s="240">
        <v>76.601032660604261</v>
      </c>
      <c r="F13" s="240">
        <v>0.38057993875000012</v>
      </c>
      <c r="G13" s="240">
        <v>3.6780806293060215</v>
      </c>
      <c r="H13" s="240">
        <v>14.884364897338088</v>
      </c>
      <c r="I13" s="240">
        <v>137.78050740767509</v>
      </c>
      <c r="J13" s="240">
        <v>0</v>
      </c>
      <c r="K13" s="240">
        <v>434.17464903625989</v>
      </c>
    </row>
    <row r="14" spans="1:11" x14ac:dyDescent="0.25">
      <c r="A14" s="78" t="s">
        <v>248</v>
      </c>
      <c r="B14" s="240">
        <v>18.137828207141908</v>
      </c>
      <c r="C14" s="240">
        <v>6.5084459610240017</v>
      </c>
      <c r="D14" s="240">
        <v>4.2605159585250005</v>
      </c>
      <c r="E14" s="240">
        <v>1.3523011029600003</v>
      </c>
      <c r="F14" s="240">
        <v>0</v>
      </c>
      <c r="G14" s="240">
        <v>30.929342150122046</v>
      </c>
      <c r="H14" s="240">
        <v>0</v>
      </c>
      <c r="I14" s="240">
        <v>0</v>
      </c>
      <c r="J14" s="240">
        <v>0</v>
      </c>
      <c r="K14" s="240">
        <v>61.188433379772952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1139180.7875059044</v>
      </c>
      <c r="C4" s="241">
        <v>128467.8</v>
      </c>
      <c r="D4" s="241">
        <v>8994119.2792498432</v>
      </c>
      <c r="E4" s="241">
        <v>2480244.4196938737</v>
      </c>
      <c r="F4" s="241">
        <v>24394.90109435247</v>
      </c>
      <c r="G4" s="241">
        <v>1997088.5670408159</v>
      </c>
      <c r="H4" s="241">
        <v>1497777.1733240632</v>
      </c>
      <c r="I4" s="241">
        <v>16261272.927908855</v>
      </c>
    </row>
    <row r="5" spans="1:9" x14ac:dyDescent="0.25">
      <c r="A5" s="78">
        <v>2050</v>
      </c>
      <c r="B5" s="241">
        <v>1157844.6374687571</v>
      </c>
      <c r="C5" s="241">
        <v>128467.8</v>
      </c>
      <c r="D5" s="241">
        <v>9509886.3491595574</v>
      </c>
      <c r="E5" s="241">
        <v>2411885.668744409</v>
      </c>
      <c r="F5" s="241">
        <v>39211.773905647548</v>
      </c>
      <c r="G5" s="241">
        <v>1983562.5093156029</v>
      </c>
      <c r="H5" s="241">
        <v>1498433.9529448485</v>
      </c>
      <c r="I5" s="241">
        <v>16729292.691538824</v>
      </c>
    </row>
    <row r="6" spans="1:9" x14ac:dyDescent="0.25">
      <c r="A6" s="78" t="s">
        <v>61</v>
      </c>
      <c r="B6" s="241">
        <v>3374330.3649746617</v>
      </c>
      <c r="C6" s="241">
        <v>385403.4</v>
      </c>
      <c r="D6" s="241">
        <v>18632731.9884094</v>
      </c>
      <c r="E6" s="241">
        <v>6567548.0790935103</v>
      </c>
      <c r="F6" s="241">
        <v>63606.675000000017</v>
      </c>
      <c r="G6" s="241">
        <v>4684667.1921897531</v>
      </c>
      <c r="H6" s="241">
        <v>4572084.6047000876</v>
      </c>
      <c r="I6" s="241">
        <v>38280372.304367416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11073393.997208262</v>
      </c>
      <c r="C4" s="98">
        <v>-24610.813181900667</v>
      </c>
      <c r="D4" s="98">
        <v>4405853.505497627</v>
      </c>
      <c r="E4" s="98">
        <v>8852683.6564139053</v>
      </c>
      <c r="F4" s="98">
        <v>-1707739.728033402</v>
      </c>
      <c r="G4" s="98">
        <v>-452792.62348796544</v>
      </c>
      <c r="H4" s="98">
        <v>0</v>
      </c>
      <c r="I4" s="98">
        <v>22146787.994416527</v>
      </c>
    </row>
    <row r="5" spans="1:9" x14ac:dyDescent="0.25">
      <c r="A5" s="78">
        <v>2050</v>
      </c>
      <c r="B5" s="98">
        <v>10394060.267736506</v>
      </c>
      <c r="C5" s="98">
        <v>-40179.115818099352</v>
      </c>
      <c r="D5" s="98">
        <v>4388184.7278760895</v>
      </c>
      <c r="E5" s="98">
        <v>8714081.1908516288</v>
      </c>
      <c r="F5" s="98">
        <v>-2227605.1235059141</v>
      </c>
      <c r="G5" s="98">
        <v>-440421.41166719497</v>
      </c>
      <c r="H5" s="98">
        <v>0</v>
      </c>
      <c r="I5" s="98">
        <v>20788120.535473015</v>
      </c>
    </row>
    <row r="6" spans="1:9" x14ac:dyDescent="0.25">
      <c r="A6" s="78" t="s">
        <v>61</v>
      </c>
      <c r="B6" s="98">
        <v>35984916.707320616</v>
      </c>
      <c r="C6" s="98">
        <v>-64948.366200000019</v>
      </c>
      <c r="D6" s="98">
        <v>14313300.134110432</v>
      </c>
      <c r="E6" s="98">
        <v>27292231.036999717</v>
      </c>
      <c r="F6" s="98">
        <v>-4497244.8515393157</v>
      </c>
      <c r="G6" s="98">
        <v>-1058421.2460502202</v>
      </c>
      <c r="H6" s="98">
        <v>0</v>
      </c>
      <c r="I6" s="98">
        <v>71969833.414641216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9460733.3446546644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4046578.8260529838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4031787.1463158978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1088045.8124689222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2154506.8629341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-1423024.3224583613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-413224.8677758188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8895624.8229493164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4029816.5016583097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3906669.7542952816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1088045.8124689227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2154506.8629340995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-1849222.4776918571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-402080.41937998723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1612660.652553597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359274.67944464367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1228927.7363285178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117269.43380756295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232146.66455890334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-284715.40557504073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-39567.755712146653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1498435.4447871903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358368.22621777962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1215442.6627868579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117269.43380756291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232146.66455890334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-378382.64581405697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-38340.992287207751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298525.56791561138</v>
      </c>
      <c r="C7" s="98">
        <v>1502781.1107008122</v>
      </c>
      <c r="D7" s="98">
        <v>42956.187062954959</v>
      </c>
      <c r="E7" s="98">
        <v>37736958.706897601</v>
      </c>
      <c r="F7" s="98">
        <v>289344.48560341762</v>
      </c>
      <c r="G7" s="98">
        <v>949345.99548394862</v>
      </c>
      <c r="H7" s="98">
        <v>2355323.2838141397</v>
      </c>
      <c r="I7" s="98">
        <v>7206505.523105517</v>
      </c>
      <c r="J7" s="98">
        <v>7925117.269571091</v>
      </c>
      <c r="K7" s="98">
        <v>1362725.53997907</v>
      </c>
      <c r="L7" s="98">
        <v>202349.63153877269</v>
      </c>
      <c r="M7" s="98">
        <v>494167.70841044851</v>
      </c>
      <c r="N7" s="98">
        <v>6595761.847970549</v>
      </c>
      <c r="O7" s="98">
        <v>66961862.858053923</v>
      </c>
    </row>
    <row r="8" spans="1:15" x14ac:dyDescent="0.25">
      <c r="A8" s="78" t="s">
        <v>61</v>
      </c>
      <c r="B8" s="98">
        <v>874542.6549870912</v>
      </c>
      <c r="C8" s="98">
        <v>4468150.9301789645</v>
      </c>
      <c r="D8" s="98">
        <v>126543.62323513717</v>
      </c>
      <c r="E8" s="98">
        <v>92004336.211742043</v>
      </c>
      <c r="F8" s="98">
        <v>853979.5254162451</v>
      </c>
      <c r="G8" s="98">
        <v>2785932.1201823736</v>
      </c>
      <c r="H8" s="98">
        <v>6911897.3955972735</v>
      </c>
      <c r="I8" s="98">
        <v>23306152.736127324</v>
      </c>
      <c r="J8" s="98">
        <v>23506765.259329215</v>
      </c>
      <c r="K8" s="98">
        <v>4695054.426165103</v>
      </c>
      <c r="L8" s="98">
        <v>608691.6287406272</v>
      </c>
      <c r="M8" s="98">
        <v>1654596.9038416902</v>
      </c>
      <c r="N8" s="98">
        <v>15657086.199541338</v>
      </c>
      <c r="O8" s="98">
        <v>177453729.61508441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5381619.5037339376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224570.40950584275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370490.27594297461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28408153.283469509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217805.88377635827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1778992.2257450195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4923583.0761439931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5903489.3992296383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32105.259581147304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1025729.6203575714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1120053.9852881476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713505.92728443746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154484.73733408173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5523408.7197105791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229440.63810667559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378080.80621229054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29404263.983943939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220830.77573350482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1818589.8087592444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5024574.3595380196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6101831.6290168501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32793.097303413146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1048609.453845398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1145476.8591293055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729011.95091777691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158491.06742829576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1608239.7398434528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66320.575580958233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111531.10220983687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7915785.5258047525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66219.734583524318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515263.04540454788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1508318.1394402247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1730463.2966817433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9754.2866982633659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301497.09442768525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342757.79858178977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211505.55492892067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42074.872472772768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1683096.8033949384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69084.929808935805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116086.90219815794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8332694.7229536632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68513.709869912811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536733.47505489504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1571187.4884325294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1823285.6405542411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10163.089759541812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314116.08613367198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357304.25157150667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220334.04456617165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43858.564110476924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2863430.3661416383</v>
      </c>
      <c r="C7" s="241">
        <v>792440.79236345144</v>
      </c>
      <c r="D7" s="241">
        <v>3655871.1585050896</v>
      </c>
    </row>
    <row r="8" spans="1:4" x14ac:dyDescent="0.25">
      <c r="A8" s="78">
        <v>2050</v>
      </c>
      <c r="B8" s="241">
        <v>2859899.9612931921</v>
      </c>
      <c r="C8" s="241">
        <v>871392.37125140009</v>
      </c>
      <c r="D8" s="241">
        <v>3731292.3325445922</v>
      </c>
    </row>
    <row r="9" spans="1:4" x14ac:dyDescent="0.25">
      <c r="A9" s="78" t="s">
        <v>61</v>
      </c>
      <c r="B9" s="241">
        <v>8733568.819759516</v>
      </c>
      <c r="C9" s="241">
        <v>2491526.3685370558</v>
      </c>
      <c r="D9" s="241">
        <v>11225095.188296571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2501770</v>
      </c>
      <c r="E6" s="241">
        <v>487920</v>
      </c>
      <c r="F6" s="241">
        <v>623500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2440169.9999999995</v>
      </c>
      <c r="E7" s="241">
        <v>487920</v>
      </c>
      <c r="F7" s="241">
        <v>685100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7520310</v>
      </c>
      <c r="E8" s="241">
        <v>1448760</v>
      </c>
      <c r="F8" s="241">
        <v>1870500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74183.803587131348</v>
      </c>
      <c r="C7" s="241">
        <v>4853.1770030289581</v>
      </c>
      <c r="D7" s="241">
        <v>614009.9839605958</v>
      </c>
      <c r="E7" s="241">
        <v>12260.644279007083</v>
      </c>
      <c r="F7" s="241">
        <v>18194.810700511243</v>
      </c>
      <c r="G7" s="241">
        <v>52970.654930914927</v>
      </c>
      <c r="H7" s="241">
        <v>966609.27748625283</v>
      </c>
      <c r="I7" s="241">
        <v>162670.5326839725</v>
      </c>
      <c r="J7" s="241">
        <v>43656.858578083113</v>
      </c>
      <c r="K7" s="241">
        <v>108216.1106595821</v>
      </c>
      <c r="L7" s="241">
        <v>78362.46663239249</v>
      </c>
      <c r="M7" s="241">
        <v>257867.80103200703</v>
      </c>
      <c r="N7" s="241">
        <v>7716.8760454422081</v>
      </c>
      <c r="O7" s="241">
        <v>99823.678331425646</v>
      </c>
      <c r="P7" s="241">
        <v>2501396.6759103471</v>
      </c>
    </row>
    <row r="8" spans="1:16" x14ac:dyDescent="0.25">
      <c r="A8" s="78">
        <v>2050</v>
      </c>
      <c r="B8" s="241">
        <v>72275.665119207741</v>
      </c>
      <c r="C8" s="241">
        <v>4728.1172142829364</v>
      </c>
      <c r="D8" s="241">
        <v>598548.38396059559</v>
      </c>
      <c r="E8" s="241">
        <v>11939.949346977701</v>
      </c>
      <c r="F8" s="241">
        <v>17727.455506089249</v>
      </c>
      <c r="G8" s="241">
        <v>51621.782251781951</v>
      </c>
      <c r="H8" s="241">
        <v>941813.22356629348</v>
      </c>
      <c r="I8" s="241">
        <v>158496.56058649404</v>
      </c>
      <c r="J8" s="241">
        <v>42549.988492615776</v>
      </c>
      <c r="K8" s="241">
        <v>105423.80184271638</v>
      </c>
      <c r="L8" s="241">
        <v>76300.904828300088</v>
      </c>
      <c r="M8" s="241">
        <v>253508.19426480078</v>
      </c>
      <c r="N8" s="241">
        <v>7537.157461474726</v>
      </c>
      <c r="O8" s="241">
        <v>97335.327401064031</v>
      </c>
      <c r="P8" s="241">
        <v>2439806.5118426941</v>
      </c>
    </row>
    <row r="9" spans="1:16" x14ac:dyDescent="0.25">
      <c r="A9" s="78" t="s">
        <v>61</v>
      </c>
      <c r="B9" s="241">
        <v>223312.68157276139</v>
      </c>
      <c r="C9" s="241">
        <v>14696.075110417802</v>
      </c>
      <c r="D9" s="241">
        <v>1501489.7835768391</v>
      </c>
      <c r="E9" s="241">
        <v>36952.672194812782</v>
      </c>
      <c r="F9" s="241">
        <v>54864.962673346716</v>
      </c>
      <c r="G9" s="241">
        <v>159667.95798467839</v>
      </c>
      <c r="H9" s="241">
        <v>3246243.833735548</v>
      </c>
      <c r="I9" s="241">
        <v>501307.76915357099</v>
      </c>
      <c r="J9" s="241">
        <v>156145.48313983929</v>
      </c>
      <c r="K9" s="241">
        <v>375071.53483499179</v>
      </c>
      <c r="L9" s="241">
        <v>188629.72832441161</v>
      </c>
      <c r="M9" s="241">
        <v>732381.01037311379</v>
      </c>
      <c r="N9" s="241">
        <v>23833.660893491346</v>
      </c>
      <c r="O9" s="241">
        <v>304976.03418521857</v>
      </c>
      <c r="P9" s="241">
        <v>7519573.1877530413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1791858.8572342743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1736252.1166384006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545883.48119174724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546177.14276572561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540183.88336159918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139216.51880825273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623909.73940601887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4373607.2732361918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2056610.6420093102</v>
      </c>
      <c r="J16" s="76">
        <f t="shared" si="2"/>
        <v>2056610.6420093102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48011.920691725383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185326.01387005998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79264.908013529261</v>
      </c>
      <c r="J17" s="76">
        <f t="shared" si="2"/>
        <v>79264.908013529261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70259.109449246753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309140.08157668571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237874.25042587356</v>
      </c>
      <c r="J18" s="76">
        <f t="shared" si="2"/>
        <v>237874.25042587356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389039.43578841945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19304136.803821374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19304136.803821374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8069.2150499893842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167436.21228727975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167436.21228727975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33939.868192186092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1441456.730045914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1441456.730045914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51872.305654463133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4214818.3878044365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4214818.3878044365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105024.04342368516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4674620.172788227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4674620.172788227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3146.7111847138076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26715.577958220227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26715.577958220227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27850.682564630642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829837.36436016392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829837.36436016392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62611.02615456815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894640.23473164067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214121.570015223</v>
      </c>
      <c r="J26" s="76">
        <f t="shared" si="2"/>
        <v>214121.570015223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11759.429887638771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587971.4943819386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587971.4943819386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4522.0169004115751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110293.09513198964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110293.09513198964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109694.9188294395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1512692.9306579707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1512692.9306579707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576591.97905547544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4041909.7731788829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1900635.8217001744</v>
      </c>
      <c r="J30" s="76">
        <f t="shared" si="2"/>
        <v>1900635.8217001744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44370.662327297228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171270.75658336733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73253.400763838363</v>
      </c>
      <c r="J31" s="76">
        <f t="shared" si="2"/>
        <v>73253.400763838363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64930.608396310665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285694.67694376694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219833.69733892806</v>
      </c>
      <c r="J32" s="76">
        <f t="shared" si="2"/>
        <v>219833.69733892806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359534.40705289674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17840097.277964737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17840097.277964737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7457.2400160431316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154737.73033289498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154737.73033289498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31365.844342236556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1332135.6218790098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1332135.6218790098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47938.272936646019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3895163.5502552376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3895163.5502552376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97058.944942455943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4320093.639388714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4320093.639388714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2908.0623604905873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24689.449440565091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24689.449440565091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25738.466902719567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766901.90582075517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766901.90582075517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57862.561202403813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826790.08020882867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197882.43717926473</v>
      </c>
      <c r="J40" s="76">
        <f t="shared" si="2"/>
        <v>197882.43717926473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10867.586324157863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543379.31620789308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543379.31620789308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4179.063908207143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101928.38800505229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101928.38800505229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101375.57782061782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1397969.21814632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1397969.21814632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97373.196323482727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457332.69117250136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215052.52320201404</v>
      </c>
      <c r="J58" s="76">
        <f t="shared" si="2"/>
        <v>215052.52320201404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7493.1899345467373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16486.516493989733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7051.3695625908404</v>
      </c>
      <c r="J59" s="76">
        <f t="shared" si="2"/>
        <v>7051.3695625908404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10965.294538321748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26536.012782738631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20418.685657943486</v>
      </c>
      <c r="J60" s="76">
        <f t="shared" si="2"/>
        <v>20418.685657943486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60717.137377383391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2349971.7981992955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2349971.7981992955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1259.3572621370715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14895.048017926212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14895.048017926212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5296.973648491472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128231.32413529836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128231.32413529836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8095.677761101183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374948.29473011725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374948.29473011725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16391.035678841039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605538.94839412824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605538.94839412824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491.10521379926485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2376.6054611387822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2376.6054611387822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4346.6383193354177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73821.948193658493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73821.948193658493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9771.6630414643932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79586.781575259811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19048.155852799315</v>
      </c>
      <c r="J68" s="76">
        <f t="shared" si="2"/>
        <v>19048.155852799315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1835.286745469635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52305.672245884591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52305.672245884591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705.74830237637309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9811.6227403544544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9811.6227403544544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17120.016233496339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236085.02385991454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236085.02385991454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122307.389496616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574441.11624875641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270120.66678102472</v>
      </c>
      <c r="J72" s="76">
        <f t="shared" ref="J72:J139" si="15">IF(I72&lt;&gt;0,I72,H72)</f>
        <v>270120.66678102472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9411.9586754872907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20708.191477807137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8857.0020923550001</v>
      </c>
      <c r="J73" s="76">
        <f t="shared" si="15"/>
        <v>8857.0020923550001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13773.159356793169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33331.045643439473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25647.264689541604</v>
      </c>
      <c r="J74" s="76">
        <f t="shared" si="15"/>
        <v>25647.264689541604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76264.874223341743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2951725.1859905296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2951725.1859905296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1581.8387912818764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18709.198303886395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18709.198303886395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6653.3609210804825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161067.30700900755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161067.30700900755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10168.724562318854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470960.6838035878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470960.6838035878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20588.261048399749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760598.30438934651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760598.30438934651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616.86171283133672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2985.1788869046882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2985.1788869046882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5459.6747975465751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92725.412249236761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92725.412249236761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12273.876618691718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99966.436970703828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23925.78558622019</v>
      </c>
      <c r="J82" s="76">
        <f t="shared" si="15"/>
        <v>23925.78558622019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2305.2455839122736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65699.499141499793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65699.499141499793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886.46810174090911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12324.068731519956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12324.068731519956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21503.910446797723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296538.92506134062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296538.92506134062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190174.15207493372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1333120.8060452854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626876.22950838727</v>
      </c>
      <c r="J268" s="76">
        <f t="shared" si="42"/>
        <v>626876.22950838727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14634.530814874721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56489.288945416425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24160.765121444623</v>
      </c>
      <c r="J269" s="76">
        <f t="shared" si="42"/>
        <v>24160.765121444623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21415.704421878378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94229.09945626487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72506.535830436726</v>
      </c>
      <c r="J270" s="76">
        <f t="shared" si="42"/>
        <v>72506.535830436726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118583.25035158051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5884100.8824454248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5884100.8824454248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2459.5803417061084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51036.292090401752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51036.292090401752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10345.22343108295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439370.94434551767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439370.94434551767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15811.216143862219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1284720.3087639688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1284720.3087639688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32012.416450807639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1424872.6562254482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1424872.6562254482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959.15016801528964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8143.1849264498105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8143.1849264498105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8489.1765698018808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252943.02550483562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252943.02550483562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19084.489401980361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272695.61173093005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65266.472771150577</v>
      </c>
      <c r="J278" s="76">
        <f t="shared" si="55"/>
        <v>65266.472771150577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3584.3960536589798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179219.802682949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179219.802682949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1378.3575978842866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33618.477997177724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33618.477997177724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33436.147663246578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461084.4762761704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461084.4762761704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179389.67006955924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1257521.5871876103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591327.04817660281</v>
      </c>
      <c r="J282" s="76">
        <f t="shared" si="55"/>
        <v>591327.04817660281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13804.629208856637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53285.868746186621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22790.645502950778</v>
      </c>
      <c r="J283" s="76">
        <f t="shared" si="55"/>
        <v>22790.645502950778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20201.252949634338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88885.512978391082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68394.802335617322</v>
      </c>
      <c r="J284" s="76">
        <f t="shared" si="55"/>
        <v>68394.802335617322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111858.57764710314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5550422.6228492586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5550422.6228492586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2320.101344973416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48142.102908198387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48142.102908198387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9758.5618121573061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414454.89770469151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414454.89770469151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14914.586532918138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1211865.8072418857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1211865.8072418857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30197.041830253234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1344070.3318645717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1344070.3318645717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904.75824558759291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7681.3975050386643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7681.3975050386643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8007.7684974714139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238599.01777729217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238599.01777729217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18002.237527623009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257231.46539153677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61565.312053592112</v>
      </c>
      <c r="J292" s="76">
        <f t="shared" si="55"/>
        <v>61565.312053592112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3381.1304977511027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169056.52488755516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169056.52488755516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1300.1930705330769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31712.026110562852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31712.026110562852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31540.035447842853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434937.08882575296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434937.08882575296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29680.358994353821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139399.74208878161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65550.236946859717</v>
      </c>
      <c r="J310" s="76">
        <f t="shared" si="55"/>
        <v>65550.236946859717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2284.0019190844941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5025.2610223697038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2149.3304925955649</v>
      </c>
      <c r="J311" s="76">
        <f t="shared" si="55"/>
        <v>2149.3304925955649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3342.3353722006718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8088.4516007256261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6223.8269195490493</v>
      </c>
      <c r="J312" s="76">
        <f t="shared" si="55"/>
        <v>6223.8269195490493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18507.212482616615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716295.74904220039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716295.74904220039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383.86514003505738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4540.1649437646402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4540.1649437646402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1614.5724430013856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39086.236031661952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39086.236031661952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2467.64645019815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114288.12457732647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114288.12457732647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4996.1574807618863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184574.54465903059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184574.54465903059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149.69395685787757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724.4139654223269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724.4139654223269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1324.9003895066519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22501.694581037111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22501.694581037111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2978.5041263206344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24258.87551756655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5806.0752366936849</v>
      </c>
      <c r="J320" s="76">
        <f t="shared" si="55"/>
        <v>5806.0752366936849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559.41441299880034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15943.31077046581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15943.31077046581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215.11939388945515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2990.6842565119373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2990.6842565119373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5218.3583058246104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71961.161037321377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71961.161037321377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38052.354257179235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178720.49223969373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84040.116846917197</v>
      </c>
      <c r="J324" s="76">
        <f t="shared" si="55"/>
        <v>84040.116846917197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2928.2546806665596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6442.745948402564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2755.596228993139</v>
      </c>
      <c r="J325" s="76">
        <f t="shared" si="55"/>
        <v>2755.596228993139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4285.1142620436467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10369.976514145626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7979.3936058220206</v>
      </c>
      <c r="J326" s="76">
        <f t="shared" si="55"/>
        <v>7979.3936058220206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23727.577076658243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918342.65214414988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918342.65214414988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492.14270953981543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5820.8178970821664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5820.8178970821664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2069.9979601545801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50111.364904294518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50111.364904294518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3163.7001736493021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146525.59305742799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146525.59305742799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6405.4331155082618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236637.83721615636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236637.83721615636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191.91841573070153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928.75078924558386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928.75078924558386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1698.6175600696938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28848.790331254411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28848.790331254411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3818.6564452533657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31101.622633703992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7443.8059119343161</v>
      </c>
      <c r="J334" s="76">
        <f t="shared" si="55"/>
        <v>7443.8059119343161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717.2094995229611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20440.47073640439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20440.47073640439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275.79853011307694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3834.2722479135091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3834.2722479135091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6690.3105495424243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92259.382478190048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92259.382478190048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2021-09-10T12:28:47Z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892873048782348</vt:r8>
  </property>
</Properties>
</file>