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8FA6CBCB-1B22-4AE9-B8E0-AFE69633027A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508" r:id="rId37"/>
    <pivotCache cacheId="513" r:id="rId38"/>
    <pivotCache cacheId="518" r:id="rId39"/>
    <pivotCache cacheId="524" r:id="rId40"/>
    <pivotCache cacheId="529" r:id="rId41"/>
    <pivotCache cacheId="534" r:id="rId42"/>
    <pivotCache cacheId="538" r:id="rId43"/>
    <pivotCache cacheId="543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C5" i="9"/>
  <c r="D5" i="9" s="1"/>
  <c r="C33" i="17" l="1"/>
  <c r="D33" i="17" s="1"/>
  <c r="E33" i="17" s="1"/>
  <c r="C34" i="17"/>
  <c r="D34" i="17" s="1"/>
  <c r="C35" i="17"/>
  <c r="C36" i="17"/>
  <c r="D36" i="17" s="1"/>
  <c r="E36" i="17" s="1"/>
  <c r="C37" i="17"/>
  <c r="D37" i="17" s="1"/>
  <c r="E37" i="17" s="1"/>
  <c r="C38" i="17"/>
  <c r="C39" i="17"/>
  <c r="C40" i="17"/>
  <c r="D40" i="17" s="1"/>
  <c r="E40" i="17" s="1"/>
  <c r="C41" i="17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9" i="17" l="1"/>
  <c r="D39" i="17"/>
  <c r="D41" i="17"/>
  <c r="E41" i="17" s="1"/>
  <c r="D38" i="17"/>
  <c r="E38" i="17" s="1"/>
  <c r="E34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C24" i="20" l="1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D24" i="20" l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1" i="35" l="1"/>
  <c r="H171" i="35"/>
  <c r="H173" i="35"/>
  <c r="I173" i="35"/>
  <c r="H172" i="35"/>
  <c r="H174" i="35"/>
  <c r="I172" i="35"/>
  <c r="I174" i="35"/>
  <c r="H175" i="35"/>
  <c r="H177" i="35"/>
  <c r="I175" i="35"/>
  <c r="J93" i="37" s="1"/>
  <c r="I177" i="35"/>
  <c r="H176" i="35"/>
  <c r="I176" i="35"/>
  <c r="I178" i="35"/>
  <c r="H178" i="35"/>
  <c r="I102" i="58" s="1"/>
  <c r="I179" i="35"/>
  <c r="H179" i="35"/>
  <c r="I181" i="35"/>
  <c r="H181" i="35"/>
  <c r="I180" i="35"/>
  <c r="I182" i="35"/>
  <c r="H182" i="35"/>
  <c r="I116" i="58" s="1"/>
  <c r="H180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99" i="58"/>
  <c r="I99" i="37"/>
  <c r="I102" i="37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113" i="58" l="1"/>
  <c r="I115" i="58"/>
  <c r="I118" i="58"/>
  <c r="I112" i="58"/>
  <c r="I117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F140" i="66"/>
  <c r="J437" i="41"/>
  <c r="I413" i="41"/>
  <c r="F284" i="66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T11" i="66"/>
  <c r="C45" i="63"/>
  <c r="T155" i="66"/>
  <c r="E351" i="38"/>
  <c r="K27" i="66" s="1"/>
  <c r="H454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Z282" i="66"/>
  <c r="Z138" i="66"/>
  <c r="Y138" i="66"/>
  <c r="Y282" i="66"/>
  <c r="J189" i="66"/>
  <c r="H437" i="58"/>
  <c r="R171" i="66"/>
  <c r="S171" i="66"/>
  <c r="P171" i="66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J153" i="66" l="1"/>
  <c r="R153" i="66" s="1"/>
  <c r="P16" i="39"/>
  <c r="Q16" i="39" s="1"/>
  <c r="H456" i="41"/>
  <c r="H437" i="41"/>
  <c r="C36" i="63"/>
  <c r="T171" i="66"/>
  <c r="R189" i="66"/>
  <c r="S189" i="66"/>
  <c r="P189" i="66"/>
  <c r="P9" i="66"/>
  <c r="S9" i="66"/>
  <c r="R9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T45" i="66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P15" i="39" s="1"/>
  <c r="C6" i="39"/>
  <c r="E30" i="26"/>
  <c r="E32" i="22"/>
  <c r="E34" i="26"/>
  <c r="I198" i="35" s="1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D26" i="17" l="1"/>
  <c r="D24" i="17"/>
  <c r="AA3" i="39"/>
  <c r="E27" i="17"/>
  <c r="E25" i="17"/>
  <c r="O15" i="39"/>
  <c r="D27" i="17"/>
  <c r="D25" i="17"/>
  <c r="E26" i="17"/>
  <c r="E24" i="17"/>
  <c r="E28" i="17" s="1"/>
  <c r="D6" i="39"/>
  <c r="L42" i="39"/>
  <c r="E157" i="38" s="1"/>
  <c r="J236" i="66" s="1"/>
  <c r="D42" i="39"/>
  <c r="E106" i="38" s="1"/>
  <c r="J92" i="66" s="1"/>
  <c r="D15" i="39"/>
  <c r="AB3" i="39" s="1"/>
  <c r="Q10" i="9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D28" i="17" l="1"/>
  <c r="N92" i="66"/>
  <c r="F15" i="39"/>
  <c r="S92" i="66"/>
  <c r="P92" i="66"/>
  <c r="N236" i="66"/>
  <c r="O236" i="66" s="1"/>
  <c r="Q236" i="66" s="1"/>
  <c r="R236" i="66" s="1"/>
  <c r="T236" i="66" s="1"/>
  <c r="S236" i="66"/>
  <c r="P236" i="66"/>
  <c r="E42" i="39"/>
  <c r="E123" i="38" s="1"/>
  <c r="J140" i="66" s="1"/>
  <c r="M42" i="39"/>
  <c r="E174" i="38" s="1"/>
  <c r="J284" i="66" s="1"/>
  <c r="E15" i="39"/>
  <c r="AC3" i="39" s="1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Y92" i="66" l="1"/>
  <c r="Y236" i="66"/>
  <c r="O92" i="66"/>
  <c r="Q92" i="66" s="1"/>
  <c r="R92" i="66" s="1"/>
  <c r="T92" i="66" s="1"/>
  <c r="Z92" i="66"/>
  <c r="Z236" i="66"/>
  <c r="N284" i="66"/>
  <c r="P284" i="66"/>
  <c r="S284" i="66"/>
  <c r="N140" i="66"/>
  <c r="P140" i="66"/>
  <c r="S140" i="66"/>
  <c r="G15" i="39"/>
  <c r="O33" i="20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Y140" i="66"/>
  <c r="Z284" i="66"/>
  <c r="O140" i="66"/>
  <c r="Q140" i="66" s="1"/>
  <c r="R140" i="66" s="1"/>
  <c r="T140" i="66" s="1"/>
  <c r="Y284" i="66"/>
  <c r="Z140" i="66"/>
  <c r="R9" i="20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G69" i="18" a="1"/>
  <c r="G69" i="18" s="1"/>
  <c r="H57" i="35" a="1"/>
  <c r="H57" i="35" s="1"/>
  <c r="G62" i="18" a="1"/>
  <c r="G62" i="18" s="1"/>
  <c r="G61" i="18" a="1"/>
  <c r="G61" i="18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H49" i="35" l="1" a="1"/>
  <c r="H49" i="35" s="1"/>
  <c r="G64" i="18" a="1"/>
  <c r="G64" i="18" s="1"/>
  <c r="G16" i="18" a="1"/>
  <c r="G16" i="18" s="1"/>
  <c r="H6" i="35" a="1"/>
  <c r="H6" i="35" s="1"/>
  <c r="H55" i="35" a="1"/>
  <c r="H55" i="35" s="1"/>
  <c r="H15" i="35" a="1"/>
  <c r="H15" i="35" s="1"/>
  <c r="O20" i="20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I58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5" i="18" l="1"/>
  <c r="J25" i="18" s="1"/>
  <c r="I59" i="18"/>
  <c r="F59" i="18" s="1"/>
  <c r="I27" i="18"/>
  <c r="J27" i="18" s="1"/>
  <c r="I71" i="18"/>
  <c r="J71" i="18" s="1"/>
  <c r="I60" i="18"/>
  <c r="I18" i="18"/>
  <c r="J18" i="18" s="1"/>
  <c r="F288" i="18"/>
  <c r="J328" i="18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337" i="18"/>
  <c r="F25" i="18"/>
  <c r="F332" i="18"/>
  <c r="J332" i="18"/>
  <c r="J291" i="18"/>
  <c r="F291" i="18"/>
  <c r="F64" i="18"/>
  <c r="J64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71" i="18" l="1"/>
  <c r="J59" i="18"/>
  <c r="F17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I15" i="58" s="1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58"/>
  <c r="H51" i="37"/>
  <c r="H51" i="58"/>
  <c r="H39" i="37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37"/>
  <c r="I35" i="58"/>
  <c r="I2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I54" i="58" s="1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42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65" i="58"/>
  <c r="I53" i="58"/>
  <c r="I53" i="37"/>
  <c r="I29" i="58"/>
  <c r="I29" i="37"/>
  <c r="J59" i="37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37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70" i="58"/>
  <c r="I22" i="58"/>
  <c r="I63" i="58"/>
  <c r="I51" i="37"/>
  <c r="I51" i="58"/>
  <c r="I39" i="37"/>
  <c r="I27" i="37"/>
  <c r="I15" i="37"/>
  <c r="H66" i="58"/>
  <c r="H54" i="37"/>
  <c r="H42" i="37"/>
  <c r="H30" i="37"/>
  <c r="H18" i="37"/>
  <c r="J65" i="58"/>
  <c r="J47" i="37"/>
  <c r="J47" i="58"/>
  <c r="J42" i="37"/>
  <c r="J26" i="58"/>
  <c r="J21" i="37"/>
  <c r="J21" i="58"/>
  <c r="J18" i="58"/>
  <c r="J18" i="37"/>
  <c r="J15" i="37"/>
  <c r="J15" i="58" l="1"/>
  <c r="I63" i="37"/>
  <c r="I49" i="37"/>
  <c r="H15" i="58"/>
  <c r="H54" i="58"/>
  <c r="J54" i="58"/>
  <c r="I17" i="58"/>
  <c r="J63" i="37"/>
  <c r="H63" i="37"/>
  <c r="H21" i="37"/>
  <c r="J65" i="37"/>
  <c r="I39" i="58"/>
  <c r="I39" i="41" s="1"/>
  <c r="H45" i="58"/>
  <c r="I65" i="37"/>
  <c r="H18" i="58"/>
  <c r="J24" i="58"/>
  <c r="H40" i="58"/>
  <c r="J26" i="37"/>
  <c r="G12" i="39"/>
  <c r="H45" i="37"/>
  <c r="I66" i="58"/>
  <c r="J34" i="37"/>
  <c r="H69" i="58"/>
  <c r="H40" i="37"/>
  <c r="J73" i="37"/>
  <c r="J67" i="58"/>
  <c r="J67" i="41" s="1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J38" i="41" l="1"/>
  <c r="H40" i="41"/>
  <c r="J23" i="41"/>
  <c r="G27" i="39"/>
  <c r="H33" i="41"/>
  <c r="N59" i="66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216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72" i="66"/>
  <c r="Y72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Z216" i="66" l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T121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O228" i="66" l="1"/>
  <c r="V228" i="66" s="1"/>
  <c r="X228" i="66" s="1"/>
  <c r="N211" i="66"/>
  <c r="O211" i="66" s="1"/>
  <c r="Q289" i="66"/>
  <c r="R289" i="66" s="1"/>
  <c r="T289" i="66" s="1"/>
  <c r="Q178" i="66"/>
  <c r="O184" i="66"/>
  <c r="Q184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Q228" i="66" l="1"/>
  <c r="R228" i="66" s="1"/>
  <c r="T228" i="66" s="1"/>
  <c r="U228" i="66"/>
  <c r="U184" i="66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X260" i="66" s="1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68" i="66" l="1"/>
  <c r="X284" i="66"/>
  <c r="X236" i="66"/>
  <c r="X285" i="66"/>
  <c r="X226" i="66"/>
  <c r="X22" i="66"/>
  <c r="X196" i="66"/>
  <c r="X265" i="66"/>
  <c r="X231" i="66"/>
  <c r="X89" i="66"/>
  <c r="X39" i="66"/>
  <c r="X255" i="66"/>
  <c r="X241" i="66"/>
  <c r="X287" i="66"/>
  <c r="X217" i="66"/>
  <c r="X31" i="66"/>
  <c r="X29" i="66"/>
  <c r="X104" i="66"/>
  <c r="X105" i="66"/>
  <c r="X107" i="66"/>
  <c r="X160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58" l="1"/>
  <c r="I4" i="37"/>
  <c r="J4" i="37"/>
  <c r="J4" i="58"/>
  <c r="H4" i="37" l="1"/>
  <c r="H4" i="58"/>
  <c r="E25" i="53"/>
  <c r="N4" i="58"/>
  <c r="F197" i="66"/>
  <c r="L45" i="39"/>
  <c r="O4" i="58"/>
  <c r="F245" i="66"/>
  <c r="E37" i="53"/>
  <c r="M45" i="39"/>
  <c r="F101" i="66"/>
  <c r="J4" i="41"/>
  <c r="E45" i="39" s="1"/>
  <c r="E31" i="53"/>
  <c r="E19" i="53"/>
  <c r="I4" i="41"/>
  <c r="D45" i="39" s="1"/>
  <c r="F53" i="66"/>
  <c r="E56" i="39" l="1"/>
  <c r="E59" i="39"/>
  <c r="E60" i="39" s="1"/>
  <c r="E124" i="38"/>
  <c r="M56" i="39"/>
  <c r="E175" i="38"/>
  <c r="M59" i="39"/>
  <c r="M60" i="39" s="1"/>
  <c r="E158" i="38"/>
  <c r="L59" i="39"/>
  <c r="L60" i="39" s="1"/>
  <c r="L56" i="39"/>
  <c r="E107" i="38"/>
  <c r="D59" i="39"/>
  <c r="D60" i="39" s="1"/>
  <c r="D56" i="39"/>
  <c r="M4" i="58"/>
  <c r="E13" i="53"/>
  <c r="F149" i="66"/>
  <c r="F5" i="66"/>
  <c r="E7" i="53"/>
  <c r="H4" i="41"/>
  <c r="K45" i="39" s="1"/>
  <c r="C45" i="39"/>
  <c r="E90" i="38" l="1"/>
  <c r="C56" i="39"/>
  <c r="C59" i="39"/>
  <c r="C60" i="39" s="1"/>
  <c r="I452" i="58"/>
  <c r="I444" i="58"/>
  <c r="D25" i="53"/>
  <c r="F25" i="53" s="1"/>
  <c r="J197" i="66"/>
  <c r="D37" i="53"/>
  <c r="F37" i="53" s="1"/>
  <c r="J444" i="58"/>
  <c r="J245" i="66"/>
  <c r="J452" i="58"/>
  <c r="M58" i="39"/>
  <c r="M57" i="39"/>
  <c r="D57" i="39"/>
  <c r="D58" i="39"/>
  <c r="J452" i="37"/>
  <c r="J101" i="66"/>
  <c r="J444" i="37"/>
  <c r="D31" i="53"/>
  <c r="F31" i="53" s="1"/>
  <c r="H37" i="53" s="1"/>
  <c r="E141" i="38"/>
  <c r="K56" i="39"/>
  <c r="K59" i="39"/>
  <c r="K60" i="39" s="1"/>
  <c r="L58" i="39"/>
  <c r="L57" i="39"/>
  <c r="D19" i="53"/>
  <c r="F19" i="53" s="1"/>
  <c r="H25" i="53" s="1"/>
  <c r="I452" i="37"/>
  <c r="I444" i="37"/>
  <c r="J53" i="66"/>
  <c r="E58" i="39"/>
  <c r="E57" i="39"/>
  <c r="W53" i="66" l="1"/>
  <c r="S53" i="66"/>
  <c r="I467" i="37"/>
  <c r="F54" i="66"/>
  <c r="I444" i="41"/>
  <c r="S245" i="66"/>
  <c r="W245" i="66"/>
  <c r="J444" i="41"/>
  <c r="F246" i="66"/>
  <c r="J467" i="58"/>
  <c r="H31" i="53"/>
  <c r="G31" i="53" s="1"/>
  <c r="G37" i="53"/>
  <c r="F102" i="66"/>
  <c r="J467" i="37"/>
  <c r="W197" i="66"/>
  <c r="S197" i="66"/>
  <c r="H19" i="53"/>
  <c r="G19" i="53" s="1"/>
  <c r="G25" i="53"/>
  <c r="W101" i="66"/>
  <c r="S101" i="66"/>
  <c r="F198" i="66"/>
  <c r="I467" i="58"/>
  <c r="J457" i="58"/>
  <c r="F247" i="66"/>
  <c r="I457" i="58"/>
  <c r="F199" i="66"/>
  <c r="F103" i="66"/>
  <c r="J457" i="37"/>
  <c r="J452" i="41"/>
  <c r="C58" i="39"/>
  <c r="C57" i="39"/>
  <c r="K58" i="39"/>
  <c r="K57" i="39"/>
  <c r="D13" i="53"/>
  <c r="F13" i="53" s="1"/>
  <c r="H7" i="53" s="1"/>
  <c r="H444" i="58"/>
  <c r="J149" i="66"/>
  <c r="H452" i="58"/>
  <c r="F55" i="66"/>
  <c r="I457" i="37"/>
  <c r="I452" i="41"/>
  <c r="H452" i="37"/>
  <c r="D7" i="53"/>
  <c r="F7" i="53" s="1"/>
  <c r="H444" i="37"/>
  <c r="J5" i="66"/>
  <c r="E307" i="38" l="1"/>
  <c r="E313" i="38"/>
  <c r="J458" i="37"/>
  <c r="E366" i="38"/>
  <c r="K103" i="66" s="1"/>
  <c r="N103" i="66" s="1"/>
  <c r="J457" i="41"/>
  <c r="E319" i="38"/>
  <c r="E325" i="38"/>
  <c r="M197" i="66" s="1"/>
  <c r="H457" i="58"/>
  <c r="F151" i="66"/>
  <c r="E378" i="38"/>
  <c r="K199" i="66" s="1"/>
  <c r="N199" i="66" s="1"/>
  <c r="I458" i="58"/>
  <c r="E379" i="38" s="1"/>
  <c r="K218" i="66" s="1"/>
  <c r="N218" i="66" s="1"/>
  <c r="S149" i="66"/>
  <c r="W149" i="66"/>
  <c r="F150" i="66"/>
  <c r="H467" i="58"/>
  <c r="J458" i="58"/>
  <c r="E385" i="38" s="1"/>
  <c r="K266" i="66" s="1"/>
  <c r="N266" i="66" s="1"/>
  <c r="E384" i="38"/>
  <c r="K247" i="66" s="1"/>
  <c r="N247" i="66" s="1"/>
  <c r="L54" i="66"/>
  <c r="P54" i="66" s="1"/>
  <c r="N54" i="66"/>
  <c r="L198" i="66"/>
  <c r="P198" i="66" s="1"/>
  <c r="L102" i="66"/>
  <c r="P102" i="66" s="1"/>
  <c r="I467" i="41"/>
  <c r="S5" i="66"/>
  <c r="W5" i="66"/>
  <c r="E343" i="38"/>
  <c r="E349" i="38"/>
  <c r="M245" i="66" s="1"/>
  <c r="I457" i="41"/>
  <c r="E360" i="38"/>
  <c r="K55" i="66" s="1"/>
  <c r="N55" i="66" s="1"/>
  <c r="I458" i="37"/>
  <c r="H467" i="37"/>
  <c r="H444" i="41"/>
  <c r="F6" i="66"/>
  <c r="E337" i="38"/>
  <c r="E331" i="38"/>
  <c r="G7" i="53"/>
  <c r="H13" i="53"/>
  <c r="G13" i="53" s="1"/>
  <c r="J467" i="41"/>
  <c r="O3" i="41" s="1"/>
  <c r="F7" i="66"/>
  <c r="H452" i="41"/>
  <c r="H457" i="37"/>
  <c r="L246" i="66"/>
  <c r="P246" i="66" s="1"/>
  <c r="Y199" i="66" l="1"/>
  <c r="Z199" i="66"/>
  <c r="Y55" i="66"/>
  <c r="Z55" i="66"/>
  <c r="N198" i="66"/>
  <c r="O198" i="66" s="1"/>
  <c r="L245" i="66"/>
  <c r="J464" i="58"/>
  <c r="Y103" i="66"/>
  <c r="E372" i="38"/>
  <c r="K151" i="66" s="1"/>
  <c r="N151" i="66" s="1"/>
  <c r="H458" i="58"/>
  <c r="E373" i="38" s="1"/>
  <c r="K170" i="66" s="1"/>
  <c r="N170" i="66" s="1"/>
  <c r="E301" i="38"/>
  <c r="M149" i="66" s="1"/>
  <c r="E295" i="38"/>
  <c r="E289" i="38"/>
  <c r="E283" i="38"/>
  <c r="J464" i="37"/>
  <c r="J464" i="41" s="1"/>
  <c r="L101" i="66"/>
  <c r="L197" i="66"/>
  <c r="I464" i="58"/>
  <c r="D22" i="8"/>
  <c r="M101" i="66"/>
  <c r="G18" i="39" s="1"/>
  <c r="L150" i="66"/>
  <c r="P150" i="66" s="1"/>
  <c r="V150" i="66" s="1"/>
  <c r="X150" i="66" s="1"/>
  <c r="N150" i="66"/>
  <c r="O150" i="66" s="1"/>
  <c r="Y247" i="66"/>
  <c r="Z103" i="66"/>
  <c r="Z247" i="66"/>
  <c r="H458" i="37"/>
  <c r="E354" i="38"/>
  <c r="K7" i="66" s="1"/>
  <c r="N7" i="66" s="1"/>
  <c r="H457" i="41"/>
  <c r="E367" i="38"/>
  <c r="K122" i="66" s="1"/>
  <c r="N122" i="66" s="1"/>
  <c r="J458" i="41"/>
  <c r="Y54" i="66"/>
  <c r="O54" i="66"/>
  <c r="Z198" i="66"/>
  <c r="Y198" i="66"/>
  <c r="Z54" i="66"/>
  <c r="L6" i="66"/>
  <c r="P6" i="66" s="1"/>
  <c r="V6" i="66" s="1"/>
  <c r="X6" i="66" s="1"/>
  <c r="N6" i="66"/>
  <c r="N246" i="66"/>
  <c r="H467" i="41"/>
  <c r="M3" i="41" s="1"/>
  <c r="N102" i="66"/>
  <c r="M53" i="66"/>
  <c r="F18" i="39" s="1"/>
  <c r="C22" i="8"/>
  <c r="I458" i="41"/>
  <c r="E361" i="38"/>
  <c r="K74" i="66" s="1"/>
  <c r="N74" i="66" s="1"/>
  <c r="L53" i="66"/>
  <c r="I464" i="37"/>
  <c r="I464" i="41" s="1"/>
  <c r="Z7" i="66" l="1"/>
  <c r="Y7" i="66"/>
  <c r="Y151" i="66"/>
  <c r="Z151" i="66"/>
  <c r="O246" i="66"/>
  <c r="Z150" i="66"/>
  <c r="Y6" i="66"/>
  <c r="O6" i="66"/>
  <c r="Y150" i="66"/>
  <c r="Z6" i="66"/>
  <c r="L149" i="66"/>
  <c r="H464" i="58"/>
  <c r="Y218" i="66"/>
  <c r="Y74" i="66"/>
  <c r="Z74" i="66"/>
  <c r="Z218" i="66"/>
  <c r="P245" i="66"/>
  <c r="N245" i="66"/>
  <c r="O245" i="66" s="1"/>
  <c r="P197" i="66"/>
  <c r="N197" i="66"/>
  <c r="V198" i="66"/>
  <c r="X198" i="66" s="1"/>
  <c r="U198" i="66"/>
  <c r="Q198" i="66"/>
  <c r="U150" i="66"/>
  <c r="Q150" i="66"/>
  <c r="U54" i="66"/>
  <c r="V54" i="66"/>
  <c r="X54" i="66" s="1"/>
  <c r="Q54" i="66"/>
  <c r="P101" i="66"/>
  <c r="N101" i="66"/>
  <c r="Y122" i="66"/>
  <c r="Y266" i="66"/>
  <c r="Z122" i="66"/>
  <c r="Z266" i="66"/>
  <c r="O102" i="66"/>
  <c r="Z102" i="66"/>
  <c r="Y102" i="66"/>
  <c r="Y246" i="66"/>
  <c r="Z246" i="66"/>
  <c r="P53" i="66"/>
  <c r="N53" i="66"/>
  <c r="H458" i="41"/>
  <c r="E355" i="38"/>
  <c r="K26" i="66" s="1"/>
  <c r="N26" i="66" s="1"/>
  <c r="L5" i="66"/>
  <c r="H464" i="37"/>
  <c r="H464" i="41" s="1"/>
  <c r="B22" i="8"/>
  <c r="M5" i="66"/>
  <c r="O197" i="66" l="1"/>
  <c r="V197" i="66" s="1"/>
  <c r="X197" i="66" s="1"/>
  <c r="P149" i="66"/>
  <c r="V149" i="66" s="1"/>
  <c r="X149" i="66" s="1"/>
  <c r="R149" i="66"/>
  <c r="T149" i="66" s="1"/>
  <c r="N149" i="66"/>
  <c r="Q102" i="66"/>
  <c r="U102" i="66"/>
  <c r="V102" i="66"/>
  <c r="X102" i="66" s="1"/>
  <c r="U6" i="66"/>
  <c r="Q6" i="66"/>
  <c r="Y170" i="66"/>
  <c r="Y26" i="66"/>
  <c r="Z170" i="66"/>
  <c r="Z26" i="66"/>
  <c r="V245" i="66"/>
  <c r="X245" i="66" s="1"/>
  <c r="Q245" i="66"/>
  <c r="R245" i="66" s="1"/>
  <c r="T245" i="66" s="1"/>
  <c r="U245" i="66"/>
  <c r="Y101" i="66"/>
  <c r="Z101" i="66"/>
  <c r="Y245" i="66"/>
  <c r="Z245" i="66"/>
  <c r="O101" i="66"/>
  <c r="Z53" i="66"/>
  <c r="Z197" i="66"/>
  <c r="Y53" i="66"/>
  <c r="Y197" i="66"/>
  <c r="O53" i="66"/>
  <c r="U246" i="66"/>
  <c r="Q246" i="66"/>
  <c r="V246" i="66"/>
  <c r="X246" i="66" s="1"/>
  <c r="N5" i="66"/>
  <c r="R5" i="66"/>
  <c r="T5" i="66" s="1"/>
  <c r="P5" i="66"/>
  <c r="V5" i="66" s="1"/>
  <c r="X5" i="66" s="1"/>
  <c r="U197" i="66" l="1"/>
  <c r="Q197" i="66"/>
  <c r="R197" i="66" s="1"/>
  <c r="T197" i="66" s="1"/>
  <c r="Q101" i="66"/>
  <c r="R101" i="66" s="1"/>
  <c r="T101" i="66" s="1"/>
  <c r="U101" i="66"/>
  <c r="V101" i="66"/>
  <c r="X101" i="66" s="1"/>
  <c r="Z5" i="66"/>
  <c r="Y149" i="66"/>
  <c r="O5" i="66"/>
  <c r="Z149" i="66"/>
  <c r="Y5" i="66"/>
  <c r="V53" i="66"/>
  <c r="X53" i="66" s="1"/>
  <c r="Q53" i="66"/>
  <c r="R53" i="66" s="1"/>
  <c r="T53" i="66" s="1"/>
  <c r="U53" i="66"/>
  <c r="O149" i="66"/>
  <c r="Q5" i="66" l="1"/>
  <c r="U5" i="66"/>
  <c r="U149" i="66"/>
  <c r="Q1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<sst xmlns="http://schemas.openxmlformats.org/spreadsheetml/2006/main" count="4032" uniqueCount="339">
  <si>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</si>
  <si>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</si>
  <si>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</si>
  <si>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</si>
  <si>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</si>
  <si>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</si>
  <si>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</si>
  <si>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</si>
  <si>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</si>
  <si>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</si>
  <si>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</si>
  <si>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</si>
  <si>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</si>
  <si>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</si>
  <si>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</si>
  <si>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</si>
  <si>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</si>
  <si>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</si>
  <si>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</si>
  <si>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</si>
  <si>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</si>
  <si>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</si>
  <si>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</si>
  <si>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</si>
  <si>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</si>
  <si>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</si>
  <si>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</si>
  <si>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</si>
  <si>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</si>
  <si>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</si>
  <si>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</si>
  <si>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</si>
  <si>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</si>
  <si>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</si>
  <si>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</si>
  <si>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</si>
  <si>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</si>
  <si>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</si>
  <si>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</si>
  <si>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</si>
  <si>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</si>
  <si>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</si>
  <si>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</si>
  <si>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</si>
  <si>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</si>
  <si>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</si>
  <si>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</si>
  <si>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</si>
  <si>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</si>
  <si>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</si>
  <si>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</si>
  <si>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</si>
  <si>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</si>
  <si>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</si>
  <si>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</si>
  <si>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</si>
  <si>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</si>
  <si>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</si>
  <si>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</si>
  <si>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</si>
  <si>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</si>
  <si>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</si>
  <si>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</si>
  <si>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</si>
  <si>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</si>
  <si>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</si>
  <si>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</si>
  <si>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</si>
  <si>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</si>
  <si>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</si>
  <si>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</si>
  <si>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</si>
  <si>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</si>
  <si>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</si>
  <si>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</si>
  <si>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</si>
  <si>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</si>
  <si>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</si>
  <si>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</si>
  <si>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</si>
  <si>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</si>
  <si>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</si>
  <si>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</si>
  <si>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</si>
  <si>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</si>
  <si>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</si>
  <si>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</si>
  <si>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</si>
  <si>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</si>
  <si>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</si>
  <si>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</si>
  <si>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</si>
  <si>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</si>
  <si>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</si>
  <si>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</si>
  <si>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</si>
  <si>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</si>
  <si>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</si>
  <si>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</si>
  <si>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</si>
  <si>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</si>
  <si>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</si>
  <si>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</si>
  <si>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</si>
  <si>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</si>
  <si>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</si>
  <si>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</si>
  <si>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</si>
  <si>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</si>
  <si>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</si>
  <si>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</si>
  <si>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</si>
  <si>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</si>
  <si>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</si>
  <si>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</si>
  <si>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</si>
  <si>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</si>
  <si>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</si>
  <si>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</si>
  <si>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</si>
  <si>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</si>
  <si>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</si>
  <si>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</si>
  <si>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</si>
  <si>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</si>
  <si>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</si>
  <si>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</si>
  <si>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</si>
  <si>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</si>
  <si>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</si>
  <si>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</si>
  <si>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</si>
  <si>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</si>
  <si>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</si>
  <si>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</si>
  <si>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</si>
  <si>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</si>
  <si>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</si>
  <si>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</si>
  <si>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</si>
  <si>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</si>
  <si>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</si>
  <si>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</si>
  <si>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</si>
  <si>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</si>
  <si>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</si>
  <si>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</si>
  <si>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</si>
  <si>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</si>
  <si>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</si>
  <si>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</si>
  <si>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</si>
  <si>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</si>
  <si>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</si>
  <si>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</si>
  <si>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</si>
  <si>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</si>
  <si>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</si>
  <si>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</si>
  <si>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</si>
  <si>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</si>
  <si>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</si>
  <si>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</si>
  <si>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</si>
  <si>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</si>
  <si>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</si>
  <si>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</si>
  <si>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</si>
  <si>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</si>
  <si>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</si>
  <si>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</si>
  <si>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</si>
  <si>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</si>
  <si>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</si>
  <si>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</si>
  <si>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</si>
  <si>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</si>
  <si>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</si>
  <si>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</si>
  <si>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</si>
  <si>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</si>
  <si>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</si>
  <si>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</si>
  <si>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</si>
  <si>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</si>
  <si>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</si>
  <si>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</si>
  <si>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</si>
  <si>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</si>
  <si>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</si>
  <si>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</si>
  <si>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</si>
  <si>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</si>
  <si>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</si>
  <si>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</si>
  <si>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</si>
  <si>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</si>
  <si>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</si>
  <si>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</si>
  <si>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</si>
  <si>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</si>
  <si>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</si>
  <si>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</si>
  <si>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</si>
  <si>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</si>
  <si>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</si>
  <si>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</si>
  <si>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</si>
  <si>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</si>
  <si>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</si>
  <si>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</si>
  <si>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</si>
  <si>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</si>
  <si>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</si>
  <si>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</si>
  <si>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</si>
  <si>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</si>
  <si>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</si>
  <si>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</si>
  <si>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</si>
  <si>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</si>
  <si>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</si>
  <si>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</si>
  <si>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</si>
  <si>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</si>
  <si>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</si>
  <si>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</si>
  <si>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</si>
  <si>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</si>
  <si>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</si>
  <si>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</si>
  <si>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</si>
  <si>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</si>
  <si>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</si>
  <si>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</si>
  <si>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</si>
  <si>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</si>
  <si>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</si>
  <si>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</si>
  <si>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</si>
  <si>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</si>
  <si>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</si>
  <si>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</si>
  <si>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</si>
  <si>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</si>
  <si>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</si>
  <si>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</si>
  <si>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</si>
  <si>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</si>
  <si>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</si>
  <si>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</si>
  <si>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</si>
  <si>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</si>
  <si>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</si>
  <si>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</si>
  <si>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</si>
  <si>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</si>
  <si>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</si>
  <si>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</si>
  <si>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</si>
  <si>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</si>
  <si>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</si>
  <si>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</si>
  <si>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</si>
  <si>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</si>
  <si>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</si>
  <si>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</si>
  <si>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</si>
  <si>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</si>
  <si>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</si>
  <si>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</si>
  <si>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</si>
  <si>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</si>
  <si>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</si>
  <si>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</si>
  <si>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</si>
  <si>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</si>
  <si>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</si>
  <si>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</si>
  <si>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</si>
  <si>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</si>
  <si>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</si>
  <si>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</si>
  <si>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</si>
  <si>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</si>
  <si>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</si>
  <si>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</si>
  <si>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</si>
  <si>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</si>
  <si>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</si>
  <si>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</si>
  <si>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</si>
  <si>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</si>
  <si>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</si>
  <si>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</si>
  <si>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</si>
  <si>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</si>
  <si>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</si>
  <si>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</si>
  <si>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</si>
  <si>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</si>
  <si>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</si>
  <si>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</si>
  <si>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</si>
  <si>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</si>
  <si>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</si>
  <si>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</si>
  <si>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</si>
  <si>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</si>
  <si>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</si>
  <si>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</si>
  <si>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</si>
  <si>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</si>
  <si>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</si>
  <si>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</si>
  <si>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</si>
  <si>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</si>
  <si>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</si>
  <si>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</si>
  <si>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</si>
  <si>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</si>
  <si>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</si>
  <si>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</si>
  <si>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</si>
  <si>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</si>
  <si>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</si>
  <si>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</si>
  <si>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</si>
  <si>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</si>
  <si>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</si>
  <si>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</si>
  <si>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</si>
  <si>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</si>
  <si>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</si>
  <si>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</si>
  <si>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</si>
  <si>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</si>
  <si>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</si>
  <si>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Biomasse-scenariet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</si>
</sst>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13049924.438213089</c:v>
                </c:pt>
                <c:pt idx="2">
                  <c:v>12367941.925840957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50.641429577215661</c:v>
                </c:pt>
                <c:pt idx="2">
                  <c:v>53.6859338720772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16.44594860270173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2.7034344811434852</c:v>
                </c:pt>
                <c:pt idx="2">
                  <c:v>2.8136864628155509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6712872.9879863551</c:v>
                </c:pt>
                <c:pt idx="2">
                  <c:v>7141290.685798157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1418205.779459734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2995632.8505612239</c:v>
                </c:pt>
                <c:pt idx="2">
                  <c:v>2975343.7639734056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3362.8500000000004</c:v>
                </c:pt>
                <c:pt idx="16">
                  <c:v>821.61460665773438</c:v>
                </c:pt>
                <c:pt idx="17">
                  <c:v>848.48125088931693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1591162.6111290988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6423924.8458333323</c:v>
                </c:pt>
                <c:pt idx="16">
                  <c:v>1105549.7277781582</c:v>
                </c:pt>
                <c:pt idx="17">
                  <c:v>1084424.7512879437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586671.67478814675</c:v>
                </c:pt>
                <c:pt idx="17">
                  <c:v>543383.90021323995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1294004.2176036346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1108490.5539925825</c:v>
                </c:pt>
                <c:pt idx="1">
                  <c:v>586671.67478814675</c:v>
                </c:pt>
                <c:pt idx="2">
                  <c:v>543383.90021323995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26597.187524009147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5D-4917-B46D-A4F9FAE142C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41369.596506688533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6-48D6-93AD-DB77A227E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211627.45724089289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21163572.124573588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5433820.6545877624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563204.57830208144</c:v>
                </c:pt>
                <c:pt idx="2">
                  <c:v>552442.79782593274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263.53676062606576</c:v>
                </c:pt>
                <c:pt idx="2">
                  <c:v>272.1543634927998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13049924.438213089</c:v>
                </c:pt>
                <c:pt idx="2">
                  <c:v>12367941.925840957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13630231.620137766</c:v>
                </c:pt>
                <c:pt idx="2">
                  <c:v>13099114.768305516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1463535.0663842489</c:v>
                </c:pt>
                <c:pt idx="2">
                  <c:v>1392305.7560659221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22886516.421233561</c:v>
                </c:pt>
                <c:pt idx="2">
                  <c:v>21804840.113497604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817248.97986223281</c:v>
                </c:pt>
                <c:pt idx="2">
                  <c:v>1348365.8316944833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306389.73361575109</c:v>
                </c:pt>
                <c:pt idx="2">
                  <c:v>377619.04393407796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4428231.3787664389</c:v>
                </c:pt>
                <c:pt idx="2">
                  <c:v>5509907.6865023999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290890.985086801</c:v>
                </c:pt>
                <c:pt idx="2">
                  <c:v>298525.56791561138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41859.546279410672</c:v>
                </c:pt>
                <c:pt idx="2">
                  <c:v>42956.187062954959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36323938.809274264</c:v>
                </c:pt>
                <c:pt idx="2">
                  <c:v>37736958.706897601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284025.61835988262</c:v>
                </c:pt>
                <c:pt idx="2">
                  <c:v>289344.48560341762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2294255.2711495673</c:v>
                </c:pt>
                <c:pt idx="2">
                  <c:v>2355323.2838141397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6989859.2435773909</c:v>
                </c:pt>
                <c:pt idx="2">
                  <c:v>7206505.523105517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7633952.6959113814</c:v>
                </c:pt>
                <c:pt idx="2">
                  <c:v>7925117.269571091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196559.60980685451</c:v>
                </c:pt>
                <c:pt idx="2">
                  <c:v>202349.63153877269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482021.37815281149</c:v>
                </c:pt>
                <c:pt idx="2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6431901.2155842176</c:v>
                </c:pt>
                <c:pt idx="2">
                  <c:v>6595761.847970549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2863430.3661416383</c:v>
                </c:pt>
                <c:pt idx="2">
                  <c:v>2859899.9612931921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78924.795388364349</c:v>
                </c:pt>
                <c:pt idx="2">
                  <c:v>173770.20047568402</c:v>
                </c:pt>
                <c:pt idx="3">
                  <c:v>0</c:v>
                </c:pt>
                <c:pt idx="4">
                  <c:v>12818.566214461987</c:v>
                </c:pt>
                <c:pt idx="5">
                  <c:v>30297.171474632443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203992.87441208248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211627.45724089289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3362.8500000000004</c:v>
                </c:pt>
                <c:pt idx="16">
                  <c:v>821.61460665773438</c:v>
                </c:pt>
                <c:pt idx="17">
                  <c:v>848.48125088931693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1591162.6111290988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6423924.8458333323</c:v>
                </c:pt>
                <c:pt idx="16">
                  <c:v>1105549.7277781582</c:v>
                </c:pt>
                <c:pt idx="17">
                  <c:v>1084424.7512879437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586671.67478814675</c:v>
                </c:pt>
                <c:pt idx="17">
                  <c:v>543383.90021323995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1294004.2176036346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1108490.5539925825</c:v>
                </c:pt>
                <c:pt idx="1">
                  <c:v>586671.67478814675</c:v>
                </c:pt>
                <c:pt idx="2">
                  <c:v>543383.90021323995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26597.187524009147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35-4E87-A0A8-E14845D5614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41369.596506688533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6-4722-BFBA-2C7CCC9A0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211627.45724089289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21163572.124573588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5433820.6545877624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563204.57830208144</c:v>
                </c:pt>
                <c:pt idx="2">
                  <c:v>552442.79782593274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263.53676062606576</c:v>
                </c:pt>
                <c:pt idx="2">
                  <c:v>272.1543634927998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50.641429577215661</c:v>
                </c:pt>
                <c:pt idx="2">
                  <c:v>53.6859338720772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16.44594860270173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2.7034344811434852</c:v>
                </c:pt>
                <c:pt idx="2">
                  <c:v>2.8136864628155509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6712872.9879863551</c:v>
                </c:pt>
                <c:pt idx="2">
                  <c:v>7141290.685798157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1418205.779459734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2995632.8505612239</c:v>
                </c:pt>
                <c:pt idx="2">
                  <c:v>2975343.7639734056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2986110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434457.131922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009259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032407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9404263.9839439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067129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067129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5794113.0468547465" maxValue="14652277.424099717"/>
    </cacheField>
    <cacheField name="Potentiale til energi [ton]" numFmtId="3">
      <sharedItems containsSemiMixedTypes="0" containsString="0" containsNumber="1" minValue="0" maxValue="14652277.424099717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6.958358925665468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102637.6787479213"/>
    </cacheField>
    <cacheField name="Forbrug/potentiale [Ton TS]" numFmtId="0">
      <sharedItems containsSemiMixedTypes="0" containsString="0" containsNumber="1" minValue="0" maxValue="4121330.1059935149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4102637.678747921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1134256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5794113.0468547465" maxValue="14652277.424099717"/>
    </cacheField>
    <cacheField name="Potentiale til energi [ton]" numFmtId="3">
      <sharedItems containsSemiMixedTypes="0" containsString="0" containsNumber="1" minValue="0" maxValue="14652277.424099717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6.958358925665468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102637.6787479213"/>
    </cacheField>
    <cacheField name="Forbrug/potentiale [Ton TS]" numFmtId="0">
      <sharedItems containsSemiMixedTypes="0" containsString="0" containsNumber="1" minValue="0" maxValue="4121330.1059935149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4102637.678747921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1250002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849222.4776918571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8314814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5794113.0468547465" maxValue="14652277.424099717"/>
    </cacheField>
    <cacheField name="Potentiale til energi [ton]" numFmtId="3">
      <sharedItems containsSemiMixedTypes="0" containsString="0" containsNumber="1" minValue="0" maxValue="14652277.424099717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6.958358925665468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102637.6787479213"/>
    </cacheField>
    <cacheField name="Forbrug/potentiale [Ton TS]" numFmtId="0">
      <sharedItems containsSemiMixedTypes="0" containsString="0" containsNumber="1" minValue="0" maxValue="4121330.1059935149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4102637.67874792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6280819.829951556"/>
  </r>
  <r>
    <x v="1"/>
    <s v="Vestdanmark"/>
    <x v="15"/>
    <x v="1"/>
    <n v="14022176.448242648"/>
  </r>
  <r>
    <x v="1"/>
    <s v="Vestdanmark"/>
    <x v="16"/>
    <x v="1"/>
    <n v="9010.1442263891222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5629.188321682515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5586875.108985925"/>
  </r>
  <r>
    <x v="1"/>
    <s v="Vestdanmark"/>
    <x v="15"/>
    <x v="2"/>
    <n v="13754239.022753812"/>
  </r>
  <r>
    <x v="1"/>
    <s v="Vestdanmark"/>
    <x v="16"/>
    <x v="2"/>
    <n v="9304.7742602810158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5125.425039320733"/>
  </r>
  <r>
    <x v="1"/>
    <s v="Vestdanmark"/>
    <x v="0"/>
    <x v="2"/>
    <n v="2901.770538547059"/>
  </r>
  <r>
    <x v="1"/>
    <s v="Vestdanmark"/>
    <x v="23"/>
    <x v="2"/>
    <n v="66758.668734263701"/>
  </r>
  <r>
    <x v="1"/>
    <s v="Vestdanmark"/>
    <x v="24"/>
    <x v="2"/>
    <n v="254098.83749353027"/>
  </r>
  <r>
    <x v="1"/>
    <s v="Vestdanmark"/>
    <x v="25"/>
    <x v="2"/>
    <n v="21821.426523041016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359043.8250862737"/>
  </r>
  <r>
    <x v="1"/>
    <s v="Østdanmark"/>
    <x v="15"/>
    <x v="1"/>
    <n v="996612.30647950561"/>
  </r>
  <r>
    <x v="1"/>
    <s v="Østdanmark"/>
    <x v="16"/>
    <x v="1"/>
    <n v="756.21807916508294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0304.811678317506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258493.2369682519"/>
  </r>
  <r>
    <x v="1"/>
    <s v="Østdanmark"/>
    <x v="15"/>
    <x v="2"/>
    <n v="977568.91927108995"/>
  </r>
  <r>
    <x v="1"/>
    <s v="Østdanmark"/>
    <x v="16"/>
    <x v="2"/>
    <n v="780.94626915803735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0808.574960679292"/>
  </r>
  <r>
    <x v="1"/>
    <s v="Østdanmark"/>
    <x v="0"/>
    <x v="2"/>
    <n v="884.229461452941"/>
  </r>
  <r>
    <x v="1"/>
    <s v="Østdanmark"/>
    <x v="23"/>
    <x v="2"/>
    <n v="18918.331265736317"/>
  </r>
  <r>
    <x v="1"/>
    <s v="Østdanmark"/>
    <x v="24"/>
    <x v="2"/>
    <n v="75927.162506469729"/>
  </r>
  <r>
    <x v="1"/>
    <s v="Østdanmark"/>
    <x v="25"/>
    <x v="2"/>
    <n v="6823.5734769589817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10541.6709603725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341.6308326661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30097.78056099394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088.73530897219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83568.91129851097"/>
  </r>
  <r>
    <x v="3"/>
    <s v="Vestdanmark"/>
    <x v="34"/>
    <x v="2"/>
    <n v="120985.85798793298"/>
  </r>
  <r>
    <x v="3"/>
    <s v="Vestdanmark"/>
    <x v="35"/>
    <x v="2"/>
    <n v="158491.06742829576"/>
  </r>
  <r>
    <x v="3"/>
    <s v="Vestdanmark"/>
    <x v="36"/>
    <x v="2"/>
    <n v="2235295.9759470159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07593.69983058784"/>
  </r>
  <r>
    <x v="3"/>
    <s v="Østdanmark"/>
    <x v="34"/>
    <x v="2"/>
    <n v="37147.808703410541"/>
  </r>
  <r>
    <x v="3"/>
    <s v="Østdanmark"/>
    <x v="35"/>
    <x v="2"/>
    <n v="43858.564110476924"/>
  </r>
  <r>
    <x v="3"/>
    <s v="Østdanmark"/>
    <x v="36"/>
    <x v="2"/>
    <n v="624603.9853461763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1808979.9811057281"/>
  </r>
  <r>
    <x v="5"/>
    <s v="Vestdanmark"/>
    <x v="15"/>
    <x v="1"/>
    <n v="1032187.9885511945"/>
  </r>
  <r>
    <x v="5"/>
    <s v="Vestdanmark"/>
    <x v="16"/>
    <x v="1"/>
    <n v="757.99626031527509"/>
  </r>
  <r>
    <x v="5"/>
    <s v="Vestdanmark"/>
    <x v="20"/>
    <x v="1"/>
    <n v="602593.15019279509"/>
  </r>
  <r>
    <x v="5"/>
    <s v="Vestdanmark"/>
    <x v="37"/>
    <x v="1"/>
    <n v="29434457.131922562"/>
  </r>
  <r>
    <x v="5"/>
    <s v="Vestdanmark"/>
    <x v="38"/>
    <x v="1"/>
    <n v="288330.71633936168"/>
  </r>
  <r>
    <x v="5"/>
    <s v="Vestdanmark"/>
    <x v="14"/>
    <x v="2"/>
    <n v="1731875.0121095467"/>
  </r>
  <r>
    <x v="5"/>
    <s v="Vestdanmark"/>
    <x v="15"/>
    <x v="2"/>
    <n v="1012464.8169527107"/>
  </r>
  <r>
    <x v="5"/>
    <s v="Vestdanmark"/>
    <x v="16"/>
    <x v="2"/>
    <n v="782.78259649983124"/>
  </r>
  <r>
    <x v="5"/>
    <s v="Vestdanmark"/>
    <x v="20"/>
    <x v="2"/>
    <n v="630997.79814640491"/>
  </r>
  <r>
    <x v="5"/>
    <s v="Vestdanmark"/>
    <x v="37"/>
    <x v="2"/>
    <n v="28561090.767180413"/>
  </r>
  <r>
    <x v="5"/>
    <s v="Vestdanmark"/>
    <x v="38"/>
    <x v="2"/>
    <n v="254386.50610030405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262115.98056514148"/>
  </r>
  <r>
    <x v="5"/>
    <s v="Østdanmark"/>
    <x v="15"/>
    <x v="1"/>
    <n v="73361.739226963589"/>
  </r>
  <r>
    <x v="5"/>
    <s v="Østdanmark"/>
    <x v="16"/>
    <x v="1"/>
    <n v="63.618346342459347"/>
  </r>
  <r>
    <x v="5"/>
    <s v="Østdanmark"/>
    <x v="20"/>
    <x v="1"/>
    <n v="81329.660607366925"/>
  </r>
  <r>
    <x v="5"/>
    <s v="Østdanmark"/>
    <x v="37"/>
    <x v="1"/>
    <n v="4542499.0612708991"/>
  </r>
  <r>
    <x v="5"/>
    <s v="Østdanmark"/>
    <x v="38"/>
    <x v="1"/>
    <n v="298340.95844878507"/>
  </r>
  <r>
    <x v="5"/>
    <s v="Østdanmark"/>
    <x v="14"/>
    <x v="2"/>
    <n v="250943.69299647235"/>
  </r>
  <r>
    <x v="5"/>
    <s v="Østdanmark"/>
    <x v="15"/>
    <x v="2"/>
    <n v="71959.934335232989"/>
  </r>
  <r>
    <x v="5"/>
    <s v="Østdanmark"/>
    <x v="16"/>
    <x v="2"/>
    <n v="65.698654389485654"/>
  </r>
  <r>
    <x v="5"/>
    <s v="Østdanmark"/>
    <x v="20"/>
    <x v="2"/>
    <n v="85646.055736491384"/>
  </r>
  <r>
    <x v="5"/>
    <s v="Østdanmark"/>
    <x v="37"/>
    <x v="2"/>
    <n v="4479880.3720469549"/>
  </r>
  <r>
    <x v="5"/>
    <s v="Østdanmark"/>
    <x v="38"/>
    <x v="2"/>
    <n v="288997.39411293587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370490.27594297461"/>
  </r>
  <r>
    <x v="7"/>
    <s v="Vestdanmark"/>
    <x v="39"/>
    <x v="2"/>
    <n v="378080.80621229054"/>
  </r>
  <r>
    <x v="7"/>
    <s v="Østdanmark"/>
    <x v="39"/>
    <x v="0"/>
    <n v="193574.13238370849"/>
  </r>
  <r>
    <x v="7"/>
    <s v="Østdanmark"/>
    <x v="39"/>
    <x v="1"/>
    <n v="111531.10220983687"/>
  </r>
  <r>
    <x v="7"/>
    <s v="Østdanmark"/>
    <x v="39"/>
    <x v="2"/>
    <n v="116086.90219815794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36252.1166384006"/>
  </r>
  <r>
    <x v="0"/>
    <x v="2"/>
    <x v="2"/>
    <s v="JB1-10"/>
    <n v="545883.4811917472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0183.88336159918"/>
  </r>
  <r>
    <x v="1"/>
    <x v="2"/>
    <x v="2"/>
    <s v="JB1-10"/>
    <n v="139216.5188082527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523408.7197105791"/>
  </r>
  <r>
    <x v="1"/>
    <x v="0"/>
    <x v="2"/>
    <n v="229440.63810667559"/>
  </r>
  <r>
    <x v="2"/>
    <x v="0"/>
    <x v="2"/>
    <n v="378080.80621229054"/>
  </r>
  <r>
    <x v="3"/>
    <x v="0"/>
    <x v="2"/>
    <n v="29404263.983943939"/>
  </r>
  <r>
    <x v="4"/>
    <x v="0"/>
    <x v="2"/>
    <n v="220830.77573350482"/>
  </r>
  <r>
    <x v="5"/>
    <x v="0"/>
    <x v="2"/>
    <n v="1818589.8087592444"/>
  </r>
  <r>
    <x v="6"/>
    <x v="0"/>
    <x v="2"/>
    <n v="5024574.3595380196"/>
  </r>
  <r>
    <x v="7"/>
    <x v="0"/>
    <x v="2"/>
    <n v="6101831.6290168501"/>
  </r>
  <r>
    <x v="8"/>
    <x v="0"/>
    <x v="2"/>
    <n v="32793.097303413146"/>
  </r>
  <r>
    <x v="9"/>
    <x v="0"/>
    <x v="2"/>
    <n v="1048609.453845398"/>
  </r>
  <r>
    <x v="10"/>
    <x v="0"/>
    <x v="2"/>
    <n v="1145476.8591293055"/>
  </r>
  <r>
    <x v="11"/>
    <x v="0"/>
    <x v="2"/>
    <n v="729011.95091777691"/>
  </r>
  <r>
    <x v="12"/>
    <x v="0"/>
    <x v="2"/>
    <n v="158491.06742829576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83096.8033949384"/>
  </r>
  <r>
    <x v="1"/>
    <x v="1"/>
    <x v="2"/>
    <n v="69084.929808935805"/>
  </r>
  <r>
    <x v="2"/>
    <x v="1"/>
    <x v="2"/>
    <n v="116086.90219815794"/>
  </r>
  <r>
    <x v="3"/>
    <x v="1"/>
    <x v="2"/>
    <n v="8332694.7229536632"/>
  </r>
  <r>
    <x v="4"/>
    <x v="1"/>
    <x v="2"/>
    <n v="68513.709869912811"/>
  </r>
  <r>
    <x v="5"/>
    <x v="1"/>
    <x v="2"/>
    <n v="536733.47505489504"/>
  </r>
  <r>
    <x v="6"/>
    <x v="1"/>
    <x v="2"/>
    <n v="1571187.4884325294"/>
  </r>
  <r>
    <x v="7"/>
    <x v="1"/>
    <x v="2"/>
    <n v="1823285.6405542411"/>
  </r>
  <r>
    <x v="8"/>
    <x v="1"/>
    <x v="2"/>
    <n v="10163.089759541812"/>
  </r>
  <r>
    <x v="9"/>
    <x v="1"/>
    <x v="2"/>
    <n v="314116.08613367198"/>
  </r>
  <r>
    <x v="10"/>
    <x v="1"/>
    <x v="2"/>
    <n v="357304.25157150667"/>
  </r>
  <r>
    <x v="11"/>
    <x v="1"/>
    <x v="2"/>
    <n v="220334.04456617165"/>
  </r>
  <r>
    <x v="12"/>
    <x v="1"/>
    <x v="2"/>
    <n v="43858.56411047692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76591.97905547544"/>
    <n v="4041909.7731788829"/>
    <n v="1900635.8217001744"/>
    <n v="1900635.8217001744"/>
  </r>
  <r>
    <x v="0"/>
    <x v="1"/>
    <x v="2"/>
    <s v="Konventionel"/>
    <x v="0"/>
    <s v="Halm"/>
    <n v="44370.662327297228"/>
    <n v="171270.75658336733"/>
    <n v="73253.400763838363"/>
    <n v="73253.400763838363"/>
  </r>
  <r>
    <x v="0"/>
    <x v="2"/>
    <x v="2"/>
    <s v="Konventionel"/>
    <x v="0"/>
    <s v="Halm"/>
    <n v="64930.608396310665"/>
    <n v="285694.67694376694"/>
    <n v="219833.69733892806"/>
    <n v="219833.69733892806"/>
  </r>
  <r>
    <x v="0"/>
    <x v="3"/>
    <x v="2"/>
    <s v="Konventionel"/>
    <x v="0"/>
    <s v="Græs"/>
    <n v="359534.40705289674"/>
    <n v="17840097.277964737"/>
    <n v="0"/>
    <n v="17840097.277964737"/>
  </r>
  <r>
    <x v="0"/>
    <x v="4"/>
    <x v="2"/>
    <s v="Konventionel"/>
    <x v="0"/>
    <s v="Grøntsager"/>
    <n v="7457.2400160431316"/>
    <n v="154737.73033289498"/>
    <n v="0"/>
    <n v="154737.73033289498"/>
  </r>
  <r>
    <x v="0"/>
    <x v="5"/>
    <x v="2"/>
    <s v="Konventionel"/>
    <x v="0"/>
    <s v="Kartofler"/>
    <n v="31365.844342236556"/>
    <n v="1332135.6218790098"/>
    <n v="0"/>
    <n v="1332135.6218790098"/>
  </r>
  <r>
    <x v="0"/>
    <x v="6"/>
    <x v="2"/>
    <s v="Konventionel"/>
    <x v="0"/>
    <s v="Roer"/>
    <n v="47938.272936646019"/>
    <n v="3895163.5502552376"/>
    <n v="0"/>
    <n v="3895163.5502552376"/>
  </r>
  <r>
    <x v="0"/>
    <x v="7"/>
    <x v="2"/>
    <s v="Konventionel"/>
    <x v="0"/>
    <s v="Majs"/>
    <n v="97058.944942455943"/>
    <n v="4320093.639388714"/>
    <n v="0"/>
    <n v="4320093.639388714"/>
  </r>
  <r>
    <x v="0"/>
    <x v="8"/>
    <x v="2"/>
    <s v="Konventionel"/>
    <x v="0"/>
    <s v="Frugt"/>
    <n v="2908.0623604905873"/>
    <n v="24689.449440565091"/>
    <n v="0"/>
    <n v="24689.449440565091"/>
  </r>
  <r>
    <x v="0"/>
    <x v="9"/>
    <x v="2"/>
    <s v="Konventionel"/>
    <x v="0"/>
    <s v="Øvrige"/>
    <n v="25738.466902719567"/>
    <n v="766901.90582075517"/>
    <n v="0"/>
    <n v="766901.90582075517"/>
  </r>
  <r>
    <x v="0"/>
    <x v="10"/>
    <x v="2"/>
    <s v="Konventionel"/>
    <x v="0"/>
    <s v="Halm"/>
    <n v="57862.561202403813"/>
    <n v="826790.08020882867"/>
    <n v="197882.43717926473"/>
    <n v="197882.43717926473"/>
  </r>
  <r>
    <x v="0"/>
    <x v="11"/>
    <x v="2"/>
    <s v="Konventionel"/>
    <x v="0"/>
    <s v="Juletræer"/>
    <n v="10867.586324157863"/>
    <n v="543379.31620789308"/>
    <n v="0"/>
    <n v="543379.31620789308"/>
  </r>
  <r>
    <x v="0"/>
    <x v="12"/>
    <x v="2"/>
    <s v="Konventionel"/>
    <x v="0"/>
    <s v="Pil &amp; poppel"/>
    <n v="4179.063908207143"/>
    <n v="101928.38800505229"/>
    <n v="0"/>
    <n v="101928.38800505229"/>
  </r>
  <r>
    <x v="0"/>
    <x v="13"/>
    <x v="2"/>
    <s v="Konventionel"/>
    <x v="0"/>
    <s v="Græs"/>
    <n v="101375.57782061782"/>
    <n v="1397969.21814632"/>
    <n v="0"/>
    <n v="1397969.21814632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22307.389496616"/>
    <n v="574441.11624875641"/>
    <n v="270120.66678102472"/>
    <n v="270120.66678102472"/>
  </r>
  <r>
    <x v="0"/>
    <x v="1"/>
    <x v="2"/>
    <s v="Økologisk"/>
    <x v="0"/>
    <s v="Halm"/>
    <n v="9411.9586754872907"/>
    <n v="20708.191477807137"/>
    <n v="8857.0020923550001"/>
    <n v="8857.0020923550001"/>
  </r>
  <r>
    <x v="0"/>
    <x v="2"/>
    <x v="2"/>
    <s v="Økologisk"/>
    <x v="0"/>
    <s v="Halm"/>
    <n v="13773.159356793169"/>
    <n v="33331.045643439473"/>
    <n v="25647.264689541604"/>
    <n v="25647.264689541604"/>
  </r>
  <r>
    <x v="0"/>
    <x v="3"/>
    <x v="2"/>
    <s v="Økologisk"/>
    <x v="0"/>
    <s v="Græs"/>
    <n v="76264.874223341743"/>
    <n v="2951725.1859905296"/>
    <n v="0"/>
    <n v="2951725.1859905296"/>
  </r>
  <r>
    <x v="0"/>
    <x v="4"/>
    <x v="2"/>
    <s v="Økologisk"/>
    <x v="0"/>
    <s v="Grøntsager"/>
    <n v="1581.8387912818764"/>
    <n v="18709.198303886395"/>
    <n v="0"/>
    <n v="18709.198303886395"/>
  </r>
  <r>
    <x v="0"/>
    <x v="5"/>
    <x v="2"/>
    <s v="Økologisk"/>
    <x v="0"/>
    <s v="Kartofler"/>
    <n v="6653.3609210804825"/>
    <n v="161067.30700900755"/>
    <n v="0"/>
    <n v="161067.30700900755"/>
  </r>
  <r>
    <x v="0"/>
    <x v="6"/>
    <x v="2"/>
    <s v="Økologisk"/>
    <x v="0"/>
    <s v="Roer"/>
    <n v="10168.724562318854"/>
    <n v="470960.6838035878"/>
    <n v="0"/>
    <n v="470960.6838035878"/>
  </r>
  <r>
    <x v="0"/>
    <x v="7"/>
    <x v="2"/>
    <s v="Økologisk"/>
    <x v="0"/>
    <s v="Majs"/>
    <n v="20588.261048399749"/>
    <n v="760598.30438934651"/>
    <n v="0"/>
    <n v="760598.30438934651"/>
  </r>
  <r>
    <x v="0"/>
    <x v="8"/>
    <x v="2"/>
    <s v="Økologisk"/>
    <x v="0"/>
    <s v="Frugt"/>
    <n v="616.86171283133672"/>
    <n v="2985.1788869046882"/>
    <n v="0"/>
    <n v="2985.1788869046882"/>
  </r>
  <r>
    <x v="0"/>
    <x v="9"/>
    <x v="2"/>
    <s v="Økologisk"/>
    <x v="0"/>
    <s v="Øvrige"/>
    <n v="5459.6747975465751"/>
    <n v="92725.412249236761"/>
    <n v="0"/>
    <n v="92725.412249236761"/>
  </r>
  <r>
    <x v="0"/>
    <x v="10"/>
    <x v="2"/>
    <s v="Økologisk"/>
    <x v="0"/>
    <s v="Halm"/>
    <n v="12273.876618691718"/>
    <n v="99966.436970703828"/>
    <n v="23925.78558622019"/>
    <n v="23925.78558622019"/>
  </r>
  <r>
    <x v="0"/>
    <x v="11"/>
    <x v="2"/>
    <s v="Økologisk"/>
    <x v="0"/>
    <s v="Juletræer"/>
    <n v="2305.2455839122736"/>
    <n v="65699.499141499793"/>
    <n v="0"/>
    <n v="65699.499141499793"/>
  </r>
  <r>
    <x v="0"/>
    <x v="12"/>
    <x v="2"/>
    <s v="Økologisk"/>
    <x v="0"/>
    <s v="Pil &amp; poppel"/>
    <n v="886.46810174090911"/>
    <n v="12324.068731519956"/>
    <n v="0"/>
    <n v="12324.068731519956"/>
  </r>
  <r>
    <x v="0"/>
    <x v="13"/>
    <x v="2"/>
    <s v="Økologisk"/>
    <x v="0"/>
    <s v="Græs"/>
    <n v="21503.910446797723"/>
    <n v="296538.92506134062"/>
    <n v="0"/>
    <n v="296538.92506134062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9389.67006955924"/>
    <n v="1257521.5871876103"/>
    <n v="591327.04817660281"/>
    <n v="591327.04817660281"/>
  </r>
  <r>
    <x v="1"/>
    <x v="1"/>
    <x v="2"/>
    <s v="Konventionel"/>
    <x v="0"/>
    <s v="Halm"/>
    <n v="13804.629208856637"/>
    <n v="53285.868746186621"/>
    <n v="22790.645502950778"/>
    <n v="22790.645502950778"/>
  </r>
  <r>
    <x v="1"/>
    <x v="2"/>
    <x v="2"/>
    <s v="Konventionel"/>
    <x v="0"/>
    <s v="Halm"/>
    <n v="20201.252949634338"/>
    <n v="88885.512978391082"/>
    <n v="68394.802335617322"/>
    <n v="68394.802335617322"/>
  </r>
  <r>
    <x v="1"/>
    <x v="3"/>
    <x v="2"/>
    <s v="Konventionel"/>
    <x v="0"/>
    <s v="Græs"/>
    <n v="111858.57764710314"/>
    <n v="5550422.6228492586"/>
    <n v="0"/>
    <n v="5550422.6228492586"/>
  </r>
  <r>
    <x v="1"/>
    <x v="4"/>
    <x v="2"/>
    <s v="Konventionel"/>
    <x v="0"/>
    <s v="Grøntsager"/>
    <n v="2320.101344973416"/>
    <n v="48142.102908198387"/>
    <n v="0"/>
    <n v="48142.102908198387"/>
  </r>
  <r>
    <x v="1"/>
    <x v="5"/>
    <x v="2"/>
    <s v="Konventionel"/>
    <x v="0"/>
    <s v="Kartofler"/>
    <n v="9758.5618121573061"/>
    <n v="414454.89770469151"/>
    <n v="0"/>
    <n v="414454.89770469151"/>
  </r>
  <r>
    <x v="1"/>
    <x v="6"/>
    <x v="2"/>
    <s v="Konventionel"/>
    <x v="0"/>
    <s v="Roer"/>
    <n v="14914.586532918138"/>
    <n v="1211865.8072418857"/>
    <n v="0"/>
    <n v="1211865.8072418857"/>
  </r>
  <r>
    <x v="1"/>
    <x v="7"/>
    <x v="2"/>
    <s v="Konventionel"/>
    <x v="0"/>
    <s v="Majs"/>
    <n v="30197.041830253234"/>
    <n v="1344070.3318645717"/>
    <n v="0"/>
    <n v="1344070.3318645717"/>
  </r>
  <r>
    <x v="1"/>
    <x v="8"/>
    <x v="2"/>
    <s v="Konventionel"/>
    <x v="0"/>
    <s v="Frugt"/>
    <n v="904.75824558759291"/>
    <n v="7681.3975050386643"/>
    <n v="0"/>
    <n v="7681.3975050386643"/>
  </r>
  <r>
    <x v="1"/>
    <x v="9"/>
    <x v="2"/>
    <s v="Konventionel"/>
    <x v="0"/>
    <s v="Øvrige"/>
    <n v="8007.7684974714139"/>
    <n v="238599.01777729217"/>
    <n v="0"/>
    <n v="238599.01777729217"/>
  </r>
  <r>
    <x v="1"/>
    <x v="10"/>
    <x v="2"/>
    <s v="Konventionel"/>
    <x v="0"/>
    <s v="Halm"/>
    <n v="18002.237527623009"/>
    <n v="257231.46539153677"/>
    <n v="61565.312053592112"/>
    <n v="61565.312053592112"/>
  </r>
  <r>
    <x v="1"/>
    <x v="11"/>
    <x v="2"/>
    <s v="Konventionel"/>
    <x v="0"/>
    <s v="Juletræer"/>
    <n v="3381.1304977511027"/>
    <n v="169056.52488755516"/>
    <n v="0"/>
    <n v="169056.52488755516"/>
  </r>
  <r>
    <x v="1"/>
    <x v="12"/>
    <x v="2"/>
    <s v="Konventionel"/>
    <x v="0"/>
    <s v="Pil &amp; poppel"/>
    <n v="1300.1930705330769"/>
    <n v="31712.026110562852"/>
    <n v="0"/>
    <n v="31712.026110562852"/>
  </r>
  <r>
    <x v="1"/>
    <x v="13"/>
    <x v="2"/>
    <s v="Konventionel"/>
    <x v="0"/>
    <s v="Græs"/>
    <n v="31540.035447842853"/>
    <n v="434937.08882575296"/>
    <n v="0"/>
    <n v="434937.08882575296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8052.354257179235"/>
    <n v="178720.49223969373"/>
    <n v="84040.116846917197"/>
    <n v="84040.116846917197"/>
  </r>
  <r>
    <x v="1"/>
    <x v="1"/>
    <x v="2"/>
    <s v="Økologisk"/>
    <x v="0"/>
    <s v="Halm"/>
    <n v="2928.2546806665596"/>
    <n v="6442.745948402564"/>
    <n v="2755.596228993139"/>
    <n v="2755.596228993139"/>
  </r>
  <r>
    <x v="1"/>
    <x v="2"/>
    <x v="2"/>
    <s v="Økologisk"/>
    <x v="0"/>
    <s v="Halm"/>
    <n v="4285.1142620436467"/>
    <n v="10369.976514145626"/>
    <n v="7979.3936058220206"/>
    <n v="7979.3936058220206"/>
  </r>
  <r>
    <x v="1"/>
    <x v="3"/>
    <x v="2"/>
    <s v="Økologisk"/>
    <x v="0"/>
    <s v="Græs"/>
    <n v="23727.577076658243"/>
    <n v="918342.65214414988"/>
    <n v="0"/>
    <n v="918342.65214414988"/>
  </r>
  <r>
    <x v="1"/>
    <x v="4"/>
    <x v="2"/>
    <s v="Økologisk"/>
    <x v="0"/>
    <s v="Grøntsager"/>
    <n v="492.14270953981543"/>
    <n v="5820.8178970821664"/>
    <n v="0"/>
    <n v="5820.8178970821664"/>
  </r>
  <r>
    <x v="1"/>
    <x v="5"/>
    <x v="2"/>
    <s v="Økologisk"/>
    <x v="0"/>
    <s v="Kartofler"/>
    <n v="2069.9979601545801"/>
    <n v="50111.364904294518"/>
    <n v="0"/>
    <n v="50111.364904294518"/>
  </r>
  <r>
    <x v="1"/>
    <x v="6"/>
    <x v="2"/>
    <s v="Økologisk"/>
    <x v="0"/>
    <s v="Roer"/>
    <n v="3163.7001736493021"/>
    <n v="146525.59305742799"/>
    <n v="0"/>
    <n v="146525.59305742799"/>
  </r>
  <r>
    <x v="1"/>
    <x v="7"/>
    <x v="2"/>
    <s v="Økologisk"/>
    <x v="0"/>
    <s v="Majs"/>
    <n v="6405.4331155082618"/>
    <n v="236637.83721615636"/>
    <n v="0"/>
    <n v="236637.83721615636"/>
  </r>
  <r>
    <x v="1"/>
    <x v="8"/>
    <x v="2"/>
    <s v="Økologisk"/>
    <x v="0"/>
    <s v="Frugt"/>
    <n v="191.91841573070153"/>
    <n v="928.75078924558386"/>
    <n v="0"/>
    <n v="928.75078924558386"/>
  </r>
  <r>
    <x v="1"/>
    <x v="9"/>
    <x v="2"/>
    <s v="Økologisk"/>
    <x v="0"/>
    <s v="Øvrige"/>
    <n v="1698.6175600696938"/>
    <n v="28848.790331254411"/>
    <n v="0"/>
    <n v="28848.790331254411"/>
  </r>
  <r>
    <x v="1"/>
    <x v="10"/>
    <x v="2"/>
    <s v="Økologisk"/>
    <x v="0"/>
    <s v="Halm"/>
    <n v="3818.6564452533657"/>
    <n v="31101.622633703992"/>
    <n v="7443.8059119343161"/>
    <n v="7443.8059119343161"/>
  </r>
  <r>
    <x v="1"/>
    <x v="11"/>
    <x v="2"/>
    <s v="Økologisk"/>
    <x v="0"/>
    <s v="Juletræer"/>
    <n v="717.2094995229611"/>
    <n v="20440.47073640439"/>
    <n v="0"/>
    <n v="20440.47073640439"/>
  </r>
  <r>
    <x v="1"/>
    <x v="12"/>
    <x v="2"/>
    <s v="Økologisk"/>
    <x v="0"/>
    <s v="Pil &amp; poppel"/>
    <n v="275.79853011307694"/>
    <n v="3834.2722479135091"/>
    <n v="0"/>
    <n v="3834.2722479135091"/>
  </r>
  <r>
    <x v="1"/>
    <x v="13"/>
    <x v="2"/>
    <s v="Økologisk"/>
    <x v="0"/>
    <s v="Græs"/>
    <n v="6690.3105495424243"/>
    <n v="92259.382478190048"/>
    <n v="0"/>
    <n v="92259.382478190048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x v="0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9010.1442263891222"/>
    <n v="757.99626031527509"/>
    <n v="0"/>
    <n v="0"/>
    <n v="243.1308759501826"/>
    <n v="243.1308759501826"/>
    <n v="9010.1442263891222"/>
    <n v="1.1434201965061138E-4"/>
    <n v="4.3517227478791524E-3"/>
    <n v="4.2373807282285406E-3"/>
    <n v="1.1434201965061178E-4"/>
    <n v="15.317245184861504"/>
    <n v="582.95633144737621"/>
    <n v="567.63908626251475"/>
    <n v="15.317245184861463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288330.71633936168"/>
    <n v="0"/>
    <n v="0"/>
    <n v="-288330.7163393616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4022176.448242648"/>
    <n v="1032187.9885511945"/>
    <n v="0"/>
    <n v="0"/>
    <n v="525831.61680909991"/>
    <n v="525831.61680909991"/>
    <n v="14022176.448242648"/>
    <n v="0.2661707061125983"/>
    <n v="7.3640562024485448"/>
    <n v="7.0978854963359463"/>
    <n v="0.26617070611259841"/>
    <n v="39963.202877491589"/>
    <n v="1105648.6129439329"/>
    <n v="1065685.4100664412"/>
    <n v="39963.202877491713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x v="0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77398.170570230373"/>
    <n v="0"/>
    <n v="0"/>
    <n v="0"/>
    <n v="0"/>
    <n v="0"/>
    <n v="0"/>
    <n v="152042.4675364452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64199563.75200045"/>
    <n v="0"/>
    <n v="0"/>
    <n v="0"/>
    <n v="0"/>
    <n v="0"/>
    <n v="664199563.75200045"/>
    <n v="0"/>
    <n v="0"/>
    <n v="0"/>
    <n v="664199563.75200045"/>
    <n v="0"/>
    <n v="0"/>
    <n v="0"/>
    <n v="0"/>
    <n v="0"/>
    <n v="0"/>
    <n v="0"/>
    <n v="0"/>
    <x v="0"/>
  </r>
  <r>
    <x v="4"/>
    <s v=""/>
    <n v="0"/>
    <x v="2"/>
    <s v="Vestdanmark"/>
    <n v="31103132.86838197"/>
    <n v="0"/>
    <n v="0"/>
    <n v="0"/>
    <n v="0"/>
    <n v="28561090.767180413"/>
    <n v="0"/>
    <n v="0"/>
    <n v="2542042.1012015566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9304.7742602810158"/>
    <n v="782.78259649983124"/>
    <n v="0"/>
    <n v="0"/>
    <n v="251.08121019805913"/>
    <n v="251.08121019805913"/>
    <n v="9304.7742602810158"/>
    <n v="1.1808098234404523E-4"/>
    <n v="4.4940232692116042E-3"/>
    <n v="4.3759422868675591E-3"/>
    <n v="1.1808098234404509E-4"/>
    <n v="15.818116242477725"/>
    <n v="602.01889464018177"/>
    <n v="586.20077839770397"/>
    <n v="15.818116242477799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9404263.983943939"/>
    <n v="14685227.891109958"/>
    <n v="0"/>
    <n v="0"/>
    <n v="66758.668734263701"/>
    <n v="0"/>
    <n v="0"/>
    <n v="0"/>
    <n v="14652277.424099717"/>
    <n v="14652277.424099717"/>
    <n v="66758.668734263701"/>
    <n v="26.958358925665468"/>
    <n v="27.081186531302922"/>
    <n v="0.12282760563745343"/>
    <n v="26.958358925665468"/>
    <n v="4102637.6787479213"/>
    <n v="4121330.1059935149"/>
    <n v="18692.427245593837"/>
    <n v="4102637.6787479213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835213.6153094829"/>
    <n v="927703.07225151139"/>
    <n v="868816.20672013925"/>
    <n v="0"/>
    <n v="55125.425039320733"/>
    <n v="0"/>
    <n v="983568.91129851097"/>
    <n v="0"/>
    <n v="0"/>
    <n v="0"/>
    <n v="1038694.3363378317"/>
    <n v="0"/>
    <n v="10.483805631455843"/>
    <n v="0.31782784308120526"/>
    <n v="10.165977788374637"/>
    <n v="0"/>
    <n v="882890.18588715687"/>
    <n v="46856.611283422622"/>
    <n v="836033.5746037343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7055058.2423947481"/>
    <n v="0"/>
    <n v="307470.55071854044"/>
    <n v="2901.770538547059"/>
    <n v="0"/>
    <n v="0"/>
    <n v="0"/>
    <n v="-1842021.8439412564"/>
    <n v="0"/>
    <n v="2901.770538547059"/>
    <n v="0"/>
    <n v="9.9381578466482823E-3"/>
    <n v="9.9381578466482823E-3"/>
    <n v="0"/>
    <n v="0"/>
    <n v="899.54886694958827"/>
    <n v="899.54886694958827"/>
    <n v="0"/>
    <x v="1"/>
  </r>
  <r>
    <x v="23"/>
    <s v=""/>
    <n v="0"/>
    <x v="2"/>
    <s v="Vestdanmark"/>
    <n v="0"/>
    <n v="0"/>
    <n v="0"/>
    <n v="0"/>
    <n v="0"/>
    <n v="254386.50610030405"/>
    <n v="0"/>
    <n v="0"/>
    <n v="-254386.5061003040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3754239.022753812"/>
    <n v="1012464.8169527107"/>
    <n v="0"/>
    <n v="0"/>
    <n v="515783.96335326694"/>
    <n v="515783.96335326694"/>
    <n v="13754239.022753812"/>
    <n v="0.26108468440979021"/>
    <n v="7.223342935337544"/>
    <n v="6.9622582509277535"/>
    <n v="0.26108468440979049"/>
    <n v="39199.581214848287"/>
    <n v="1084521.7469441381"/>
    <n v="1045322.1657292898"/>
    <n v="39199.581214848324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6788464.5437639551"/>
    <n v="0"/>
    <n v="0"/>
    <n v="254098.83749353027"/>
    <n v="0"/>
    <n v="0"/>
    <n v="0"/>
    <n v="-940731.75224063545"/>
    <n v="0"/>
    <n v="254098.83749353027"/>
    <n v="0"/>
    <n v="0.91221482660177378"/>
    <n v="0.91221482660177378"/>
    <n v="0"/>
    <n v="0"/>
    <n v="76229.651248059075"/>
    <n v="76229.651248059075"/>
    <n v="0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9040.40310614527"/>
    <n v="256918.92730951472"/>
    <n v="0"/>
    <n v="0"/>
    <n v="0"/>
    <n v="0"/>
    <n v="0"/>
    <n v="0"/>
    <n v="-67878.524203369452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x v="0"/>
  </r>
  <r>
    <x v="38"/>
    <s v="Græs og urter"/>
    <n v="1"/>
    <x v="2"/>
    <s v="Vestdanmark"/>
    <n v="5024574.3595380196"/>
    <n v="1009401.1411867546"/>
    <n v="0"/>
    <n v="0"/>
    <n v="21821.426523041016"/>
    <n v="0"/>
    <n v="0"/>
    <n v="0"/>
    <n v="3993351.791828224"/>
    <n v="3993351.791828224"/>
    <n v="21821.426523041016"/>
    <n v="10.838116497093473"/>
    <n v="10.897340721534068"/>
    <n v="5.9224224440594241E-2"/>
    <n v="10.838116497093473"/>
    <n v="798670.35836564482"/>
    <n v="803034.64367025299"/>
    <n v="4364.2853046082037"/>
    <n v="798670.35836564482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x v="0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x v="0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756.21807916508294"/>
    <n v="63.618346342459347"/>
    <n v="0"/>
    <n v="0"/>
    <n v="20.405884675883158"/>
    <n v="20.405884675883158"/>
    <n v="756.21807916508294"/>
    <n v="9.5966835042210911E-6"/>
    <n v="3.6523848395476796E-4"/>
    <n v="3.5564180045054685E-4"/>
    <n v="9.5966835042211114E-6"/>
    <n v="1.2855707345806389"/>
    <n v="48.927309721980862"/>
    <n v="47.641738987400224"/>
    <n v="1.285570734580638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298340.95844878507"/>
    <n v="0"/>
    <n v="0"/>
    <n v="-298340.9584487850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996612.30647950561"/>
    <n v="73361.739226963589"/>
    <n v="0"/>
    <n v="0"/>
    <n v="37372.961492981529"/>
    <n v="37372.961492981529"/>
    <n v="996612.30647950561"/>
    <n v="1.8917819378132323E-2"/>
    <n v="0.52339300279499335"/>
    <n v="0.50447518341686104"/>
    <n v="1.8917819378132306E-2"/>
    <n v="2840.3450734665962"/>
    <n v="78582.880365909019"/>
    <n v="75742.535292442422"/>
    <n v="2840.3450734665967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x v="0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9499.9401044881179"/>
    <n v="0"/>
    <n v="0"/>
    <n v="0"/>
    <n v="0"/>
    <n v="0"/>
    <n v="0"/>
    <n v="59584.98970444768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3513669.71589959"/>
    <n v="0"/>
    <n v="0"/>
    <n v="0"/>
    <n v="0"/>
    <n v="0"/>
    <n v="133513669.71589959"/>
    <n v="0"/>
    <n v="0"/>
    <n v="0"/>
    <n v="133513669.71589959"/>
    <n v="0"/>
    <n v="0"/>
    <n v="0"/>
    <n v="0"/>
    <n v="0"/>
    <n v="0"/>
    <n v="0"/>
    <n v="0"/>
    <x v="0"/>
  </r>
  <r>
    <x v="4"/>
    <s v=""/>
    <n v="0"/>
    <x v="2"/>
    <s v="Østdanmark"/>
    <n v="4878606.198274008"/>
    <n v="0"/>
    <n v="0"/>
    <n v="0"/>
    <n v="0"/>
    <n v="4479880.3720469549"/>
    <n v="0"/>
    <n v="0"/>
    <n v="398725.82622705307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780.94626915803735"/>
    <n v="65.698654389485654"/>
    <n v="0"/>
    <n v="0"/>
    <n v="21.073153294740678"/>
    <n v="21.073153294740678"/>
    <n v="780.94626915803735"/>
    <n v="9.910493262983593E-6"/>
    <n v="3.7718171418531698E-4"/>
    <n v="3.6727122092233339E-4"/>
    <n v="9.9104932629835913E-6"/>
    <n v="1.3276086575686628"/>
    <n v="50.527223614525013"/>
    <n v="49.199614956956353"/>
    <n v="1.3276086575686605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332694.7229536632"/>
    <n v="1802481.6912140576"/>
    <n v="0"/>
    <n v="0"/>
    <n v="18918.331265736317"/>
    <n v="0"/>
    <n v="0"/>
    <n v="0"/>
    <n v="6511294.7004738692"/>
    <n v="6511294.7004738692"/>
    <n v="18918.331265736317"/>
    <n v="11.979968337034361"/>
    <n v="12.014775701771907"/>
    <n v="3.4807364737546607E-2"/>
    <n v="11.979968337034361"/>
    <n v="1823162.5161326835"/>
    <n v="1828459.6488870897"/>
    <n v="5297.1327544061696"/>
    <n v="1823162.516132683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65944.52172148146"/>
    <n v="113867.33764129507"/>
    <n v="123674.90928891925"/>
    <n v="0"/>
    <n v="20808.574960679292"/>
    <n v="0"/>
    <n v="607593.69983058784"/>
    <n v="0"/>
    <n v="0"/>
    <n v="0"/>
    <n v="628402.27479126712"/>
    <n v="0"/>
    <n v="6.3999434856058874"/>
    <n v="0.11997267127879489"/>
    <n v="6.2799708143270925"/>
    <n v="0"/>
    <n v="534141.93357257708"/>
    <n v="17687.288716577397"/>
    <n v="516454.6448559996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865945.92924660421"/>
    <n v="0"/>
    <n v="268249.01834925939"/>
    <n v="884.229461452941"/>
    <n v="0"/>
    <n v="0"/>
    <n v="0"/>
    <n v="548017.62633762183"/>
    <n v="0"/>
    <n v="884.229461452941"/>
    <n v="0"/>
    <n v="3.0283621133517201E-3"/>
    <n v="3.0283621133517201E-3"/>
    <n v="0"/>
    <n v="0"/>
    <n v="274.11113305041169"/>
    <n v="274.11113305041169"/>
    <n v="0"/>
    <x v="1"/>
  </r>
  <r>
    <x v="23"/>
    <s v=""/>
    <n v="0"/>
    <x v="2"/>
    <s v="Østdanmark"/>
    <n v="0"/>
    <n v="0"/>
    <n v="0"/>
    <n v="0"/>
    <n v="0"/>
    <n v="288997.39411293587"/>
    <n v="0"/>
    <n v="0"/>
    <n v="-288997.39411293587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977568.91927108995"/>
    <n v="71959.934335232989"/>
    <n v="0"/>
    <n v="0"/>
    <n v="36658.834472665796"/>
    <n v="36658.834472665796"/>
    <n v="977568.91927108995"/>
    <n v="1.8556335421718702E-2"/>
    <n v="0.51339194666755184"/>
    <n v="0.49483561124583308"/>
    <n v="1.855633542171875E-2"/>
    <n v="2786.0714199226004"/>
    <n v="77081.309284525429"/>
    <n v="74295.237864602837"/>
    <n v="2786.0714199225913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833223.91333114507"/>
    <n v="0"/>
    <n v="0"/>
    <n v="75927.162506469729"/>
    <n v="0"/>
    <n v="0"/>
    <n v="0"/>
    <n v="914134.56471662631"/>
    <n v="0"/>
    <n v="75927.162506469729"/>
    <n v="0"/>
    <n v="0.27257851339822636"/>
    <n v="0.27257851339822636"/>
    <n v="0"/>
    <n v="0"/>
    <n v="22778.148751940917"/>
    <n v="22778.148751940917"/>
    <n v="0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8043.451099078971"/>
    <n v="31534.523402398052"/>
    <n v="0"/>
    <n v="0"/>
    <n v="0"/>
    <n v="0"/>
    <n v="0"/>
    <n v="0"/>
    <n v="26508.927696680919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x v="0"/>
  </r>
  <r>
    <x v="38"/>
    <s v="Græs og urter"/>
    <n v="1"/>
    <x v="2"/>
    <s v="Østdanmark"/>
    <n v="1571187.4884325294"/>
    <n v="123895.05219603253"/>
    <n v="0"/>
    <n v="0"/>
    <n v="6823.5734769589817"/>
    <n v="0"/>
    <n v="0"/>
    <n v="0"/>
    <n v="1440468.862759538"/>
    <n v="1440468.862759538"/>
    <n v="6823.5734769589817"/>
    <n v="3.9094901122838963"/>
    <n v="3.9280095636433021"/>
    <n v="1.8519451359405754E-2"/>
    <n v="3.9094901122838963"/>
    <n v="288093.77255190763"/>
    <n v="289458.4872472994"/>
    <n v="1364.7146953917963"/>
    <n v="288093.77255190763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x v="0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n v="0"/>
    <x v="1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9010.1442263891222"/>
    <n v="757.99626031527509"/>
    <n v="0"/>
    <n v="0"/>
    <n v="243.1308759501826"/>
    <n v="243.1308759501826"/>
    <n v="9010.1442263891222"/>
    <n v="1.1434201965061138E-4"/>
    <n v="4.3517227478791524E-3"/>
    <n v="4.2373807282285406E-3"/>
    <n v="1.1434201965061178E-4"/>
    <n v="15.317245184861504"/>
    <n v="582.95633144737621"/>
    <n v="567.63908626251475"/>
    <n v="15.317245184861463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288330.71633936168"/>
    <n v="0"/>
    <n v="0"/>
    <n v="-288330.7163393616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4022176.448242648"/>
    <n v="1032187.9885511945"/>
    <n v="0"/>
    <n v="0"/>
    <n v="525831.61680909991"/>
    <n v="525831.61680909991"/>
    <n v="14022176.448242648"/>
    <n v="0.2661707061125983"/>
    <n v="7.3640562024485448"/>
    <n v="7.0978854963359463"/>
    <n v="0.26617070611259841"/>
    <n v="39963.202877491589"/>
    <n v="1105648.6129439329"/>
    <n v="1065685.4100664412"/>
    <n v="39963.202877491713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n v="1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n v="0"/>
    <x v="1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77398.170570230373"/>
    <n v="0"/>
    <n v="0"/>
    <n v="0"/>
    <n v="0"/>
    <n v="0"/>
    <n v="0"/>
    <n v="152042.4675364452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64199563.75200045"/>
    <n v="0"/>
    <n v="0"/>
    <n v="0"/>
    <n v="0"/>
    <n v="0"/>
    <n v="664199563.75200045"/>
    <n v="0"/>
    <n v="0"/>
    <n v="0"/>
    <n v="664199563.75200045"/>
    <n v="0"/>
    <n v="0"/>
    <n v="0"/>
    <n v="0"/>
    <n v="0"/>
    <n v="0"/>
    <n v="0"/>
    <n v="0"/>
    <n v="0"/>
    <x v="1"/>
  </r>
  <r>
    <x v="4"/>
    <s v=""/>
    <n v="0"/>
    <x v="2"/>
    <s v="Vestdanmark"/>
    <n v="31103132.86838197"/>
    <n v="0"/>
    <n v="0"/>
    <n v="0"/>
    <n v="0"/>
    <n v="28561090.767180413"/>
    <n v="0"/>
    <n v="0"/>
    <n v="2542042.1012015566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9304.7742602810158"/>
    <n v="782.78259649983124"/>
    <n v="0"/>
    <n v="0"/>
    <n v="251.08121019805913"/>
    <n v="251.08121019805913"/>
    <n v="9304.7742602810158"/>
    <n v="1.1808098234404523E-4"/>
    <n v="4.4940232692116042E-3"/>
    <n v="4.3759422868675591E-3"/>
    <n v="1.1808098234404509E-4"/>
    <n v="15.818116242477725"/>
    <n v="602.01889464018177"/>
    <n v="586.20077839770397"/>
    <n v="15.81811624247779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9404263.983943939"/>
    <n v="14685227.891109958"/>
    <n v="0"/>
    <n v="0"/>
    <n v="66758.668734263701"/>
    <n v="0"/>
    <n v="0"/>
    <n v="0"/>
    <n v="14652277.424099717"/>
    <n v="14652277.424099717"/>
    <n v="66758.668734263701"/>
    <n v="26.958358925665468"/>
    <n v="27.081186531302922"/>
    <n v="0.12282760563745343"/>
    <n v="26.958358925665468"/>
    <n v="4102637.6787479213"/>
    <n v="4121330.1059935149"/>
    <n v="18692.427245593837"/>
    <n v="4102637.6787479213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835213.6153094829"/>
    <n v="927703.07225151139"/>
    <n v="868816.20672013925"/>
    <n v="0"/>
    <n v="55125.425039320733"/>
    <n v="0"/>
    <n v="983568.91129851097"/>
    <n v="0"/>
    <n v="0"/>
    <n v="0"/>
    <n v="1038694.3363378317"/>
    <n v="0"/>
    <n v="10.483805631455843"/>
    <n v="0.31782784308120526"/>
    <n v="10.165977788374637"/>
    <n v="0"/>
    <n v="882890.18588715687"/>
    <n v="46856.611283422622"/>
    <n v="836033.5746037343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7055058.2423947481"/>
    <n v="0"/>
    <n v="307470.55071854044"/>
    <n v="2901.770538547059"/>
    <n v="0"/>
    <n v="0"/>
    <n v="0"/>
    <n v="-1842021.8439412564"/>
    <n v="0"/>
    <n v="2901.770538547059"/>
    <n v="0"/>
    <n v="9.9381578466482823E-3"/>
    <n v="9.9381578466482823E-3"/>
    <n v="0"/>
    <n v="0"/>
    <n v="899.54886694958827"/>
    <n v="899.54886694958827"/>
    <n v="0"/>
    <n v="1"/>
    <x v="1"/>
  </r>
  <r>
    <x v="23"/>
    <s v=""/>
    <n v="0"/>
    <x v="2"/>
    <s v="Vestdanmark"/>
    <n v="0"/>
    <n v="0"/>
    <n v="0"/>
    <n v="0"/>
    <n v="0"/>
    <n v="254386.50610030405"/>
    <n v="0"/>
    <n v="0"/>
    <n v="-254386.5061003040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3754239.022753812"/>
    <n v="1012464.8169527107"/>
    <n v="0"/>
    <n v="0"/>
    <n v="515783.96335326694"/>
    <n v="515783.96335326694"/>
    <n v="13754239.022753812"/>
    <n v="0.26108468440979021"/>
    <n v="7.223342935337544"/>
    <n v="6.9622582509277535"/>
    <n v="0.26108468440979049"/>
    <n v="39199.581214848287"/>
    <n v="1084521.7469441381"/>
    <n v="1045322.1657292898"/>
    <n v="39199.581214848324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6788464.5437639551"/>
    <n v="0"/>
    <n v="0"/>
    <n v="254098.83749353027"/>
    <n v="0"/>
    <n v="0"/>
    <n v="0"/>
    <n v="-940731.75224063545"/>
    <n v="0"/>
    <n v="254098.83749353027"/>
    <n v="0"/>
    <n v="0.91221482660177378"/>
    <n v="0.91221482660177378"/>
    <n v="0"/>
    <n v="0"/>
    <n v="76229.651248059075"/>
    <n v="76229.651248059075"/>
    <n v="0"/>
    <n v="1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9040.40310614527"/>
    <n v="256918.92730951472"/>
    <n v="0"/>
    <n v="0"/>
    <n v="0"/>
    <n v="0"/>
    <n v="0"/>
    <n v="0"/>
    <n v="-67878.524203369452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n v="0"/>
    <x v="1"/>
  </r>
  <r>
    <x v="38"/>
    <s v="Græs og urter"/>
    <n v="1"/>
    <x v="2"/>
    <s v="Vestdanmark"/>
    <n v="5024574.3595380196"/>
    <n v="1009401.1411867546"/>
    <n v="0"/>
    <n v="0"/>
    <n v="21821.426523041016"/>
    <n v="0"/>
    <n v="0"/>
    <n v="0"/>
    <n v="3993351.791828224"/>
    <n v="3993351.791828224"/>
    <n v="21821.426523041016"/>
    <n v="10.838116497093473"/>
    <n v="10.897340721534068"/>
    <n v="5.9224224440594241E-2"/>
    <n v="10.838116497093473"/>
    <n v="798670.35836564482"/>
    <n v="803034.64367025299"/>
    <n v="4364.2853046082037"/>
    <n v="798670.35836564482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n v="0"/>
    <x v="1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n v="0"/>
    <x v="1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756.21807916508294"/>
    <n v="63.618346342459347"/>
    <n v="0"/>
    <n v="0"/>
    <n v="20.405884675883158"/>
    <n v="20.405884675883158"/>
    <n v="756.21807916508294"/>
    <n v="9.5966835042210911E-6"/>
    <n v="3.6523848395476796E-4"/>
    <n v="3.5564180045054685E-4"/>
    <n v="9.5966835042211114E-6"/>
    <n v="1.2855707345806389"/>
    <n v="48.927309721980862"/>
    <n v="47.641738987400224"/>
    <n v="1.285570734580638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298340.95844878507"/>
    <n v="0"/>
    <n v="0"/>
    <n v="-298340.9584487850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996612.30647950561"/>
    <n v="73361.739226963589"/>
    <n v="0"/>
    <n v="0"/>
    <n v="37372.961492981529"/>
    <n v="37372.961492981529"/>
    <n v="996612.30647950561"/>
    <n v="1.8917819378132323E-2"/>
    <n v="0.52339300279499335"/>
    <n v="0.50447518341686104"/>
    <n v="1.8917819378132306E-2"/>
    <n v="2840.3450734665962"/>
    <n v="78582.880365909019"/>
    <n v="75742.535292442422"/>
    <n v="2840.3450734665967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n v="1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n v="0"/>
    <x v="1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9499.9401044881179"/>
    <n v="0"/>
    <n v="0"/>
    <n v="0"/>
    <n v="0"/>
    <n v="0"/>
    <n v="0"/>
    <n v="59584.98970444768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3513669.71589959"/>
    <n v="0"/>
    <n v="0"/>
    <n v="0"/>
    <n v="0"/>
    <n v="0"/>
    <n v="133513669.71589959"/>
    <n v="0"/>
    <n v="0"/>
    <n v="0"/>
    <n v="133513669.71589959"/>
    <n v="0"/>
    <n v="0"/>
    <n v="0"/>
    <n v="0"/>
    <n v="0"/>
    <n v="0"/>
    <n v="0"/>
    <n v="0"/>
    <n v="0"/>
    <x v="1"/>
  </r>
  <r>
    <x v="4"/>
    <s v=""/>
    <n v="0"/>
    <x v="2"/>
    <s v="Østdanmark"/>
    <n v="4878606.198274008"/>
    <n v="0"/>
    <n v="0"/>
    <n v="0"/>
    <n v="0"/>
    <n v="4479880.3720469549"/>
    <n v="0"/>
    <n v="0"/>
    <n v="398725.8262270530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780.94626915803735"/>
    <n v="65.698654389485654"/>
    <n v="0"/>
    <n v="0"/>
    <n v="21.073153294740678"/>
    <n v="21.073153294740678"/>
    <n v="780.94626915803735"/>
    <n v="9.910493262983593E-6"/>
    <n v="3.7718171418531698E-4"/>
    <n v="3.6727122092233339E-4"/>
    <n v="9.9104932629835913E-6"/>
    <n v="1.3276086575686628"/>
    <n v="50.527223614525013"/>
    <n v="49.199614956956353"/>
    <n v="1.3276086575686605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332694.7229536632"/>
    <n v="1802481.6912140576"/>
    <n v="0"/>
    <n v="0"/>
    <n v="18918.331265736317"/>
    <n v="0"/>
    <n v="0"/>
    <n v="0"/>
    <n v="6511294.7004738692"/>
    <n v="6511294.7004738692"/>
    <n v="18918.331265736317"/>
    <n v="11.979968337034361"/>
    <n v="12.014775701771907"/>
    <n v="3.4807364737546607E-2"/>
    <n v="11.979968337034361"/>
    <n v="1823162.5161326835"/>
    <n v="1828459.6488870897"/>
    <n v="5297.1327544061696"/>
    <n v="1823162.516132683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65944.52172148146"/>
    <n v="113867.33764129507"/>
    <n v="123674.90928891925"/>
    <n v="0"/>
    <n v="20808.574960679292"/>
    <n v="0"/>
    <n v="607593.69983058784"/>
    <n v="0"/>
    <n v="0"/>
    <n v="0"/>
    <n v="628402.27479126712"/>
    <n v="0"/>
    <n v="6.3999434856058874"/>
    <n v="0.11997267127879489"/>
    <n v="6.2799708143270925"/>
    <n v="0"/>
    <n v="534141.93357257708"/>
    <n v="17687.288716577397"/>
    <n v="516454.6448559996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865945.92924660421"/>
    <n v="0"/>
    <n v="268249.01834925939"/>
    <n v="884.229461452941"/>
    <n v="0"/>
    <n v="0"/>
    <n v="0"/>
    <n v="548017.62633762183"/>
    <n v="0"/>
    <n v="884.229461452941"/>
    <n v="0"/>
    <n v="3.0283621133517201E-3"/>
    <n v="3.0283621133517201E-3"/>
    <n v="0"/>
    <n v="0"/>
    <n v="274.11113305041169"/>
    <n v="274.11113305041169"/>
    <n v="0"/>
    <n v="1"/>
    <x v="1"/>
  </r>
  <r>
    <x v="23"/>
    <s v=""/>
    <n v="0"/>
    <x v="2"/>
    <s v="Østdanmark"/>
    <n v="0"/>
    <n v="0"/>
    <n v="0"/>
    <n v="0"/>
    <n v="0"/>
    <n v="288997.39411293587"/>
    <n v="0"/>
    <n v="0"/>
    <n v="-288997.3941129358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977568.91927108995"/>
    <n v="71959.934335232989"/>
    <n v="0"/>
    <n v="0"/>
    <n v="36658.834472665796"/>
    <n v="36658.834472665796"/>
    <n v="977568.91927108995"/>
    <n v="1.8556335421718702E-2"/>
    <n v="0.51339194666755184"/>
    <n v="0.49483561124583308"/>
    <n v="1.855633542171875E-2"/>
    <n v="2786.0714199226004"/>
    <n v="77081.309284525429"/>
    <n v="74295.237864602837"/>
    <n v="2786.0714199225913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833223.91333114507"/>
    <n v="0"/>
    <n v="0"/>
    <n v="75927.162506469729"/>
    <n v="0"/>
    <n v="0"/>
    <n v="0"/>
    <n v="914134.56471662631"/>
    <n v="0"/>
    <n v="75927.162506469729"/>
    <n v="0"/>
    <n v="0.27257851339822636"/>
    <n v="0.27257851339822636"/>
    <n v="0"/>
    <n v="0"/>
    <n v="22778.148751940917"/>
    <n v="22778.148751940917"/>
    <n v="0"/>
    <n v="1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8043.451099078971"/>
    <n v="31534.523402398052"/>
    <n v="0"/>
    <n v="0"/>
    <n v="0"/>
    <n v="0"/>
    <n v="0"/>
    <n v="0"/>
    <n v="26508.927696680919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n v="0"/>
    <x v="1"/>
  </r>
  <r>
    <x v="38"/>
    <s v="Græs og urter"/>
    <n v="1"/>
    <x v="2"/>
    <s v="Østdanmark"/>
    <n v="1571187.4884325294"/>
    <n v="123895.05219603253"/>
    <n v="0"/>
    <n v="0"/>
    <n v="6823.5734769589817"/>
    <n v="0"/>
    <n v="0"/>
    <n v="0"/>
    <n v="1440468.862759538"/>
    <n v="1440468.862759538"/>
    <n v="6823.5734769589817"/>
    <n v="3.9094901122838963"/>
    <n v="3.9280095636433021"/>
    <n v="1.8519451359405754E-2"/>
    <n v="3.9094901122838963"/>
    <n v="288093.77255190763"/>
    <n v="289458.4872472994"/>
    <n v="1364.7146953917963"/>
    <n v="288093.77255190763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n v="0"/>
    <x v="1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n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277410.323793244"/>
    <s v="CO2 - atmosfære"/>
    <x v="0"/>
  </r>
  <r>
    <s v="Vestdanmark"/>
    <x v="1"/>
    <n v="6069868.2390794745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024.3224583613"/>
    <s v="Skov"/>
    <x v="4"/>
  </r>
  <r>
    <s v="Vestdanmark"/>
    <x v="1"/>
    <n v="-619837.3016637282"/>
    <s v="Biogasanlæg"/>
    <x v="5"/>
  </r>
  <r>
    <s v="Vestdanmark"/>
    <x v="1"/>
    <n v="0"/>
    <s v="Pyrolyseproces"/>
    <x v="6"/>
  </r>
  <r>
    <s v="Vestdanmark"/>
    <x v="2"/>
    <n v="10709492.864088481"/>
    <s v="CO2 - atmosfære"/>
    <x v="0"/>
  </r>
  <r>
    <s v="Vestdanmark"/>
    <x v="2"/>
    <n v="6044724.7524874648"/>
    <s v="Landbrug"/>
    <x v="1"/>
  </r>
  <r>
    <s v="Vestdanmark"/>
    <x v="2"/>
    <n v="3906669.7542952816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1849222.4776918571"/>
    <s v="Skov"/>
    <x v="4"/>
  </r>
  <r>
    <s v="Vestdanmark"/>
    <x v="2"/>
    <n v="-603120.62906998093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772514.1144198456"/>
    <s v="CO2 - atmosfære"/>
    <x v="0"/>
  </r>
  <r>
    <s v="Østdanmark"/>
    <x v="1"/>
    <n v="538912.0191669655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15.40557504073"/>
    <s v="Skov"/>
    <x v="4"/>
  </r>
  <r>
    <s v="Østdanmark"/>
    <x v="1"/>
    <n v="-59351.633568219971"/>
    <s v="Biogasanlæg"/>
    <x v="5"/>
  </r>
  <r>
    <s v="Østdanmark"/>
    <x v="1"/>
    <n v="0"/>
    <s v="Pyrolyseproces"/>
    <x v="6"/>
  </r>
  <r>
    <s v="Østdanmark"/>
    <x v="2"/>
    <n v="1658449.061752476"/>
    <s v="CO2 - atmosfære"/>
    <x v="0"/>
  </r>
  <r>
    <s v="Østdanmark"/>
    <x v="2"/>
    <n v="537552.33932666946"/>
    <s v="Landbrug"/>
    <x v="1"/>
  </r>
  <r>
    <s v="Østdanmark"/>
    <x v="2"/>
    <n v="1215442.66278685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378382.64581405697"/>
    <s v="Skov"/>
    <x v="4"/>
  </r>
  <r>
    <s v="Østdanmark"/>
    <x v="2"/>
    <n v="-57511.488430811616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</r>
  <r>
    <x v="4"/>
    <x v="10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9010.1442263891222"/>
    <n v="757.99626031527509"/>
    <n v="0"/>
    <n v="0"/>
    <n v="243.1308759501826"/>
    <n v="243.1308759501826"/>
    <n v="9010.1442263891222"/>
    <n v="1.1434201965061138E-4"/>
    <n v="4.3517227478791524E-3"/>
    <n v="4.2373807282285406E-3"/>
    <n v="1.1434201965061178E-4"/>
    <n v="15.317245184861504"/>
    <n v="582.95633144737621"/>
    <n v="567.63908626251475"/>
    <n v="15.317245184861463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288330.71633936168"/>
    <n v="0"/>
    <n v="0"/>
    <n v="-288330.71633936168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4022176.448242648"/>
    <n v="1032187.9885511945"/>
    <n v="0"/>
    <n v="0"/>
    <n v="525831.61680909991"/>
    <n v="525831.61680909991"/>
    <n v="14022176.448242648"/>
    <n v="0.2661707061125983"/>
    <n v="7.3640562024485448"/>
    <n v="7.0978854963359463"/>
    <n v="0.26617070611259841"/>
    <n v="39963.202877491589"/>
    <n v="1105648.6129439329"/>
    <n v="1065685.4100664412"/>
    <n v="39963.202877491713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</r>
  <r>
    <x v="47"/>
    <x v="10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29440.63810667559"/>
    <n v="77398.170570230373"/>
    <n v="0"/>
    <n v="0"/>
    <n v="0"/>
    <n v="0"/>
    <n v="0"/>
    <n v="0"/>
    <n v="152042.4675364452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64199563.75200045"/>
    <n v="0"/>
    <n v="0"/>
    <n v="0"/>
    <n v="0"/>
    <n v="0"/>
    <n v="664199563.75200045"/>
    <n v="0"/>
    <n v="0"/>
    <n v="0"/>
    <n v="664199563.75200045"/>
    <n v="0"/>
    <n v="0"/>
    <n v="0"/>
    <n v="0"/>
    <n v="0"/>
    <n v="0"/>
    <n v="0"/>
    <n v="0"/>
  </r>
  <r>
    <x v="4"/>
    <x v="10"/>
    <n v="0"/>
    <x v="2"/>
    <s v="Vestdanmark"/>
    <n v="31103132.86838197"/>
    <n v="0"/>
    <n v="0"/>
    <n v="0"/>
    <n v="0"/>
    <n v="28561090.767180413"/>
    <n v="0"/>
    <n v="0"/>
    <n v="2542042.1012015566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9304.7742602810158"/>
    <n v="782.78259649983124"/>
    <n v="0"/>
    <n v="0"/>
    <n v="251.08121019805913"/>
    <n v="251.08121019805913"/>
    <n v="9304.7742602810158"/>
    <n v="1.1808098234404523E-4"/>
    <n v="4.4940232692116042E-3"/>
    <n v="4.3759422868675591E-3"/>
    <n v="1.1808098234404509E-4"/>
    <n v="15.818116242477725"/>
    <n v="602.01889464018177"/>
    <n v="586.20077839770397"/>
    <n v="15.818116242477799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</r>
  <r>
    <x v="11"/>
    <x v="10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9404263.983943939"/>
    <n v="14685227.891109958"/>
    <n v="0"/>
    <n v="0"/>
    <n v="66758.668734263701"/>
    <n v="0"/>
    <n v="0"/>
    <n v="0"/>
    <n v="14652277.424099717"/>
    <n v="14652277.424099717"/>
    <n v="66758.668734263701"/>
    <n v="26.958358925665468"/>
    <n v="27.081186531302922"/>
    <n v="0.12282760563745343"/>
    <n v="26.958358925665468"/>
    <n v="4102637.6787479213"/>
    <n v="4121330.1059935149"/>
    <n v="18692.427245593837"/>
    <n v="4102637.6787479213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</r>
  <r>
    <x v="16"/>
    <x v="5"/>
    <n v="1"/>
    <x v="2"/>
    <s v="Vestdanmark"/>
    <n v="2835213.6153094829"/>
    <n v="927703.07225151139"/>
    <n v="868816.20672013925"/>
    <n v="0"/>
    <n v="55125.425039320733"/>
    <n v="0"/>
    <n v="983568.91129851097"/>
    <n v="0"/>
    <n v="0"/>
    <n v="0"/>
    <n v="1038694.3363378317"/>
    <n v="0"/>
    <n v="10.483805631455843"/>
    <n v="0.31782784308120526"/>
    <n v="10.165977788374637"/>
    <n v="0"/>
    <n v="882890.18588715687"/>
    <n v="46856.611283422622"/>
    <n v="836033.5746037343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</r>
  <r>
    <x v="21"/>
    <x v="10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</r>
  <r>
    <x v="22"/>
    <x v="5"/>
    <n v="1"/>
    <x v="2"/>
    <s v="Vestdanmark"/>
    <n v="5523408.7197105791"/>
    <n v="7055058.2423947481"/>
    <n v="0"/>
    <n v="307470.55071854044"/>
    <n v="2901.770538547059"/>
    <n v="0"/>
    <n v="0"/>
    <n v="0"/>
    <n v="-1842021.8439412564"/>
    <n v="0"/>
    <n v="2901.770538547059"/>
    <n v="0"/>
    <n v="9.9381578466482823E-3"/>
    <n v="9.9381578466482823E-3"/>
    <n v="0"/>
    <n v="0"/>
    <n v="899.54886694958827"/>
    <n v="899.54886694958827"/>
    <n v="0"/>
  </r>
  <r>
    <x v="23"/>
    <x v="10"/>
    <n v="0"/>
    <x v="2"/>
    <s v="Vestdanmark"/>
    <n v="0"/>
    <n v="0"/>
    <n v="0"/>
    <n v="0"/>
    <n v="0"/>
    <n v="254386.50610030405"/>
    <n v="0"/>
    <n v="0"/>
    <n v="-254386.50610030405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3754239.022753812"/>
    <n v="1012464.8169527107"/>
    <n v="0"/>
    <n v="0"/>
    <n v="515783.96335326694"/>
    <n v="515783.96335326694"/>
    <n v="13754239.022753812"/>
    <n v="0.26108468440979021"/>
    <n v="7.223342935337544"/>
    <n v="6.9622582509277535"/>
    <n v="0.26108468440979049"/>
    <n v="39199.581214848287"/>
    <n v="1084521.7469441381"/>
    <n v="1045322.1657292898"/>
    <n v="39199.581214848324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6101831.6290168501"/>
    <n v="6788464.5437639551"/>
    <n v="0"/>
    <n v="0"/>
    <n v="254098.83749353027"/>
    <n v="0"/>
    <n v="0"/>
    <n v="0"/>
    <n v="-940731.75224063545"/>
    <n v="0"/>
    <n v="254098.83749353027"/>
    <n v="0"/>
    <n v="0.91221482660177378"/>
    <n v="0.91221482660177378"/>
    <n v="0"/>
    <n v="0"/>
    <n v="76229.651248059075"/>
    <n v="76229.651248059075"/>
    <n v="0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</r>
  <r>
    <x v="31"/>
    <x v="7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9040.40310614527"/>
    <n v="256918.92730951472"/>
    <n v="0"/>
    <n v="0"/>
    <n v="0"/>
    <n v="0"/>
    <n v="0"/>
    <n v="0"/>
    <n v="-67878.524203369452"/>
    <n v="0"/>
    <n v="0"/>
    <n v="0"/>
    <n v="0"/>
    <n v="0"/>
    <n v="0"/>
    <n v="0"/>
    <n v="0"/>
    <n v="0"/>
    <n v="0"/>
  </r>
  <r>
    <x v="37"/>
    <x v="9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</r>
  <r>
    <x v="38"/>
    <x v="4"/>
    <n v="1"/>
    <x v="2"/>
    <s v="Vestdanmark"/>
    <n v="5024574.3595380196"/>
    <n v="1009401.1411867546"/>
    <n v="0"/>
    <n v="0"/>
    <n v="21821.426523041016"/>
    <n v="0"/>
    <n v="0"/>
    <n v="0"/>
    <n v="3993351.791828224"/>
    <n v="3993351.791828224"/>
    <n v="21821.426523041016"/>
    <n v="10.838116497093473"/>
    <n v="10.897340721534068"/>
    <n v="5.9224224440594241E-2"/>
    <n v="10.838116497093473"/>
    <n v="798670.35836564482"/>
    <n v="803034.64367025299"/>
    <n v="4364.2853046082037"/>
    <n v="798670.35836564482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</r>
  <r>
    <x v="47"/>
    <x v="10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</r>
  <r>
    <x v="4"/>
    <x v="10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756.21807916508294"/>
    <n v="63.618346342459347"/>
    <n v="0"/>
    <n v="0"/>
    <n v="20.405884675883158"/>
    <n v="20.405884675883158"/>
    <n v="756.21807916508294"/>
    <n v="9.5966835042210911E-6"/>
    <n v="3.6523848395476796E-4"/>
    <n v="3.5564180045054685E-4"/>
    <n v="9.5966835042211114E-6"/>
    <n v="1.2855707345806389"/>
    <n v="48.927309721980862"/>
    <n v="47.641738987400224"/>
    <n v="1.285570734580638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298340.95844878507"/>
    <n v="0"/>
    <n v="0"/>
    <n v="-298340.95844878507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996612.30647950561"/>
    <n v="73361.739226963589"/>
    <n v="0"/>
    <n v="0"/>
    <n v="37372.961492981529"/>
    <n v="37372.961492981529"/>
    <n v="996612.30647950561"/>
    <n v="1.8917819378132323E-2"/>
    <n v="0.52339300279499335"/>
    <n v="0.50447518341686104"/>
    <n v="1.8917819378132306E-2"/>
    <n v="2840.3450734665962"/>
    <n v="78582.880365909019"/>
    <n v="75742.535292442422"/>
    <n v="2840.3450734665967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</r>
  <r>
    <x v="47"/>
    <x v="10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69084.929808935805"/>
    <n v="9499.9401044881179"/>
    <n v="0"/>
    <n v="0"/>
    <n v="0"/>
    <n v="0"/>
    <n v="0"/>
    <n v="0"/>
    <n v="59584.98970444768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3513669.71589959"/>
    <n v="0"/>
    <n v="0"/>
    <n v="0"/>
    <n v="0"/>
    <n v="0"/>
    <n v="133513669.71589959"/>
    <n v="0"/>
    <n v="0"/>
    <n v="0"/>
    <n v="133513669.71589959"/>
    <n v="0"/>
    <n v="0"/>
    <n v="0"/>
    <n v="0"/>
    <n v="0"/>
    <n v="0"/>
    <n v="0"/>
    <n v="0"/>
  </r>
  <r>
    <x v="4"/>
    <x v="10"/>
    <n v="0"/>
    <x v="2"/>
    <s v="Østdanmark"/>
    <n v="4878606.198274008"/>
    <n v="0"/>
    <n v="0"/>
    <n v="0"/>
    <n v="0"/>
    <n v="4479880.3720469549"/>
    <n v="0"/>
    <n v="0"/>
    <n v="398725.82622705307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780.94626915803735"/>
    <n v="65.698654389485654"/>
    <n v="0"/>
    <n v="0"/>
    <n v="21.073153294740678"/>
    <n v="21.073153294740678"/>
    <n v="780.94626915803735"/>
    <n v="9.910493262983593E-6"/>
    <n v="3.7718171418531698E-4"/>
    <n v="3.6727122092233339E-4"/>
    <n v="9.9104932629835913E-6"/>
    <n v="1.3276086575686628"/>
    <n v="50.527223614525013"/>
    <n v="49.199614956956353"/>
    <n v="1.3276086575686605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</r>
  <r>
    <x v="11"/>
    <x v="10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332694.7229536632"/>
    <n v="1802481.6912140576"/>
    <n v="0"/>
    <n v="0"/>
    <n v="18918.331265736317"/>
    <n v="0"/>
    <n v="0"/>
    <n v="0"/>
    <n v="6511294.7004738692"/>
    <n v="6511294.7004738692"/>
    <n v="18918.331265736317"/>
    <n v="11.979968337034361"/>
    <n v="12.014775701771907"/>
    <n v="3.4807364737546607E-2"/>
    <n v="11.979968337034361"/>
    <n v="1823162.5161326835"/>
    <n v="1828459.6488870897"/>
    <n v="5297.1327544061696"/>
    <n v="1823162.516132683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</r>
  <r>
    <x v="16"/>
    <x v="5"/>
    <n v="1"/>
    <x v="2"/>
    <s v="Østdanmark"/>
    <n v="865944.52172148146"/>
    <n v="113867.33764129507"/>
    <n v="123674.90928891925"/>
    <n v="0"/>
    <n v="20808.574960679292"/>
    <n v="0"/>
    <n v="607593.69983058784"/>
    <n v="0"/>
    <n v="0"/>
    <n v="0"/>
    <n v="628402.27479126712"/>
    <n v="0"/>
    <n v="6.3999434856058874"/>
    <n v="0.11997267127879489"/>
    <n v="6.2799708143270925"/>
    <n v="0"/>
    <n v="534141.93357257708"/>
    <n v="17687.288716577397"/>
    <n v="516454.6448559996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</r>
  <r>
    <x v="21"/>
    <x v="10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</r>
  <r>
    <x v="22"/>
    <x v="5"/>
    <n v="1"/>
    <x v="2"/>
    <s v="Østdanmark"/>
    <n v="1683096.8033949384"/>
    <n v="865945.92924660421"/>
    <n v="0"/>
    <n v="268249.01834925939"/>
    <n v="884.229461452941"/>
    <n v="0"/>
    <n v="0"/>
    <n v="0"/>
    <n v="548017.62633762183"/>
    <n v="0"/>
    <n v="884.229461452941"/>
    <n v="0"/>
    <n v="3.0283621133517201E-3"/>
    <n v="3.0283621133517201E-3"/>
    <n v="0"/>
    <n v="0"/>
    <n v="274.11113305041169"/>
    <n v="274.11113305041169"/>
    <n v="0"/>
  </r>
  <r>
    <x v="23"/>
    <x v="10"/>
    <n v="0"/>
    <x v="2"/>
    <s v="Østdanmark"/>
    <n v="0"/>
    <n v="0"/>
    <n v="0"/>
    <n v="0"/>
    <n v="0"/>
    <n v="288997.39411293587"/>
    <n v="0"/>
    <n v="0"/>
    <n v="-288997.39411293587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977568.91927108995"/>
    <n v="71959.934335232989"/>
    <n v="0"/>
    <n v="0"/>
    <n v="36658.834472665796"/>
    <n v="36658.834472665796"/>
    <n v="977568.91927108995"/>
    <n v="1.8556335421718702E-2"/>
    <n v="0.51339194666755184"/>
    <n v="0.49483561124583308"/>
    <n v="1.855633542171875E-2"/>
    <n v="2786.0714199226004"/>
    <n v="77081.309284525429"/>
    <n v="74295.237864602837"/>
    <n v="2786.0714199225913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1823285.6405542411"/>
    <n v="833223.91333114507"/>
    <n v="0"/>
    <n v="0"/>
    <n v="75927.162506469729"/>
    <n v="0"/>
    <n v="0"/>
    <n v="0"/>
    <n v="914134.56471662631"/>
    <n v="0"/>
    <n v="75927.162506469729"/>
    <n v="0"/>
    <n v="0.27257851339822636"/>
    <n v="0.27257851339822636"/>
    <n v="0"/>
    <n v="0"/>
    <n v="22778.148751940917"/>
    <n v="22778.148751940917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</r>
  <r>
    <x v="31"/>
    <x v="7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8043.451099078971"/>
    <n v="31534.523402398052"/>
    <n v="0"/>
    <n v="0"/>
    <n v="0"/>
    <n v="0"/>
    <n v="0"/>
    <n v="0"/>
    <n v="26508.927696680919"/>
    <n v="0"/>
    <n v="0"/>
    <n v="0"/>
    <n v="0"/>
    <n v="0"/>
    <n v="0"/>
    <n v="0"/>
    <n v="0"/>
    <n v="0"/>
    <n v="0"/>
  </r>
  <r>
    <x v="37"/>
    <x v="9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</r>
  <r>
    <x v="38"/>
    <x v="4"/>
    <n v="1"/>
    <x v="2"/>
    <s v="Østdanmark"/>
    <n v="1571187.4884325294"/>
    <n v="123895.05219603253"/>
    <n v="0"/>
    <n v="0"/>
    <n v="6823.5734769589817"/>
    <n v="0"/>
    <n v="0"/>
    <n v="0"/>
    <n v="1440468.862759538"/>
    <n v="1440468.862759538"/>
    <n v="6823.5734769589817"/>
    <n v="3.9094901122838963"/>
    <n v="3.9280095636433021"/>
    <n v="1.8519451359405754E-2"/>
    <n v="3.9094901122838963"/>
    <n v="288093.77255190763"/>
    <n v="289458.4872472994"/>
    <n v="1364.7146953917963"/>
    <n v="288093.77255190763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</r>
  <r>
    <x v="47"/>
    <x v="10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50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2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2"/>
    </i>
    <i>
      <x v="13"/>
    </i>
    <i>
      <x v="15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3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4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3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51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5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ht="30" x14ac:dyDescent="0.25">
      <c r="A2" s="6" t="s">
        <v>0</v>
      </c>
      <c r="B2" s="227" t="s">
        <v>338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abSelected="1" topLeftCell="A3" zoomScale="60" zoomScaleNormal="60" workbookViewId="0">
      <selection activeCell="P32" sqref="P3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: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5600*11</f>
        <v>61600</v>
      </c>
      <c r="D5" s="9">
        <f>C5+11*5600</f>
        <v>123200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2276436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685100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1736252.1166384006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545883.48119174724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540183.88336159918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139216.51880825273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85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1.1499999999999999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45538.812624915096</v>
      </c>
      <c r="E28" s="236">
        <f>SUM(E24:E25)</f>
        <v>45538.812624915096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386630.63184269518</v>
      </c>
      <c r="K47" s="12"/>
    </row>
    <row r="48" spans="2:11" x14ac:dyDescent="0.25">
      <c r="B48" s="25" t="s">
        <v>245</v>
      </c>
      <c r="C48" s="109"/>
      <c r="D48" s="115">
        <f>1%*Arealanvendelse!M6</f>
        <v>23380.36</v>
      </c>
      <c r="E48" s="115">
        <f>1%*Arealanvendelse!P6</f>
        <v>22764.36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0</v>
      </c>
      <c r="D13" s="8">
        <v>0</v>
      </c>
    </row>
    <row r="14" spans="1:4" x14ac:dyDescent="0.25">
      <c r="A14" s="2" t="s">
        <v>179</v>
      </c>
      <c r="B14" s="7">
        <v>0</v>
      </c>
      <c r="C14" s="8">
        <v>1</v>
      </c>
      <c r="D14" s="8">
        <v>1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0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0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0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0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0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0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0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0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71749.813989422139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47422.702543659834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11653.242013147261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8739.3026300852289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7174.9813989422137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47422.702543659834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1165.324201314726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8739.3026300852289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71749.813989422139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11653.242013147261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7174.9813989422137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1165.324201314726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0</v>
      </c>
      <c r="D49" s="109">
        <f t="shared" si="0"/>
        <v>0</v>
      </c>
      <c r="E49" s="109">
        <f t="shared" si="0"/>
        <v>0</v>
      </c>
      <c r="F49" s="109">
        <f t="shared" si="0"/>
        <v>0</v>
      </c>
      <c r="G49" s="109">
        <f t="shared" si="0"/>
        <v>0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78924.795388364349</v>
      </c>
      <c r="D50" s="109">
        <f t="shared" si="0"/>
        <v>173770.20047568402</v>
      </c>
      <c r="E50" s="109">
        <f t="shared" si="0"/>
        <v>0</v>
      </c>
      <c r="F50" s="109">
        <f t="shared" si="0"/>
        <v>12818.566214461987</v>
      </c>
      <c r="G50" s="109">
        <f t="shared" si="0"/>
        <v>30297.171474632443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203992.87441208248</v>
      </c>
      <c r="J5" s="10">
        <f>SUMIFS('Resultat-Produktion &amp; forbrug'!$N$3:$N$1000,'Resultat-Produktion &amp; forbrug'!$A$3:$A$1000,Adfærd!$G5,'Resultat-Produktion &amp; forbrug'!$D$3:$D$1000,Adfærd!J$4)</f>
        <v>211627.45724089289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0.9</v>
      </c>
      <c r="D3" s="181">
        <f t="shared" ref="D3:D5" si="0">C3</f>
        <v>0.9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0.92359551211194857</v>
      </c>
      <c r="AC3" s="126">
        <f>SUM(E12:E14)/SUM(E12:E15)</f>
        <v>0.91827054490109961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0.9</v>
      </c>
      <c r="D4" s="181">
        <f t="shared" si="0"/>
        <v>0.9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0.9</v>
      </c>
      <c r="D5" s="181">
        <f t="shared" si="0"/>
        <v>0.9</v>
      </c>
      <c r="E5" s="158"/>
      <c r="F5" s="174"/>
      <c r="G5" s="175"/>
      <c r="H5" s="127"/>
      <c r="N5" s="250"/>
      <c r="Z5" s="125" t="s">
        <v>136</v>
      </c>
      <c r="AA5" s="147">
        <f t="shared" ref="AA5:AC6" si="1">C12/C$29</f>
        <v>0.22267199142680771</v>
      </c>
      <c r="AB5" s="147">
        <f t="shared" si="1"/>
        <v>0.46579769502117996</v>
      </c>
      <c r="AC5" s="147">
        <f t="shared" si="1"/>
        <v>0.45593257985793972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f t="shared" ref="C6" si="2">B6</f>
        <v>0.37924884410556858</v>
      </c>
      <c r="D6" s="181">
        <f>C6</f>
        <v>0.37924884410556858</v>
      </c>
      <c r="E6" s="158"/>
      <c r="F6" s="174"/>
      <c r="G6" s="175"/>
      <c r="H6" s="128"/>
      <c r="Z6" s="129" t="s">
        <v>137</v>
      </c>
      <c r="AA6" s="147">
        <f t="shared" si="1"/>
        <v>0.33257225498473725</v>
      </c>
      <c r="AB6" s="147">
        <f t="shared" si="1"/>
        <v>0.37530946113271868</v>
      </c>
      <c r="AC6" s="147">
        <f t="shared" si="1"/>
        <v>0.37638400456451676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f>C7</f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18639863.655037832</v>
      </c>
      <c r="E12" s="133">
        <f>SUMIFS('Resultater - Danmark'!J$3:J$482,'Resultater - Danmark'!$F$3:$F$482,$A12)*D3</f>
        <v>17845368.345954176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2071095.9616708681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1982818.70510602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3">C12/C$29</f>
        <v>0.22267199142680771</v>
      </c>
      <c r="K12" s="134">
        <f t="shared" ref="K12:K28" si="4">D12/D$29</f>
        <v>0.46579769502117996</v>
      </c>
      <c r="L12" s="134">
        <f t="shared" ref="L12:L28" si="5">E12/E$29</f>
        <v>0.45593257985793972</v>
      </c>
      <c r="M12" s="125" t="s">
        <v>214</v>
      </c>
      <c r="N12" s="125">
        <f>S12+2/3*T12</f>
        <v>2914869.3333333335</v>
      </c>
      <c r="O12" s="152">
        <f t="shared" ref="O12:O16" si="6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15018788.754722152</v>
      </c>
      <c r="E13" s="136">
        <f>SUMIFS('Resultater - Danmark'!J$3:J$482,'Resultater - Danmark'!$F$3:$F$482,$A13)*D4</f>
        <v>14731807.942024903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1668754.3060802389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1636867.5491138771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3"/>
        <v>0.33257225498473725</v>
      </c>
      <c r="K13" s="137">
        <f t="shared" si="4"/>
        <v>0.37530946113271868</v>
      </c>
      <c r="L13" s="137">
        <f t="shared" si="5"/>
        <v>0.37638400456451676</v>
      </c>
      <c r="M13" s="125" t="s">
        <v>215</v>
      </c>
      <c r="N13" s="125">
        <f>S13+1/3*T13</f>
        <v>4353509.666666667</v>
      </c>
      <c r="O13" s="152">
        <f t="shared" si="6"/>
        <v>0</v>
      </c>
      <c r="P13" s="141">
        <f t="shared" ref="P13:P28" si="7">C13*I13</f>
        <v>61384486.300000004</v>
      </c>
      <c r="Q13" s="125">
        <f t="shared" ref="Q13:Q28" si="8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9766.3623055542048</v>
      </c>
      <c r="E14" s="136">
        <f>SUMIFS('Resultater - Danmark'!J$3:J$482,'Resultater - Danmark'!$F$3:$F$482,$A14)*D5</f>
        <v>10085.720529439053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1085.1513672837991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1120.6356143821176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3"/>
        <v>3.3929399119623192E-4</v>
      </c>
      <c r="K14" s="137">
        <f t="shared" si="4"/>
        <v>2.4405484583248969E-4</v>
      </c>
      <c r="L14" s="137">
        <f t="shared" si="5"/>
        <v>2.5768078817806327E-4</v>
      </c>
      <c r="M14" s="129" t="s">
        <v>146</v>
      </c>
      <c r="N14" s="130">
        <v>11417</v>
      </c>
      <c r="O14" s="152">
        <f t="shared" si="6"/>
        <v>6975.5</v>
      </c>
      <c r="P14" s="141">
        <f t="shared" si="7"/>
        <v>58183.65</v>
      </c>
      <c r="Q14" s="125">
        <f t="shared" si="8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2785221.7345641684</v>
      </c>
      <c r="E15" s="136">
        <f>SUMIFS('Resultater - Danmark'!J$3:J$482,'Resultater - Danmark'!$F$3:$F$482,$A15)*D6</f>
        <v>2900386.1464459291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3"/>
        <v>0.20387691989197443</v>
      </c>
      <c r="K15" s="137">
        <f t="shared" si="4"/>
        <v>6.9600823701961204E-2</v>
      </c>
      <c r="L15" s="137">
        <f t="shared" si="5"/>
        <v>7.4102171089851718E-2</v>
      </c>
      <c r="M15" s="139" t="s">
        <v>301</v>
      </c>
      <c r="N15" s="140">
        <f>SUM(S15:Z15)</f>
        <v>2668834</v>
      </c>
      <c r="O15" s="152">
        <f t="shared" si="6"/>
        <v>0</v>
      </c>
      <c r="P15" s="141">
        <f>C15*I15</f>
        <v>37096792.600000001</v>
      </c>
      <c r="Q15" s="125">
        <f t="shared" si="8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1806588.5568306167</v>
      </c>
      <c r="E16" s="136">
        <f>SUMIFS('Resultater - Danmark'!J$3:J$482,'Resultater - Danmark'!$F$3:$F$482,$A16)*D7</f>
        <v>1893021.5008227446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3"/>
        <v>5.7835206554718369E-2</v>
      </c>
      <c r="K16" s="137">
        <f t="shared" si="4"/>
        <v>4.5145436747650571E-2</v>
      </c>
      <c r="L16" s="137">
        <f t="shared" si="5"/>
        <v>4.8364940407203134E-2</v>
      </c>
      <c r="M16" s="248" t="s">
        <v>157</v>
      </c>
      <c r="N16" s="249">
        <v>757087</v>
      </c>
      <c r="O16" s="152">
        <f t="shared" si="6"/>
        <v>0</v>
      </c>
      <c r="P16" s="141">
        <f t="shared" si="7"/>
        <v>45425220</v>
      </c>
      <c r="Q16" s="125">
        <f t="shared" si="8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3"/>
        <v>0</v>
      </c>
      <c r="K17" s="137">
        <f t="shared" si="4"/>
        <v>0</v>
      </c>
      <c r="L17" s="137">
        <f t="shared" si="5"/>
        <v>0</v>
      </c>
      <c r="M17" s="125" t="s">
        <v>150</v>
      </c>
      <c r="N17" s="141"/>
      <c r="O17" s="152"/>
      <c r="P17" s="141">
        <f t="shared" si="7"/>
        <v>0</v>
      </c>
      <c r="Q17" s="125">
        <f t="shared" si="8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9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3"/>
        <v>5.5699827755684647E-2</v>
      </c>
      <c r="K18" s="137">
        <f t="shared" si="4"/>
        <v>9.0959909974132423E-3</v>
      </c>
      <c r="L18" s="137">
        <f t="shared" si="5"/>
        <v>9.4474587642990361E-3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3"/>
        <v>7.6059758980185313E-2</v>
      </c>
      <c r="K19" s="137">
        <f t="shared" si="4"/>
        <v>1.8141453570543815E-2</v>
      </c>
      <c r="L19" s="137">
        <f t="shared" si="5"/>
        <v>1.8472795780345073E-2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1740639.4515213668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1591162.6111290995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3"/>
        <v>5.8007317184497744E-3</v>
      </c>
      <c r="K20" s="137">
        <f t="shared" si="4"/>
        <v>1.8975397475173481E-3</v>
      </c>
      <c r="L20" s="137">
        <f t="shared" si="5"/>
        <v>1.9400431444040137E-3</v>
      </c>
      <c r="M20" s="125" t="s">
        <v>147</v>
      </c>
      <c r="N20" s="141">
        <v>75934</v>
      </c>
      <c r="O20" s="152">
        <f t="shared" ref="O20:O28" si="10">N20-C20</f>
        <v>0</v>
      </c>
      <c r="P20" s="141">
        <f t="shared" si="7"/>
        <v>12195000.4</v>
      </c>
      <c r="Q20" s="125">
        <f t="shared" si="8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11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-1487098.8105524187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-1294004.2176036355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3"/>
        <v>2.8921919411661239E-4</v>
      </c>
      <c r="K21" s="137">
        <f t="shared" si="4"/>
        <v>9.4609601550039248E-5</v>
      </c>
      <c r="L21" s="137">
        <f t="shared" si="5"/>
        <v>9.6728782162319856E-5</v>
      </c>
      <c r="M21" s="125" t="s">
        <v>158</v>
      </c>
      <c r="N21" s="141">
        <v>3786</v>
      </c>
      <c r="O21" s="152">
        <f t="shared" si="10"/>
        <v>0</v>
      </c>
      <c r="P21" s="141">
        <f t="shared" si="7"/>
        <v>361184.4</v>
      </c>
      <c r="Q21" s="125">
        <f t="shared" si="8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11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19750552.226950251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21163572.124573585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3"/>
        <v>6.5450166123425784E-3</v>
      </c>
      <c r="K22" s="137">
        <f t="shared" si="4"/>
        <v>2.1410107849980753E-3</v>
      </c>
      <c r="L22" s="137">
        <f t="shared" si="5"/>
        <v>2.1889677415005489E-3</v>
      </c>
      <c r="M22" s="165" t="s">
        <v>302</v>
      </c>
      <c r="N22" s="166">
        <f>SUM(S22:Z22)</f>
        <v>85677</v>
      </c>
      <c r="O22" s="152">
        <f t="shared" si="10"/>
        <v>0</v>
      </c>
      <c r="P22" s="141">
        <f t="shared" si="7"/>
        <v>4390946.25</v>
      </c>
      <c r="Q22" s="125">
        <f t="shared" si="8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11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-317761.76118371822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-26597.187524009496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3"/>
        <v>2.5211266180012976E-2</v>
      </c>
      <c r="K23" s="137">
        <f t="shared" si="4"/>
        <v>8.2471284630621366E-3</v>
      </c>
      <c r="L23" s="137">
        <f t="shared" si="5"/>
        <v>8.4318576497363368E-3</v>
      </c>
      <c r="M23" s="125" t="s">
        <v>148</v>
      </c>
      <c r="N23" s="141">
        <v>330026</v>
      </c>
      <c r="O23" s="152">
        <f t="shared" si="10"/>
        <v>0</v>
      </c>
      <c r="P23" s="141">
        <f t="shared" si="7"/>
        <v>33002600</v>
      </c>
      <c r="Q23" s="125">
        <f t="shared" si="8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11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5269960.0222014301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5433820.6545877624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3"/>
        <v>2.1882418952642265E-3</v>
      </c>
      <c r="K24" s="137">
        <f t="shared" si="4"/>
        <v>7.15819344004457E-4</v>
      </c>
      <c r="L24" s="137">
        <f t="shared" si="5"/>
        <v>7.3185313392489502E-4</v>
      </c>
      <c r="M24" s="125" t="s">
        <v>149</v>
      </c>
      <c r="N24" s="141">
        <v>28645</v>
      </c>
      <c r="O24" s="152">
        <f t="shared" si="10"/>
        <v>0</v>
      </c>
      <c r="P24" s="141">
        <f t="shared" si="7"/>
        <v>2165562</v>
      </c>
      <c r="Q24" s="125">
        <f t="shared" si="8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11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3"/>
        <v>5.9585570895657067E-6</v>
      </c>
      <c r="K25" s="137">
        <f t="shared" si="4"/>
        <v>1.9491677022987484E-6</v>
      </c>
      <c r="L25" s="137">
        <f t="shared" si="5"/>
        <v>1.9928275247387611E-6</v>
      </c>
      <c r="M25" s="125" t="s">
        <v>164</v>
      </c>
      <c r="N25" s="141">
        <v>78</v>
      </c>
      <c r="O25" s="152">
        <f t="shared" si="10"/>
        <v>0</v>
      </c>
      <c r="P25" s="141">
        <f t="shared" si="7"/>
        <v>3689.3999999999996</v>
      </c>
      <c r="Q25" s="125">
        <f t="shared" si="8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11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3"/>
        <v>1.090431225742036E-2</v>
      </c>
      <c r="K26" s="137">
        <f t="shared" si="4"/>
        <v>3.5670268738657428E-3</v>
      </c>
      <c r="L26" s="137">
        <f t="shared" si="5"/>
        <v>3.6469254684135927E-3</v>
      </c>
      <c r="M26" s="125" t="s">
        <v>162</v>
      </c>
      <c r="N26" s="125">
        <v>142742</v>
      </c>
      <c r="O26" s="152">
        <f t="shared" si="10"/>
        <v>0</v>
      </c>
      <c r="P26" s="141">
        <f t="shared" si="7"/>
        <v>60431253.120000005</v>
      </c>
      <c r="Q26" s="125">
        <f t="shared" si="8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11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3"/>
        <v>0</v>
      </c>
      <c r="K27" s="137">
        <f t="shared" si="4"/>
        <v>0</v>
      </c>
      <c r="L27" s="137">
        <f t="shared" si="5"/>
        <v>0</v>
      </c>
      <c r="M27" s="125" t="s">
        <v>150</v>
      </c>
      <c r="O27" s="152">
        <f t="shared" si="10"/>
        <v>0</v>
      </c>
      <c r="P27" s="141">
        <f t="shared" si="7"/>
        <v>0</v>
      </c>
      <c r="Q27" s="125">
        <f t="shared" si="8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11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3"/>
        <v>0</v>
      </c>
      <c r="K28" s="143">
        <f t="shared" si="4"/>
        <v>0</v>
      </c>
      <c r="L28" s="143">
        <f t="shared" si="5"/>
        <v>0</v>
      </c>
      <c r="M28" s="125" t="s">
        <v>150</v>
      </c>
      <c r="O28" s="152">
        <f t="shared" si="10"/>
        <v>0</v>
      </c>
      <c r="P28" s="141">
        <f t="shared" si="7"/>
        <v>0</v>
      </c>
      <c r="Q28" s="125">
        <f t="shared" si="8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40017080.06346032</v>
      </c>
      <c r="E29" s="145">
        <f>SUM(E12:E28)</f>
        <v>39140366.655777194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8.7784679803929122E-2</v>
      </c>
      <c r="E30" s="149">
        <f>SUMPRODUCT(E12:E28,$H$12:$H$28)/E29</f>
        <v>8.9028214553125595E-2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1.1198568193614708E-2</v>
      </c>
      <c r="E31" s="149">
        <f>SUM(E21:E24)/E29</f>
        <v>1.1449407307324102E-2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804255168.19851792</v>
      </c>
      <c r="E32" s="125">
        <f>SUMPRODUCT(E12:E28,$I$12:$I$28)</f>
        <v>797713233.4678998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28.872760538326798</v>
      </c>
      <c r="E33" s="125">
        <f>E32*[1]Energiindhold!$C$10</f>
        <v>28.637905081497607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2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16280819.829951556</v>
      </c>
      <c r="E39" s="133">
        <f>SUMIFS('Resultater - Vestdanmark'!J$3:J$482,'Resultater - Vestdanmark'!$F$3:$F$482,$A39)*D3</f>
        <v>15586875.108985925</v>
      </c>
      <c r="F39" s="134">
        <f>VLOOKUP(A39,[1]Biogasudbytte!$A$2:$C$18,3,FALSE)</f>
        <v>0.05</v>
      </c>
      <c r="G39" s="135">
        <f t="shared" ref="G39:G55" si="13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2359043.8250862737</v>
      </c>
      <c r="M39" s="133">
        <f>SUMIFS('Resultater - Østdanmark'!J$3:J$482,'Resultater - Østdanmark'!$F$3:$F$482,$A39)*D3</f>
        <v>2258493.2369682519</v>
      </c>
      <c r="N39" s="134">
        <f>VLOOKUP(I39,[1]Biogasudbytte!$A$2:$C$18,3,FALSE)</f>
        <v>0.05</v>
      </c>
      <c r="O39" s="135">
        <f t="shared" ref="O39:O55" si="14">I12</f>
        <v>12</v>
      </c>
    </row>
    <row r="40" spans="1:15" hidden="1" x14ac:dyDescent="0.2">
      <c r="A40" s="127" t="str">
        <f t="shared" si="12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14022176.448242648</v>
      </c>
      <c r="E40" s="136">
        <f>SUMIFS('Resultater - Vestdanmark'!J$3:J$482,'Resultater - Vestdanmark'!$F$3:$F$482,$A40)*D4</f>
        <v>13754239.022753812</v>
      </c>
      <c r="F40" s="137">
        <f>VLOOKUP(A40,[1]Biogasudbytte!$A$2:$C$18,3,FALSE)</f>
        <v>7.5999999999999998E-2</v>
      </c>
      <c r="G40" s="138">
        <f t="shared" si="13"/>
        <v>14.1</v>
      </c>
      <c r="I40" s="127" t="str">
        <f t="shared" ref="I40:I55" si="15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996612.30647950561</v>
      </c>
      <c r="M40" s="136">
        <f>SUMIFS('Resultater - Østdanmark'!J$3:J$482,'Resultater - Østdanmark'!$F$3:$F$482,$A40)*D4</f>
        <v>977568.91927108995</v>
      </c>
      <c r="N40" s="137">
        <f>VLOOKUP(I40,[1]Biogasudbytte!$A$2:$C$18,3,FALSE)</f>
        <v>7.5999999999999998E-2</v>
      </c>
      <c r="O40" s="138">
        <f t="shared" si="14"/>
        <v>14.1</v>
      </c>
    </row>
    <row r="41" spans="1:15" hidden="1" x14ac:dyDescent="0.2">
      <c r="A41" s="127" t="str">
        <f t="shared" si="12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9010.1442263891222</v>
      </c>
      <c r="E41" s="136">
        <f>SUMIFS('Resultater - Vestdanmark'!J$3:J$482,'Resultater - Vestdanmark'!$F$3:$F$482,$A41)*D5</f>
        <v>9304.7742602810158</v>
      </c>
      <c r="F41" s="137">
        <f>VLOOKUP(A41,[1]Biogasudbytte!$A$2:$C$18,3,FALSE)</f>
        <v>6.3E-2</v>
      </c>
      <c r="G41" s="138">
        <f t="shared" si="13"/>
        <v>13.1</v>
      </c>
      <c r="I41" s="127" t="str">
        <f t="shared" si="15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756.21807916508294</v>
      </c>
      <c r="M41" s="136">
        <f>SUMIFS('Resultater - Østdanmark'!J$3:J$482,'Resultater - Østdanmark'!$F$3:$F$482,$A41)*D5</f>
        <v>780.94626915803735</v>
      </c>
      <c r="N41" s="137">
        <f>VLOOKUP(I41,[1]Biogasudbytte!$A$2:$C$18,3,FALSE)</f>
        <v>6.3E-2</v>
      </c>
      <c r="O41" s="138">
        <f t="shared" si="14"/>
        <v>13.1</v>
      </c>
    </row>
    <row r="42" spans="1:15" hidden="1" x14ac:dyDescent="0.2">
      <c r="A42" s="127" t="str">
        <f t="shared" si="12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1516336.6800324824</v>
      </c>
      <c r="E42" s="136">
        <f>SUMIFS('Resultater - Vestdanmark'!J$3:J$482,'Resultater - Vestdanmark'!$F$3:$F$482,$A42)*D6</f>
        <v>1572264.2235564108</v>
      </c>
      <c r="F42" s="137">
        <f>VLOOKUP(A42,[1]Biogasudbytte!$A$2:$C$18,3,FALSE)</f>
        <v>0.06</v>
      </c>
      <c r="G42" s="138">
        <f t="shared" si="13"/>
        <v>13.9</v>
      </c>
      <c r="I42" s="127" t="str">
        <f t="shared" si="15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1268885.054531686</v>
      </c>
      <c r="M42" s="136">
        <f>SUMIFS('Resultater - Østdanmark'!J$3:J$482,'Resultater - Østdanmark'!$F$3:$F$482,$A42)*D6</f>
        <v>1328121.9228895183</v>
      </c>
      <c r="N42" s="137">
        <f>VLOOKUP(I42,[1]Biogasudbytte!$A$2:$C$18,3,FALSE)</f>
        <v>0.06</v>
      </c>
      <c r="O42" s="138">
        <f t="shared" si="14"/>
        <v>13.9</v>
      </c>
    </row>
    <row r="43" spans="1:15" hidden="1" x14ac:dyDescent="0.2">
      <c r="A43" s="127" t="str">
        <f t="shared" si="12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1591755.4910753078</v>
      </c>
      <c r="E43" s="136">
        <f>SUMIFS('Resultater - Vestdanmark'!J$3:J$482,'Resultater - Vestdanmark'!$F$3:$F$482,$A43)*D7</f>
        <v>1666786.636613145</v>
      </c>
      <c r="F43" s="137">
        <f>VLOOKUP(A43,[1]Biogasudbytte!$A$2:$C$18,3,FALSE)</f>
        <v>0.3</v>
      </c>
      <c r="G43" s="138">
        <f t="shared" si="13"/>
        <v>60</v>
      </c>
      <c r="I43" s="127" t="str">
        <f t="shared" si="15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214833.06575530887</v>
      </c>
      <c r="M43" s="136">
        <f>SUMIFS('Resultater - Østdanmark'!J$3:J$482,'Resultater - Østdanmark'!$F$3:$F$482,$A43)*D7</f>
        <v>226234.86420959991</v>
      </c>
      <c r="N43" s="137">
        <f>VLOOKUP(I43,[1]Biogasudbytte!$A$2:$C$18,3,FALSE)</f>
        <v>0.3</v>
      </c>
      <c r="O43" s="138">
        <f t="shared" si="14"/>
        <v>60</v>
      </c>
    </row>
    <row r="44" spans="1:15" hidden="1" x14ac:dyDescent="0.2">
      <c r="A44" s="128" t="str">
        <f t="shared" si="12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3"/>
        <v>15.822453396634783</v>
      </c>
      <c r="I44" s="128" t="str">
        <f t="shared" si="15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4"/>
        <v>15.822453396634783</v>
      </c>
    </row>
    <row r="45" spans="1:15" hidden="1" x14ac:dyDescent="0.2">
      <c r="A45" s="127" t="str">
        <f t="shared" si="12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3"/>
        <v>94.9</v>
      </c>
      <c r="I45" s="127" t="str">
        <f t="shared" si="15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4"/>
        <v>94.9</v>
      </c>
    </row>
    <row r="46" spans="1:15" hidden="1" x14ac:dyDescent="0.2">
      <c r="A46" s="127" t="str">
        <f t="shared" si="12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534945.77839568327</v>
      </c>
      <c r="E46" s="136">
        <f>SUMIFS('Resultater - Vestdanmark'!J$3:J$482,'Resultater - Vestdanmark'!$F$3:$F$482,$A46)/SUMIFS('Resultater - Danmark'!J$3:J$482,'Resultater - Danmark'!$F$3:$F$482,$A46)*E19</f>
        <v>531600.61023474101</v>
      </c>
      <c r="F46" s="137">
        <f>VLOOKUP(A46,[1]Biogasudbytte!$A$2:$C$18,3,FALSE)</f>
        <v>0.42</v>
      </c>
      <c r="G46" s="138">
        <f t="shared" si="13"/>
        <v>102.595</v>
      </c>
      <c r="I46" s="127" t="str">
        <f t="shared" si="15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191022.2216043165</v>
      </c>
      <c r="M46" s="136">
        <f>SUMIFS('Resultater - Østdanmark'!J$3:J$482,'Resultater - Østdanmark'!$F$3:$F$482,$A46)/SUMIFS('Resultater - Danmark'!J$3:J$482,'Resultater - Danmark'!$F$3:$F$482,$A46)*E19</f>
        <v>191431.38976525888</v>
      </c>
      <c r="N46" s="137">
        <f>VLOOKUP(I46,[1]Biogasudbytte!$A$2:$C$18,3,FALSE)</f>
        <v>0.42</v>
      </c>
      <c r="O46" s="138">
        <f t="shared" si="14"/>
        <v>102.595</v>
      </c>
    </row>
    <row r="47" spans="1:15" hidden="1" x14ac:dyDescent="0.2">
      <c r="A47" s="127" t="str">
        <f t="shared" si="12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55629.188321682515</v>
      </c>
      <c r="E47" s="136">
        <f>SUMIFS('Resultater - Vestdanmark'!J$3:J$482,'Resultater - Vestdanmark'!$F$3:$F$482,$A47)/SUMIFS('Resultater - Danmark'!J$3:J$482,'Resultater - Danmark'!$F$3:$F$482,$A47)*E20</f>
        <v>55125.425039320733</v>
      </c>
      <c r="F47" s="137">
        <f>VLOOKUP(A47,[1]Biogasudbytte!$A$2:$C$18,3,FALSE)</f>
        <v>0.85</v>
      </c>
      <c r="G47" s="138">
        <f t="shared" si="13"/>
        <v>160.6</v>
      </c>
      <c r="I47" s="127" t="str">
        <f t="shared" si="15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20304.811678317506</v>
      </c>
      <c r="M47" s="136">
        <f>SUMIFS('Resultater - Østdanmark'!J$3:J$482,'Resultater - Østdanmark'!$F$3:$F$482,$A47)/SUMIFS('Resultater - Danmark'!J$3:J$482,'Resultater - Danmark'!$F$3:$F$482,$A47)*E20</f>
        <v>20808.574960679292</v>
      </c>
      <c r="N47" s="137">
        <f>VLOOKUP(I47,[1]Biogasudbytte!$A$2:$C$18,3,FALSE)</f>
        <v>0.85</v>
      </c>
      <c r="O47" s="138">
        <f t="shared" si="14"/>
        <v>160.6</v>
      </c>
    </row>
    <row r="48" spans="1:15" hidden="1" x14ac:dyDescent="0.2">
      <c r="A48" s="127" t="str">
        <f t="shared" si="12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2914.9101192356643</v>
      </c>
      <c r="E48" s="136">
        <f>SUMIFS('Resultater - Vestdanmark'!J$3:J$482,'Resultater - Vestdanmark'!$F$3:$F$482,$A48)/SUMIFS('Resultater - Danmark'!J$3:J$482,'Resultater - Danmark'!$F$3:$F$482,$A48)*E21</f>
        <v>2901.770538547059</v>
      </c>
      <c r="F48" s="137">
        <f>VLOOKUP(A48,[1]Biogasudbytte!$A$2:$C$18,3,FALSE)</f>
        <v>0.31</v>
      </c>
      <c r="G48" s="138">
        <f t="shared" si="13"/>
        <v>95.4</v>
      </c>
      <c r="I48" s="127" t="str">
        <f t="shared" si="15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871.08988076433457</v>
      </c>
      <c r="M48" s="136">
        <f>SUMIFS('Resultater - Østdanmark'!J$3:J$482,'Resultater - Østdanmark'!$F$3:$F$482,$A48)/SUMIFS('Resultater - Danmark'!J$3:J$482,'Resultater - Danmark'!$F$3:$F$482,$A48)*E21</f>
        <v>884.229461452941</v>
      </c>
      <c r="N48" s="137">
        <f>VLOOKUP(I48,[1]Biogasudbytte!$A$2:$C$18,3,FALSE)</f>
        <v>0.31</v>
      </c>
      <c r="O48" s="138">
        <f t="shared" si="14"/>
        <v>95.4</v>
      </c>
    </row>
    <row r="49" spans="1:15" hidden="1" x14ac:dyDescent="0.2">
      <c r="A49" s="127" t="str">
        <f t="shared" si="12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67006.096493213583</v>
      </c>
      <c r="E49" s="136">
        <f>SUMIFS('Resultater - Vestdanmark'!J$3:J$482,'Resultater - Vestdanmark'!$F$3:$F$482,$A49)/SUMIFS('Resultater - Danmark'!J$3:J$482,'Resultater - Danmark'!$F$3:$F$482,$A49)*E22</f>
        <v>66758.668734263701</v>
      </c>
      <c r="F49" s="137">
        <f>VLOOKUP(A49,[1]Biogasudbytte!$A$2:$C$18,3,FALSE)</f>
        <v>0.28000000000000003</v>
      </c>
      <c r="G49" s="138">
        <f t="shared" si="13"/>
        <v>51.25</v>
      </c>
      <c r="I49" s="127" t="str">
        <f t="shared" si="15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18670.90350678641</v>
      </c>
      <c r="M49" s="136">
        <f>SUMIFS('Resultater - Østdanmark'!J$3:J$482,'Resultater - Østdanmark'!$F$3:$F$482,$A49)/SUMIFS('Resultater - Danmark'!J$3:J$482,'Resultater - Danmark'!$F$3:$F$482,$A49)*E22</f>
        <v>18918.331265736317</v>
      </c>
      <c r="N49" s="137">
        <f>VLOOKUP(I49,[1]Biogasudbytte!$A$2:$C$18,3,FALSE)</f>
        <v>0.28000000000000003</v>
      </c>
      <c r="O49" s="138">
        <f t="shared" si="14"/>
        <v>51.25</v>
      </c>
    </row>
    <row r="50" spans="1:15" hidden="1" x14ac:dyDescent="0.2">
      <c r="A50" s="127" t="str">
        <f t="shared" si="12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255215.75389295255</v>
      </c>
      <c r="E50" s="136">
        <f>SUMIFS('Resultater - Vestdanmark'!J$3:J$482,'Resultater - Vestdanmark'!$F$3:$F$482,$A50)/SUMIFS('Resultater - Danmark'!J$3:J$482,'Resultater - Danmark'!$F$3:$F$482,$A50)*E23</f>
        <v>254098.83749353027</v>
      </c>
      <c r="F50" s="137">
        <f>VLOOKUP(A50,[1]Biogasudbytte!$A$2:$C$18,3,FALSE)</f>
        <v>0.3</v>
      </c>
      <c r="G50" s="138">
        <f t="shared" si="13"/>
        <v>100</v>
      </c>
      <c r="I50" s="127" t="str">
        <f t="shared" si="15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74810.246107047482</v>
      </c>
      <c r="M50" s="136">
        <f>SUMIFS('Resultater - Østdanmark'!J$3:J$482,'Resultater - Østdanmark'!$F$3:$F$482,$A50)/SUMIFS('Resultater - Danmark'!J$3:J$482,'Resultater - Danmark'!$F$3:$F$482,$A50)*E23</f>
        <v>75927.162506469729</v>
      </c>
      <c r="N50" s="137">
        <f>VLOOKUP(I50,[1]Biogasudbytte!$A$2:$C$18,3,FALSE)</f>
        <v>0.3</v>
      </c>
      <c r="O50" s="138">
        <f t="shared" si="14"/>
        <v>100</v>
      </c>
    </row>
    <row r="51" spans="1:15" hidden="1" x14ac:dyDescent="0.2">
      <c r="A51" s="127" t="str">
        <f t="shared" si="12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21927.581361856195</v>
      </c>
      <c r="E51" s="136">
        <f>SUMIFS('Resultater - Vestdanmark'!J$3:J$482,'Resultater - Vestdanmark'!$F$3:$F$482,$A51)/SUMIFS('Resultater - Danmark'!J$3:J$482,'Resultater - Danmark'!$F$3:$F$482,$A51)*E24</f>
        <v>21821.426523041016</v>
      </c>
      <c r="F51" s="137">
        <f>VLOOKUP(A51,[1]Biogasudbytte!$A$2:$C$18,3,FALSE)</f>
        <v>0.2</v>
      </c>
      <c r="G51" s="138">
        <f t="shared" si="13"/>
        <v>75.599999999999994</v>
      </c>
      <c r="I51" s="127" t="str">
        <f t="shared" si="15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6717.4186381438076</v>
      </c>
      <c r="M51" s="136">
        <f>SUMIFS('Resultater - Østdanmark'!J$3:J$482,'Resultater - Østdanmark'!$F$3:$F$482,$A51)/SUMIFS('Resultater - Danmark'!J$3:J$482,'Resultater - Danmark'!$F$3:$F$482,$A51)*E24</f>
        <v>6823.5734769589817</v>
      </c>
      <c r="N51" s="137">
        <f>VLOOKUP(I51,[1]Biogasudbytte!$A$2:$C$18,3,FALSE)</f>
        <v>0.2</v>
      </c>
      <c r="O51" s="138">
        <f t="shared" si="14"/>
        <v>75.599999999999994</v>
      </c>
    </row>
    <row r="52" spans="1:15" hidden="1" x14ac:dyDescent="0.2">
      <c r="A52" s="127" t="str">
        <f t="shared" si="12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3"/>
        <v>47.3</v>
      </c>
      <c r="I52" s="127" t="str">
        <f t="shared" si="15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4"/>
        <v>47.3</v>
      </c>
    </row>
    <row r="53" spans="1:15" hidden="1" x14ac:dyDescent="0.2">
      <c r="A53" s="128" t="str">
        <f t="shared" si="12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3"/>
        <v>423.36</v>
      </c>
      <c r="I53" s="128" t="str">
        <f t="shared" si="15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4"/>
        <v>423.36</v>
      </c>
    </row>
    <row r="54" spans="1:15" hidden="1" x14ac:dyDescent="0.2">
      <c r="A54" s="127" t="str">
        <f t="shared" si="12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3"/>
        <v>25</v>
      </c>
      <c r="I54" s="127" t="str">
        <f t="shared" si="15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4"/>
        <v>25</v>
      </c>
    </row>
    <row r="55" spans="1:15" ht="12.75" hidden="1" thickBot="1" x14ac:dyDescent="0.25">
      <c r="A55" s="142" t="str">
        <f t="shared" si="12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3"/>
        <v>25</v>
      </c>
      <c r="I55" s="142" t="str">
        <f t="shared" si="15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4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34667055.547153398</v>
      </c>
      <c r="E56" s="145">
        <f ca="1">SUM(E39:E55)</f>
        <v>33833495.995194137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5350024.5163069107</v>
      </c>
      <c r="M56" s="145">
        <f ca="1">SUM(M39:M55)</f>
        <v>5306870.6605830612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8.5925621863316884E-2</v>
      </c>
      <c r="E57" s="149">
        <f ca="1">SUMPRODUCT(E39:E55,$F$39:$F$55)/E56</f>
        <v>8.7133208743422827E-2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9.9830991871498881E-2</v>
      </c>
      <c r="M57" s="149">
        <f ca="1">SUMPRODUCT(M39:M55,$N$39:$N$55)/M56</f>
        <v>0.10110966058301699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1.0011359095530577E-2</v>
      </c>
      <c r="E58" s="149">
        <f ca="1">SUM(E48:E51)/E56</f>
        <v>1.0214158871979117E-2</v>
      </c>
      <c r="I58" s="148" t="s">
        <v>161</v>
      </c>
      <c r="K58" s="149">
        <f ca="1">SUM(K48:K51)/K56</f>
        <v>1.8896340963997331E-2</v>
      </c>
      <c r="L58" s="149">
        <f ca="1">SUM(L48:L51)/L56</f>
        <v>1.8891438314849032E-2</v>
      </c>
      <c r="M58" s="149">
        <f ca="1">SUM(M48:M51)/M56</f>
        <v>1.93246271239161E-2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671351507.77998841</v>
      </c>
      <c r="E59" s="125">
        <f ca="1">SUMPRODUCT(E39:E55,$I$12:$I$28)</f>
        <v>664199563.75200033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132903660.4185296</v>
      </c>
      <c r="M59" s="125">
        <f ca="1">SUMPRODUCT(M39:M55,$I$12:$I$28)</f>
        <v>133513669.71589959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24.101519129301586</v>
      </c>
      <c r="E60" s="125">
        <f ca="1">E59*[1]Energiindhold!$C$10</f>
        <v>23.844764338696816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4.7712414090252135</v>
      </c>
      <c r="M60" s="125">
        <f ca="1">M59*[1]Energiindhold!$C$10</f>
        <v>4.7931407428007953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576591.97905547544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44370.662327297228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64930.608396310665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359534.40705289674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7457.2400160431316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31365.844342236556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47938.272936646019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97058.944942455943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2908.0623604905873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25738.466902719567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57862.561202403813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10867.586324157863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4179.063908207143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101375.57782061782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122307.389496616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9411.9586754872907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13773.159356793169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76264.874223341743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1581.8387912818764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6653.3609210804825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10168.724562318854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20588.261048399749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616.86171283133672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5459.6747975465751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12273.876618691718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2305.2455839122736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886.46810174090911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21503.910446797723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179389.67006955924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13804.629208856637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20201.252949634338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111858.57764710314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2320.101344973416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9758.5618121573061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14914.586532918138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30197.041830253234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904.75824558759291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8007.7684974714139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18002.237527623009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3381.1304977511027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1300.1930705330769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31540.035447842853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38052.354257179235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2928.2546806665596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4285.1142620436467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23727.577076658243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492.14270953981543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2069.9979601545801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3163.7001736493021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6405.4331155082618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191.91841573070153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1698.6175600696938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3818.6564452533657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717.2094995229611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275.79853011307694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6690.3105495424243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0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0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0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0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0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0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71749.813989422139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47422.702543659834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7174.9813989422137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47422.702543659834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71749.813989422139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7174.9813989422137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0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0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0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0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0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0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11653.242013147261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8739.3026300852289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1165.324201314726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8739.3026300852289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11653.242013147261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1165.324201314726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16280819.829951556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14022176.448242648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9010.1442263891222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55629.188321682515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15586875.108985925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13754239.022753812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9304.7742602810158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55125.425039320733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2901.770538547059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66758.668734263701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254098.83749353027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21821.426523041016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2359043.8250862737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996612.30647950561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756.21807916508294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20304.811678317506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2258493.2369682519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977568.91927108995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780.94626915803735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20808.574960679292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884.229461452941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18918.331265736317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75927.162506469729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6823.5734769589817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7055058.2423947481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927703.07225151139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77398.170570230373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1009401.1411867546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6788464.5437639551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256918.92730951472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14685227.891109958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1818857.0084004137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47298.882015140785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5794113.0468547465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7055058.2423947481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927703.07225151139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77398.170570230373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1009401.1411867546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6788464.5437639551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256918.92730951472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14685227.891109958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1818857.0084004137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47298.882015140785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5794113.0468547465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865945.92924660386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113867.33764129503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9499.9401044881142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123895.05219603248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833223.91333114496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31534.523402398045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1802481.6912140569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223248.59245547064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5805.5189527427374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711176.07171098527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865945.92924660421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113867.33764129507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9499.9401044881179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123895.05219603253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833223.91333114507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31534.523402398052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1802481.6912140576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223248.59245547073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5805.5189527427383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711176.0717109855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1110541.6709603725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118556.88830175188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154484.73733408173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2216341.6308326661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630097.78056099394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35689.952707147801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42074.872472772768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647088.73530897219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983568.91129851097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120985.85798793298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158491.06742829576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2235295.9759470159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607593.69983058784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37147.808703410541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43858.564110476924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624603.98534617631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1808979.9811057281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1032187.9885511945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757.99626031527509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602593.15019279509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29434457.131922562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288330.71633936168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1731875.0121095467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1012464.8169527107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782.78259649983124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630997.79814640491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28561090.767180413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254386.50610030405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262115.98056514148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73361.739226963589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63.618346342459347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81329.660607366925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4542499.0612708991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298340.95844878507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250943.69299647235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71959.934335232989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65.698654389485654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85646.055736491384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4479880.3720469549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288997.39411293587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370490.27594297461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378080.80621229054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111531.10220983687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116086.90219815794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983332.2605731939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2093873.9315335664</v>
      </c>
      <c r="F14">
        <f>E14-D14</f>
        <v>1110541.6709603725</v>
      </c>
      <c r="G14">
        <f t="shared" si="3"/>
        <v>1110541.6709603725</v>
      </c>
      <c r="H14">
        <f t="shared" si="1"/>
        <v>630097.78056099394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2216341.6308326661</v>
      </c>
      <c r="F17">
        <f t="shared" si="2"/>
        <v>2216341.6308326661</v>
      </c>
      <c r="G17">
        <f t="shared" si="3"/>
        <v>2216341.6308326661</v>
      </c>
      <c r="H17">
        <f t="shared" si="1"/>
        <v>647088.73530897219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134172.14931961254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764269.92988060648</v>
      </c>
      <c r="F20">
        <f t="shared" si="2"/>
        <v>630097.78056099394</v>
      </c>
      <c r="G20">
        <f t="shared" si="3"/>
        <v>630097.78056099394</v>
      </c>
      <c r="H20">
        <f t="shared" si="1"/>
        <v>1110541.6709603725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647088.73530897219</v>
      </c>
      <c r="F23">
        <f t="shared" si="2"/>
        <v>647088.73530897219</v>
      </c>
      <c r="G23">
        <f t="shared" si="3"/>
        <v>647088.73530897219</v>
      </c>
      <c r="H23">
        <f t="shared" si="1"/>
        <v>2216341.6308326661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982828.49729083211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1966397.4085893431</v>
      </c>
      <c r="F26">
        <f t="shared" si="2"/>
        <v>983568.91129851097</v>
      </c>
      <c r="G26">
        <f t="shared" si="3"/>
        <v>983568.91129851097</v>
      </c>
      <c r="H26">
        <f t="shared" si="1"/>
        <v>607593.69983058784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120985.85798793298</v>
      </c>
      <c r="F27">
        <f t="shared" si="2"/>
        <v>120985.85798793298</v>
      </c>
      <c r="G27">
        <f t="shared" si="3"/>
        <v>120985.85798793298</v>
      </c>
      <c r="H27">
        <f t="shared" si="1"/>
        <v>37147.808703410541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158491.06742829576</v>
      </c>
      <c r="F28">
        <f t="shared" si="2"/>
        <v>158491.06742829576</v>
      </c>
      <c r="G28">
        <f t="shared" si="3"/>
        <v>158491.06742829576</v>
      </c>
      <c r="H28">
        <f t="shared" si="1"/>
        <v>43858.564110476924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2235295.9759470159</v>
      </c>
      <c r="F29">
        <f t="shared" si="2"/>
        <v>2235295.9759470159</v>
      </c>
      <c r="G29">
        <f t="shared" si="3"/>
        <v>2235295.9759470159</v>
      </c>
      <c r="H29">
        <f t="shared" si="1"/>
        <v>624603.98534617631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134675.91260197436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742269.61243256216</v>
      </c>
      <c r="F32">
        <f t="shared" si="2"/>
        <v>607593.69983058784</v>
      </c>
      <c r="G32">
        <f t="shared" si="3"/>
        <v>607593.69983058784</v>
      </c>
      <c r="H32">
        <f t="shared" si="1"/>
        <v>983568.91129851097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37147.808703410541</v>
      </c>
      <c r="F33">
        <f t="shared" si="2"/>
        <v>37147.808703410541</v>
      </c>
      <c r="G33">
        <f t="shared" si="3"/>
        <v>37147.808703410541</v>
      </c>
      <c r="H33">
        <f t="shared" si="1"/>
        <v>120985.85798793298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43858.564110476924</v>
      </c>
      <c r="F34">
        <f t="shared" si="2"/>
        <v>43858.564110476924</v>
      </c>
      <c r="G34">
        <f t="shared" si="3"/>
        <v>43858.564110476924</v>
      </c>
      <c r="H34">
        <f t="shared" si="1"/>
        <v>158491.06742829576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624603.98534617631</v>
      </c>
      <c r="F35">
        <f t="shared" si="2"/>
        <v>624603.98534617631</v>
      </c>
      <c r="G35">
        <f t="shared" si="3"/>
        <v>624603.98534617631</v>
      </c>
      <c r="H35">
        <f t="shared" si="1"/>
        <v>2235295.9759470159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4923583.0761439931</v>
      </c>
      <c r="O3" s="171">
        <f>SUMIF($F$3:$F$472,"Roer",J3:J472)</f>
        <v>5024574.3595380196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-896872.67486777669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-592783.78179574793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16398.219881514029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108383.26407385738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4099.5549703785073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27095.816018464346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-114799.70238307542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-758763.24069855735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173417.68247712258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60029.197780542447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-35874.906994711069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7971.3568868470975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3985.6784434235497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-89687.267486777666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16769175.782578632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16054415.645754507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18089799.811057284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17318750.121095471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2318981.8130105999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2220138.8060882147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189546.11196473631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181467.00261082608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-10349049719.146797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-9907937508.9127178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-794805.85707031749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-760928.48882551759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1355216.4663992226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1297452.4641901131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375002.99262656202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618711.35296623153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406473.58355707221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670634.17031999258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12431.621883020149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20510.731236930402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-678755536.70520175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-1119867746.9392815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-45820.580785679682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-75598.632781679669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97771.947711369561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161312.35014139008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481065.37486712751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457823.86708769068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13959739.787479933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13285308.789490851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273571.81190809683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260354.85278595501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5225553.5272675268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4973093.5721327448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59529.546880978167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56653.521086515728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-3621884990.6382861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-3446902394.5422864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-15148.831416153258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-14416.952337753261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3917554.1194708925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3728286.9859358799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29987.091045692679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36958.4728489626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1620456.2661230082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1997179.0135689403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13378.856005001349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16489.16480953716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618964.31517391291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762860.78572858695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12371.097980583076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15247.123775045524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-752679911.76171374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-927662507.8577137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-3795.0247651851114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-4677.2899555851109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680810.24994210899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839084.62809683185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113924205.03110938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108474887.02791204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7251.1507410633913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6904.3076249197729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160711.95619344505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153024.64728508043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237416.28640431259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226059.99172222996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10027.042857470176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9547.4209443997897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-394523640.24563581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-375652455.01427585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-9350.722642185523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-8903.4510441695238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15234.004703521403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14505.319029840177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1562240.6107206421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1943846.3831069556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2760.1206215911884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3434.3304420591335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10392.961476399914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12931.631937509816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19134.053419152198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23807.895069273163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1963.5049692894995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2443.1268823598866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-77255990.538364232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-96127175.769724235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-3448.9281490341177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-4291.3917754341173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3281.4508523602508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4083.0050934096021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4688506.9969091984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4648196.2391557153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2056610.6420093102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1900635.8217001741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-99825558.304963022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-92254716.648876071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1418580.0603067866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1310993.9351157292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111796.04760086381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114384.54421676249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49039.265886152367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46771.554168873641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-1611668.6303805837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-1537140.6012300362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198256.24737469372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189088.32842095065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71852.349000698814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73515.99960574256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31517.987646306181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30060.508448789125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-682967.64788402733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-651385.3289067311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279686.82379027107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266753.32904852438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490260.64493692142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660607.28368606966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215052.52320201407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270120.66678102477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-10438406.645877348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-13111352.154037235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221396.88802475863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278089.62260030617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11690.118503466048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16256.470072018667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5127.8631206965101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6647.2299712732547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-168526.50591667491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-218460.28544754154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30941.726468882833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40109.645422625894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7513.3467827898357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10448.182974270687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3295.724835385427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4272.2358977218482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-71415.518787410721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-92575.672502199057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43650.544753394912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56584.039495141536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178329.32553102204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176796.08899185038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-1613843.0099978768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-1491448.0032086263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18346.928809189772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16955.484621464453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1302.5821038158078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1332.7417511380027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-9577.8271535376043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-9134.9218516399105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785.46504894346981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749.14296575533228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422.35893190592401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432.13812078956232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-2593.6762845931198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-2473.7374968662707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559.02862365711928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533.17758903713695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15864.094334811727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21376.254396287361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-143566.72788362612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-180329.62220613388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2863.3935135729703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3596.6179500076114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115.87710160534844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161.14059354668581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-852.03907452568637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-1104.4950966073709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122.5870307599635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158.90911394810081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37.572855271862259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52.249427331828905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-230.7322428895267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-299.09735189383088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87.247241842440587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113.09827646242299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19958.567943102735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18449.455553785181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-17077164.38427062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-15785921.424345665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3697.9288069656591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3418.3200598193143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1775.5049748228382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2230.7068987758444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-1519176.6466700858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-1908661.4085799758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577.13339761891791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725.09819450712723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1545241.6146092198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1531955.9651608609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-5090980.2288279133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-4704876.6513354834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77168.887141772459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71316.343612368961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42365.341298400272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43346.257394591979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-93051.732880512078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-88748.762573898814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12400.457271583722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11827.025721452683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46055.42030071569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47121.775526598212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-65029.285100948444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-62022.150529806306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29589.548982112399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28221.24613900893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137463.97947303986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185227.40306035863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-452891.24694602075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-568862.35875238117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12043.699149293971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15127.709251108568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3768.801170996418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5240.956575891576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-8277.8391273472898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-10730.532202116854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1935.3314816922575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2508.7630318232964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4097.0688926474822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5697.4510409432396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-5784.9751312346616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-7499.0418367856728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4618.022095474189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5986.3249385776526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20694034.653696515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20516111.869659446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-60301112.547205016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-55727833.093198992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884556.77388185076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817471.35623339622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670338.730568339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685859.579228185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-1365227.015333388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-1302095.1302312659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167940.71670343023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160174.6720003814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874618.86351881211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894869.56125816668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-1233185.9212836758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-1176159.9827272054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480962.40901614353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458721.37276106171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2519169.7676696456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3394483.963889109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-7340701.9089256525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-9220423.2936020177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138052.21326479755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173403.0149585992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81603.084773232491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113478.5849268452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-166194.68753133615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-215437.55791099134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26210.400872789687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33976.445575838487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106470.94373240569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148060.23649907848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-150120.7832499088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-194601.0153239558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75063.497360901019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97304.533615982786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198669.48686870435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196961.37007087242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79264.908013529246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73253.400763838348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109164.43364893465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100885.32501517503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5277.1470077505037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5399.332697354941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2105.4696357053253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2008.1068779848476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16995.358795448854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16209.446249994571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2278.1171427648283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2330.8640747111231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908.9203813398658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866.88938104669285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16104.149801251846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15359.449232407831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17673.545681556996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23814.420199478205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7051.3695625908395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8857.0020923550001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17037.223748677665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21399.917427461369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469.45255751029043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652.82840795291543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187.30160516476852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242.79837706544058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2652.4548409082026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3438.367386362484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202.66024755578439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281.82265630598124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80.857136813991531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104.81480698110012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2513.3644198485545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3258.0649886925698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4518285.3117263559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4479438.0827935226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-7002761.2633525226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-6471666.8464472126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117941.76919503704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108996.98116303275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2126.4193748279954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2175.6539361013506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-2136.0866928895298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-2037.3081174957942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325.32995747754416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310.28579759418949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952.84330781266669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974.90519399455104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-586.02563836620595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-558.92618688106347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319.98323778511235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305.1863250551649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401944.5719506857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541604.78637412598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-622962.40371673589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-782483.35507043567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18407.096926393064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23120.571761855434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189.16528426938063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263.05633954679962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-190.02528441369861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-246.32907238812783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50.774039606321921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65.818199489676559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84.764500041832036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117.8749007284321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-52.132569794542832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-67.579257141074024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49.939580463572447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64.736493193519834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28639.099571212086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28392.866856649849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-440539.56585993303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-407128.73046868219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6185.4724518954326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5716.3618023128201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488.59952140396285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499.9124276723424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-6263.2154485005403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-5973.5869884542717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476.97492049732955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454.9182767749096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354.81010393622921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363.02528482173392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-3898.4637758230629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-3718.187994282112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793.66302172301653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756.96184152773253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2547.7210543407746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3432.9557199403907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-39190.196061181334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-49225.564683940669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965.36275260795776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1212.5615944299923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43.465587482121322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60.443957164019572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-557.17275001400765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-722.26097224038006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74.441172563167044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96.497816285586893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31.56374277213045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43.893057164809647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-346.80553473940427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-449.56273021774621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123.8664831590835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160.56766335436751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889585.65459409577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881937.19169386837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-3957117.8143912707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-3657007.172428072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63323.940077826213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58521.407224424431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30327.016566325976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31029.200421988789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-98902.331097338974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-94328.812896305957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12652.926809123981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12067.820367083566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22022.804830128913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22532.715126590461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-53147.297901066311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-50689.619385410064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20168.079383186116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19235.451434830688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79137.128463601912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106634.22408662227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-352023.37088717712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-442165.41266630322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9882.9270641694075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12413.63183548397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2697.877369686455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3751.7124146586439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-8798.3056392372655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-11405.211013826085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1974.7342418864021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2559.8406839268173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1959.1385337322772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2724.4101016695731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-4727.9590444937021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-6128.8357984177601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3147.6193256995675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4080.2472740549938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5011192.8252289798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4968107.6852970216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-16803846.947789624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-15529431.190792952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238792.57598298136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220682.37642974351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150362.27487729816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153843.72389120501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-341388.28531406302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-325601.54379664967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41995.208610634007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40053.233645980406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64910.618468653665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66413.542050012024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-97170.70010598356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-92677.257326516105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39793.048122148248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37952.907168522899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649137.75267850538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874688.05004774837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-2176729.5381500898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-2734121.0672274861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37268.205500234093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46811.413182066812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19477.564046244228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27085.819266906095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-44222.609675654057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-57325.605135107107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6554.1655057058852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8496.1404703594817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8408.3639299568149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11692.808463956662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-12587.256585983192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-16316.814092941169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6210.4757184855662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8050.6166721109175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331398.16745020711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328548.87848533195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237874.25042587353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219833.69733892803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-12295344.153618181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-11362856.469354367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159747.74141929686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147632.35858809573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6441.1888357212947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6590.3264471255488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4623.4201532780698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4409.6203774039395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-165008.12365367546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-157377.6901899217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18198.341252564318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17356.799460538223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3362.7610317964691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3440.6215263101758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2413.7558332156741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2302.1370663617699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-58562.330190049237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-55854.245556983376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20854.144759918803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19889.791245009263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28446.605703095818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38330.702489955387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20418.685657943479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25647.264689541596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-1055409.5993134684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-1325666.5880913427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24931.728429601244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31315.954852020295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552.89973532058536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768.87141883131392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396.86583396635467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514.45571069712628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-14163.992117092956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-18360.73052215753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2840.2035480880736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3681.7453401141684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288.65318683339638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401.40584473618719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207.19233597255931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268.58265774220655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-5026.8821001285041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-6516.3286483147276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3254.6931128196979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4219.046627729238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959054.33163231891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950808.59224015288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214121.57001522297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197882.43717926473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-9391653.9231852219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-8679384.1803605724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142358.33751012647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131561.77949418829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35897.747314111104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36728.91442095473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8014.6470970260507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7644.0275780884294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-263649.72891233605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-251457.83393373093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31231.154702492393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29786.939456134362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33602.193864491768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34380.210323674139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7502.1344139856974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7155.2149035123684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-188030.56625759034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-179335.5111705341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64168.085676050519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61200.775355770711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85317.029848678532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114961.40251630939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19048.155852799315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23925.78558622019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-835477.19004520553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-1049416.4508981418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22217.775218343435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27907.044135130851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3193.4470009489587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4440.8596527154359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712.97929955624807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924.23242535069198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-23454.157965091628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-30403.538102896557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4874.2264564583511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6318.4417028163807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2989.2356275984293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4156.8799754987822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667.38640827306278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865.13052924285921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-16727.112223724362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-21683.293623346395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10014.6723309443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12981.982651224092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630305.44197743817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624886.21363907715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-1293537.2876402647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-1195434.4956573648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23115.445094971714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21362.353225559131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14432.228611503813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14766.388679971789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-22438.166373606673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-21400.563304306943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2392.2887204218396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2281.6626524254539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10480.36338423961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10723.02299283639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-12569.732203912112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-11988.472911245653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3980.6518395226949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3796.5754538800256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56071.680647588284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75554.424012724761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-115072.47894094611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-144538.89811129955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3607.6128182903835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4531.4082599670874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1283.8843834164375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1785.39063130568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-1996.0889045653566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-2587.5226540662029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373.36297948780157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483.98904748418721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932.32828025114225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1296.510961861127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-1118.1975642670948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-1449.5153610869743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621.25780154400434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805.33418718667212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118234.19798149291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117217.6462058101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-542642.02804938902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-501487.66898485716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8888.9031508130938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8214.7623857245562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11562.459095204431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11830.173266516264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-44222.091688748289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-42177.139471927563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3929.0202156362775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3747.3314195374901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12067.876915532306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12347.293399632554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-39561.536796654415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-37732.101569063459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9396.4235873856196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8961.9068897030465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10518.059577659977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14172.679041247946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-48273.183882543912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-60634.418159078174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1387.2854628436623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1742.5253545476332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1028.5910143074923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1430.3754949515117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-3933.9768271088792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-5099.5995906966946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613.19968683340744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794.88848293219473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1073.5527498846368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1492.9000201373901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-3519.3760190781009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-4562.1540988049455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1466.4938546786805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1901.0105523612524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1621606.8216653448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1607664.6008682679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-5484745.9414719753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-5068778.8910308909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215626.684084804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199273.40232257242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721412.14189979096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738115.53104502044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-2033354.7485892207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-1939326.7833365398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433580.13740267023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413530.18885225768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651539.44861149741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666625.02358527971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-1574068.518572781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-1501279.2229162364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897272.39659684058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855780.03143629304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253083.1455778284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341019.76382054167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-856000.811674817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-1075195.5223398861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33652.719481443404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42270.115644182035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112590.33428493848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156569.96113076189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-317344.38272779743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-411372.34798047814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67668.576357642174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87718.524908054649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101685.34747115859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141405.30803324116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-245663.87284083871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-318453.16849738348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140036.73241684798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181529.0975773955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613803.17949896643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687223.1739007252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664953.44445721374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744491.77172578557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3753212.2579404083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3683495.3348211222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146112.946061036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143398.85894653329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19199.241112420132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18842.610065574474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1945192.6384399957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1909060.1640936765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1653615.6309381565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1608181.0498602674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31680.679018030081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30810.223784953552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147475.80238640774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143423.77168762282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145514.43959342825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141516.29910659679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127401.76624978184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123345.7388852182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61790.889060368267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59823.682919613537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8156.190870123798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7896.5262333324472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83833.252994183829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81164.294955265126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217954.6674762161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208390.50149991471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803.922197366418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768.64492885605512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6348799935.9413967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6348799935.9413967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176295832.96552476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176295832.96552476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83848018.117749572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83848018.117749572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153721366.54920757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153721366.54920757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1798432491.1666028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1798432491.1666028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259068876.49202111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259068876.49202111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2442342271.3272696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2442342271.3272696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175220858.37427154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175220858.37427154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130071925.54163715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130071925.54163715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4306348212.560318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4306348212.560318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8934047.6444622111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8853143.2613149099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278082.42537508241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276828.90937738947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3434062.4452771964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3421381.7726310147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195369837.95941868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187042501.30783111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-207215.76320257649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-198383.51234069097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197712687.92022133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193934770.22082874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-412621.53846115165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-404737.11672928999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118032.8893656975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121892.5428096813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95505329.464518473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100007198.1967887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25521575.389295254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25409883.749353029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1657725.1509563283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1649699.8451419007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54882762.13450513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54539564.607033253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21077079.852451507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21854472.70743411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31869424.164498128</v>
      </c>
      <c r="J452" s="288">
        <f ca="1">SUMIFS('Forbrug af biomasse'!$E$1:$E$425,'Forbrug af biomasse'!$A$1:$A$425,"Biogas",'Forbrug af biomasse'!$B$1:$B$425,$A$1,'Forbrug af biomasse'!$D$1:$D$425,J$2)*'[1]Processer - data'!J452</f>
        <v>31103132.86838197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9587593.8998603579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9178937.5641805977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8257503.9084095564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8099718.5356216859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5305.9738222069254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5479.4781754988189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8436304.1026991308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8833969.174049668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206041199.92345792</v>
      </c>
      <c r="J457" s="288">
        <f ca="1">J452*'[1]Processer - data'!J$457*Biogasanlæg!AC$3</f>
        <v>199927635.37026289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46132914.614297867</v>
      </c>
      <c r="J458" s="288">
        <f ca="1">-SUMIFS('Resultater - Vestdanmark'!J$3:J$482,'Resultater - Vestdanmark'!$F$3:$F$482,"Gødning",'Resultater - Vestdanmark'!$A$3:$A$482,"&lt;&gt;Gødning")-SUM(J453:J457)</f>
        <v>40701840.976048648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11.47834364258509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10.165977788374637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4.1494910905613152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4.2345050295776536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2.8425191669471035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2.9162356406806413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32.122700134129985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32.397416241013886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24.079266970171865</v>
      </c>
      <c r="J467" s="288">
        <f ca="1">SUM(J433:J451)*'[1]Processer - data'!$H$467</f>
        <v>23.823112308113203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185245.1379714873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189040.40310614527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118556.88830175188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120985.85798793298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1508318.1394402247</v>
      </c>
      <c r="O3" s="171">
        <f>SUMIF($F$3:$F$472,"Roer",J3:J472)</f>
        <v>1571187.4884325294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-145665.52516434077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-109241.28287606536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2663.3159619376597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19973.432427345255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665.82899048441493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4993.3581068363137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-18645.187221035616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-139828.84208136366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28165.623168904222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9749.6387892360799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-5826.6210065736304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1294.6674814974735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647.33374074873689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-14566.552516434074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2429805.1937717511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2326238.5119458893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2621159.8056514151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2509436.929964724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336013.77471212432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321691.70815966208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27464.684805178709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26294.045167088971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-1499547448.498282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-1435631561.7928421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-115165.07576693177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-110256.34284053177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196366.95633919063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187997.119061526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54336.851791522888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89649.490134435415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58896.84962835523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97172.956577699704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1801.3061470647906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2971.9457851545299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-98349719.137718022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-162265605.84315798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-6639.2699687928462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-10954.023796792844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14166.873162667429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23373.694168098507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34191.245173914635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32539.378021934186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992174.68263977661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944240.16727062978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19443.845644067296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18504.463361724534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371401.04267443361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353457.70134583977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4231.0035991714303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4026.5929136338805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-257421889.36553466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-244985174.61353469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-1076.6881927244478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-1024.6706119244479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278436.27992953156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264984.30582341959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2131.3028032395187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2626.7868619340466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115172.32455967399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141947.52080835906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950.88894298378523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1171.9510614782669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43992.275810456726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54219.574970689922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879.26353926733168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1083.674224804882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-53495979.434465297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-65932694.186465286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-269.72762740066537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-332.43375220066531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48387.914385054581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59637.109091141487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9561616.4774268474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9104257.2288292181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608.58640520796155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579.47599049411485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13488.495162543615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12843.302163345441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19926.261284624048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18973.131663705783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841.56600592184452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801.3115157922316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-33112223.502257422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-31528371.891377427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-784.80269989116607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-747.26335976316614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1278.584391706858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1217.426072081694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131118.27781543761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163146.30943640703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231.65590497546393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288.24208634814886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872.27742054352598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1085.3470952897908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1605.914040853497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1998.187845375347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164.79624731848045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205.05073744809346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-6484066.7697425745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-8067918.3806225751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-289.46726650636492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-360.17492770636494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275.4109588144704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342.685110402151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1429105.5040805461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1446149.8252657517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626876.22950838739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591327.04817660281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-30427864.331989396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-28702347.211129479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432397.89841410023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407877.28242223198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15807.50285438189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16173.505665057821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6933.9511736563081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6613.3060326779805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-227883.33775461648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-217345.37993937408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28032.620683186826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26736.314524426736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11078.80316982528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11335.318897605612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4859.7100345183553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4634.9835589336908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-105305.73109296802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-100436.10190947815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43124.481148638362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41130.285488585716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149436.52351917388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205528.56607564774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65550.236946859717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84040.116846917197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-3181734.4841947295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-4079212.3763696142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67484.065070408717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86519.423544109814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1652.9348360449044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2298.5982293673087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725.05882503724069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939.89106949271911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-23828.957109716841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-30889.388845929232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4375.033285815286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5671.3394445753684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1158.4713834805743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1610.9892615081917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508.16274291582118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658.72948155754591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-11011.448991166426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-14274.100544104624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6730.4103526776635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8724.6060127303044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54356.625856239647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55004.91374470725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-491916.06834122166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-464020.26899468317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5592.3339693151429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5275.2013600614973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282.76738450634605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289.31450699939148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-2079.1757583080207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-1983.0289024325054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170.51047827254712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162.62560066456805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99.981799158956548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102.29675173848246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-613.98114679222374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-585.58895503304575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132.33456984649141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126.21505216572879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4835.5403001591212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6650.5941164055112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-43760.625963996536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-56104.26888753895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872.79200677172753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1118.9821066797115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25.154855766200381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34.980754028108237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-184.96251399052281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-239.76622183956653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26.611461926929326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34.496339534908373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8.8943346188227839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12.368607255652877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-54.61947889671864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-70.803028199450068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20.653372172573807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26.772889853336412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6070.7214776899573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5726.8171351632291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-5194295.9485457521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-4900040.8192932047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1124.7848991677165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1061.0662105976953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540.04857538525096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692.42425361519042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-462082.16559606418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-592459.48087817826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175.54446403195573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225.07465073284445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471005.6523383949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476623.13236039522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-1551783.5146624425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-1463784.271823596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23521.876245631913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22187.987027060775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990.36750794385637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1013.2982196981856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-2175.2548186413396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-2074.6650004382718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289.88341859260265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276.47840501606606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1174.0361809811022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1201.219509431693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-1657.7144021995252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-1581.0570888030154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754.29126163837566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719.41074086897106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41900.445025941619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57628.06963993868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-138045.94387661846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-176984.82559321658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3671.0442695494903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4706.5427027098622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88.102635533271382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122.51696656350789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-193.50966276815154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-250.84585914390013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45.241920820810819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58.646934397347358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104.44171575317434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145.23835886765016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-147.46950664653579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-191.16417528254641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117.72175759674072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152.60227836614536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6307756.1459814962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6382986.0162766455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-18380403.804494981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-17338079.535300989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269622.06840250688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254332.21795115346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35936.372929728066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36768.434364031891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-73188.829646116588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-69804.375096007134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9003.179960112735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8586.8479388358446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51129.768415755148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52313.613778413965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-72091.413984747458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-68757.706979672424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28116.814781173754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26816.615253720633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767869.04297323886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1056094.0499657723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-2237521.989148349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-2868664.0685679815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42079.744779582004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53949.258353274978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4374.6821612720996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6083.5045947761864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-8909.5766031630956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-11549.451152248455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1405.1205718095021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1821.4525930863913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6224.236548183836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8655.5251887921277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-8775.9836908600082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-11376.27515481853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4388.1734051542853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5688.3729326074072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60556.517749486411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61278.749058114612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24160.76512144462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22790.645502950778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33274.45028457306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31387.507677402606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235.37748365531598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240.82735270682102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93.910619514131341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89.567931906541432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758.04687290627828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722.9926822516527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110.80435550829287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113.3698907433492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44.208585753622167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42.164258088714782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783.28278482250096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747.0616155821541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5387.0798159803235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7409.1578406629487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2149.3304925955649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2755.596228993139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5193.122298748397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6657.9561739944929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20.939072100897761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29.118216281824715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8.3542452851010474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10.829577221427281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118.30789345936137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153.36208411398692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9.8571042270094082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13.70745042624131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3.9327753453655787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5.0980421143627872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122.24644618617069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158.46761542651754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1377220.1709949747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1393645.6783281683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-2134514.1794213997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-2013469.1819439486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35949.873089394714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33911.211393270474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5293.4880442848644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5416.0520900000693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-5317.5537733620231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-5071.6553329753397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809.87328310737632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772.42249544923175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2586.6017132162474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2646.491216691737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-1590.8333592291856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-1517.2688108255236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868.63095355671726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828.46304818993258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122516.869546894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168504.43201604218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-189885.3943427476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-243446.72836231376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5610.6738347610244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7193.2872652391916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470.90624856383846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654.84993451819003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-473.0471246938817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-613.20923571429103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126.39640834623793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163.84719600438248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230.1028922913182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319.9848471090919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-141.51979999154429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-183.45159258163147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135.56668061289807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175.73458597968269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8729.4942411541961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8833.607130794464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-134281.02352214055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-126666.154382263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1885.3960828403881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1778.4781872875585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127.2090223121897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130.15438693672888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-1630.6555345060033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-1555.249498228269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124.18250662536892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118.43996296639233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100.73396143707008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103.06632938639916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-1106.8109259035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-1055.6289177692342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225.3284766621083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214.90866271241543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776.57177093273447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1068.0634076324213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-11945.577757258628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-15315.089575309981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294.25256784214145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377.25294881857297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11.31645579991098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15.736848602349943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-145.06236228929129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-188.04380296759976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19.381084849046019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25.123628508022612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8.9612466272630531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12.461656189446442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-98.461388148294034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-127.63513278482559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35.166872080213437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45.586686029906303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271154.92334118381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274388.87044388597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-1206170.5042926839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-1137770.4406823968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19301.792951348078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18207.218128828263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3187.8294513369001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3261.6396255239879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-10396.135181594165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-9915.389046029115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1330.0145314169347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1268.5109692704866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2524.3703880597795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2582.819003614567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-6092.0244292996404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-5810.3123169620849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2311.7719460194639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2204.8691970705872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24121.816590871786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33176.108880942571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-107300.37029516997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-137566.78964614432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3012.4185531005674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3862.1371788423589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283.58783385014385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394.36188199517301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-924.83537829326133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-1198.8606755653386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207.57452224426149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269.07808439070931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224.56682238289022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312.28629770976124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-541.94367610937263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-702.51958014177922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360.79677770245979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467.69952665133667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1527463.4874736806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1545680.8816442573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-5121986.6321292222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-4831526.6928405175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72786.450973800223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68658.843924169618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3091.5500852944588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3163.1310320756588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-7019.1740810152432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-6694.5879963440175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863.44989704439536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823.5215781059261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1455.3525231168544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1489.0493770027558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-2178.6516121482823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-2077.9047167888239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892.19474953925908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850.93718886692341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197863.91187448081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272133.51279857982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-663489.71344517847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-850641.51773949701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11359.73512307865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14563.99719603598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400.47189255172731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556.90276655635091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-909.24676968526933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-1178.6532199623862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134.7580764173334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174.68639535580252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188.52283261877869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262.16293576927308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-282.21724062568217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-365.83716377403238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139.24426726913293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180.5018279414686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101013.59461711594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102218.33992514975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72506.535830436711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68394.802335617322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-3747748.273828716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-3535219.2661860092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48692.766519758341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45931.475047732638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1083.7296042953458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1108.8219977517138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777.89014124472283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741.91834280566036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-27762.606114107224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-26478.786178194747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3061.8697367012819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2920.2803847150949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616.97272988911175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631.25795604595646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442.85678096765122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422.37785468012976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-10744.551987008117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-10247.694091655139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3826.1531225001299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3649.2211861995452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8670.8201159778728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11925.47299126747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6223.8269195490475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7979.3936058220197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-321699.77957431471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-412442.24772170105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7599.4491100200885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9743.040161640256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93.025344646161201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129.36256640436665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66.772650852509457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86.557139993993729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-2383.0907560375276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-3089.1917207893875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477.86406295337923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619.45341493956573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52.959797912446881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73.646761538694932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38.014006921211688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49.277416379348473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-922.29246824896279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-1195.5643106930997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597.14528501447114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774.077221315055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292329.69577555696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295816.18520026724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65266.472771150577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61565.312053592097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-2862673.4102970543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-2700335.6291434513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43392.296059618711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40931.586068691817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11098.628751714377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11355.603515862538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2477.9157290165494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2363.3300305649173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-81513.48428868987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-77744.074610600175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9655.8424264707883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9209.3294818941049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11328.823700605051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11591.128338742388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2529.3097973610966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2412.3474945929538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-63393.632690994433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-60462.135225514932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21633.972256718655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20633.557354673863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26005.514554831338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35766.866028759585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5806.075236693684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7443.8059119343161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-254662.1028004142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-326495.12606916274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6772.2080555474295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8682.457650934628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987.32888143863761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1372.9956978270159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220.43423739632777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285.74808551375816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-7251.4018682250708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-9399.9653847362006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1506.9811879463082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1953.4941325229918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1007.8069176434207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1401.4727900479434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225.00622995021553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291.6747425280571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-5639.468249216211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-7310.4218045395319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3376.4002944011777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4376.8151964459712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192123.62847612135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194415.0036206884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-394283.56590248778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-371924.35475262126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7045.8271335145691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6646.2691751626544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1173.9447235743173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1201.1259344438934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-1825.162816502359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-1740.7622238317294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194.59328120447103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185.59474796958216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929.62040242373098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951.14459149287632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-1114.9498429922146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-1063.3914687497997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353.08844066711117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336.76065150331408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17091.229145939349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23506.541346865048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-35075.28369502478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-44969.035620089657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1099.637760721927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1409.8146735193507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104.43357974455924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145.22704480094345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-162.36564015012317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-210.47397797238182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30.370049667749818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39.368582902638643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82.698601117348062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115.00202788050234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-99.18542244884496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-128.57369576702126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55.106288427815031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71.43407759161208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36039.008412974523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36468.830027147276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-165402.91174611441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-156023.16846396922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2709.4297665419317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2555.7821953904954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1215.3898341091012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1243.5306542910553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-4648.4126117978685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-4433.4571152985454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412.99962134128094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393.90137295555706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1383.2838899177418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1415.3120854105096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-4534.7526241972882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-4325.0530808818066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1077.0677777251983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1027.2611752870387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3206.013522980797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4409.4130851005339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-14714.166542038731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-18864.619459734458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422.85898090538819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542.13561720404448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108.12051761236455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150.35416092791846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-413.52063639057332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-536.04526939518769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64.456588301818414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83.554836687542391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123.05629517823145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171.12409759963427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-403.40949645315754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-522.93823614298196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168.09728322878817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217.90388566694759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494282.55856805464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500177.65214961587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-1671807.383162329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-1577001.7723921426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65725.247132055942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61998.070030116462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77753.345320381952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79553.626059779548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-219153.69141077931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-209019.41666346003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46730.993546559053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44570.022746718168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70222.510539305498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71848.424288419978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-169652.11142721825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-161806.92708376306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96707.452573943272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92235.431645668432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77142.364632008524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106098.28984991852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-260917.91529123051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-334515.52747712121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10257.697529280407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13151.1057639641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12134.915165608745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16875.011588438083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-34203.177272202549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-44337.452019521821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7293.2764494629737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9454.2472493038549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10959.582569718201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15240.574849058785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-26477.497159161238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-34322.681502616411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15093.070632927565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19565.091561202396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178637.61286448501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184169.19735067486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193524.08060319209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199516.63046323109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266755.84485045663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261800.78357255683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10384.832962122258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10191.931907913244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1364.5670512228648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1339.2198526998002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138252.64067231142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135684.56083605965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239604.1344339604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233020.79470926209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4590.438994634248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4464.3125425236767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21368.818315234308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20781.690756618176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21084.62250483537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20505.303482464293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9054.9543846077213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8766.6762558976552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4391.7262554195477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4251.9090268677046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579.69318993841989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561.23778299506876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5958.3654459493264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5768.671896101212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18292.854791513339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17490.137871374405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67.472893287329939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64.512085162531633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779258975.79314995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779258975.79315019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21638752.460222926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21638752.460222933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10291601.779862123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10291601.779862126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18867936.596413892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18867936.596413899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220741663.81678632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220741663.81678635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31798410.627522714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31798410.627522722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299775887.74162489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299775887.74162501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21506808.84766059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21506808.847660597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15965177.120042527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15965177.120042531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528566111.92471373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528566111.92471385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3260952.7555377916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3341857.1386850942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83101.974624917522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84355.490622610581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956883.80472280353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969564.47736898623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28308525.901035286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27101918.843619023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-30024.966294650781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-28745.198624781184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14052233.521361029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13783721.761722367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-29326.667273569194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-28766.289806030432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9906.4568370625857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10230.396125970288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12889983.945318531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13574091.852575995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7481024.610704748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7592716.250646973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507836.8490436718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515862.15485809901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19597924.825494852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19639903.432966735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17637502.257990435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18460894.728164304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4918277.5378409429</v>
      </c>
      <c r="J452" s="288">
        <f ca="1">SUMIFS('Forbrug af biomasse'!$E$1:$E$425,'Forbrug af biomasse'!$A$1:$A$425,"Biogas",'Forbrug af biomasse'!$B$1:$B$425,$A$1,'Forbrug af biomasse'!$D$1:$D$425,J$2)*'[1]Processer - data'!J452</f>
        <v>4878606.198274008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1389214.6969952497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1330001.5728813035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586893.91381570871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575679.47468186391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445.32842439721543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459.89058072639961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1138615.2485031369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1199044.7803108795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31797493.428896297</v>
      </c>
      <c r="J457" s="288">
        <f ca="1">J452*'[1]Processer - data'!J$457*Biogasanlæg!AC$3</f>
        <v>31359162.604328685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47734553.351805612</v>
      </c>
      <c r="J458" s="288">
        <f ca="1">-SUMIFS('Resultater - Østdanmark'!J$3:J$482,'Resultater - Østdanmark'!$F$3:$F$482,"Gødning",'Resultater - Østdanmark'!$A$3:$A$482,"&lt;&gt;Gødning")-SUM(J453:J457)</f>
        <v>46239583.058069736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6.512568634596815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6.2799708143270925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1.249148344750173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1.3001733046193689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0.77417765349901879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0.8069975796327753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9.3786251701161518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9.0527408973136652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4.769110685380114</v>
      </c>
      <c r="J467" s="288">
        <f ca="1">SUM(J433:J451)*'[1]Processer - data'!$H$467</f>
        <v>4.7910760803661292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55765.551104918435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58043.451099078971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35689.952707147801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37147.808703410541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13049924.438213097</v>
      </c>
      <c r="O3" s="98">
        <f>SUMIF($F$3:$F$487,$L$3,J$3:J$487)</f>
        <v>12367941.925840955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5575.3915677842497</v>
      </c>
      <c r="O7" s="98">
        <f>SUMIFS(J$3:J$487,$F$3:$F$487,$L$3,$C$3:$C$487,$L7)+SUMIFS(J$3:J$487,$F$3:$F$487,$L$3,$C$3:$C$487,"",$A$3:$A$487,"Grøntsager I drivhus")</f>
        <v>5429.5591156569817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1210890.6378442696</v>
      </c>
      <c r="O8" s="98">
        <f>SUMIFS(J$3:J$487,$F$3:$F$487,$L$3,$C$3:$C$487,$L8)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2392228.9190607881</v>
      </c>
      <c r="O9" s="98">
        <f>SUMIFS(J$3:J$487,$F$3:$F$487,$L$3,$C$3:$C$487,$L9)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0</v>
      </c>
      <c r="J16" s="282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0</v>
      </c>
      <c r="J19" s="282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0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-1042538.2000321174</v>
      </c>
      <c r="J28" s="282">
        <f>'Resultater - Vestdanmark'!J28+'Resultater - Østdanmark'!J28</f>
        <v>-702025.06467181328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19061.535843451689</v>
      </c>
      <c r="J29" s="282">
        <f>'Resultater - Vestdanmark'!J29+'Resultater - Østdanmark'!J29</f>
        <v>128356.69650120263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4765.3839608629223</v>
      </c>
      <c r="J30" s="282">
        <f>'Resultater - Vestdanmark'!J30+'Resultater - Østdanmark'!J30</f>
        <v>32089.174125300658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-133444.88960411103</v>
      </c>
      <c r="J31" s="282">
        <f>'Resultater - Vestdanmark'!J31+'Resultater - Østdanmark'!J31</f>
        <v>-898592.08277992101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201583.3056460268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69778.836569778534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-41701.5280012847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9266.0243683445715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4633.0121841722867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-104253.82000321175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19198980.976350382</v>
      </c>
      <c r="J74" s="282">
        <f>'Resultater - Vestdanmark'!J74+'Resultater - Østdanmark'!J74</f>
        <v>18380654.157700397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20710959.6167087</v>
      </c>
      <c r="J75" s="282">
        <f>'Resultater - Vestdanmark'!J75+'Resultater - Østdanmark'!J75</f>
        <v>19828187.051060196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2654995.5877227243</v>
      </c>
      <c r="J76" s="282">
        <f>'Resultater - Vestdanmark'!J76+'Resultater - Østdanmark'!J76</f>
        <v>2541830.5142478766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217010.79676991503</v>
      </c>
      <c r="J77" s="282">
        <f>'Resultater - Vestdanmark'!J77+'Resultater - Østdanmark'!J77</f>
        <v>207761.04777791505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-11848597167.645079</v>
      </c>
      <c r="J78" s="282">
        <f>'Resultater - Vestdanmark'!J78+'Resultater - Østdanmark'!J78</f>
        <v>-11343569070.705561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-909970.93283724925</v>
      </c>
      <c r="J79" s="282">
        <f>'Resultater - Vestdanmark'!J79+'Resultater - Østdanmark'!J79</f>
        <v>-871184.83166604931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1551583.4227384133</v>
      </c>
      <c r="J80" s="282">
        <f>'Resultater - Vestdanmark'!J80+'Resultater - Østdanmark'!J80</f>
        <v>1485449.583251639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429339.84441808489</v>
      </c>
      <c r="J81" s="282">
        <f>'Resultater - Vestdanmark'!J81+'Resultater - Østdanmark'!J81</f>
        <v>708360.843100667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465370.43318542745</v>
      </c>
      <c r="J83" s="282">
        <f>'Resultater - Vestdanmark'!J83+'Resultater - Østdanmark'!J83</f>
        <v>767807.12689769233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14232.928030084939</v>
      </c>
      <c r="J84" s="282">
        <f>'Resultater - Vestdanmark'!J84+'Resultater - Østdanmark'!J84</f>
        <v>23482.677022084932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-777105255.84291983</v>
      </c>
      <c r="J85" s="282">
        <f>'Resultater - Vestdanmark'!J85+'Resultater - Østdanmark'!J85</f>
        <v>-1282133352.7824395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-52459.850754472529</v>
      </c>
      <c r="J86" s="282">
        <f>'Resultater - Vestdanmark'!J86+'Resultater - Østdanmark'!J86</f>
        <v>-86552.65657847251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111938.82087403699</v>
      </c>
      <c r="J87" s="282">
        <f>'Resultater - Vestdanmark'!J87+'Resultater - Østdanmark'!J87</f>
        <v>184686.04430948858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515256.62004104216</v>
      </c>
      <c r="J88" s="282">
        <f>'Resultater - Vestdanmark'!J88+'Resultater - Østdanmark'!J88</f>
        <v>490363.24510962487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14951914.470119709</v>
      </c>
      <c r="J89" s="282">
        <f>'Resultater - Vestdanmark'!J89+'Resultater - Østdanmark'!J89</f>
        <v>14229548.956761481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293015.65755216411</v>
      </c>
      <c r="J90" s="282">
        <f>'Resultater - Vestdanmark'!J90+'Resultater - Østdanmark'!J90</f>
        <v>278859.31614767952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5596954.5699419603</v>
      </c>
      <c r="J91" s="282">
        <f>'Resultater - Vestdanmark'!J91+'Resultater - Østdanmark'!J91</f>
        <v>5326551.2734785844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63760.550480149599</v>
      </c>
      <c r="J92" s="282">
        <f>'Resultater - Vestdanmark'!J92+'Resultater - Østdanmark'!J92</f>
        <v>60680.11400014961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-3879306880.0038209</v>
      </c>
      <c r="J93" s="282">
        <f>'Resultater - Vestdanmark'!J93+'Resultater - Østdanmark'!J93</f>
        <v>-3691887569.1558208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-16225.519608877707</v>
      </c>
      <c r="J94" s="282">
        <f>'Resultater - Vestdanmark'!J94+'Resultater - Østdanmark'!J94</f>
        <v>-15441.622949677709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4195990.3994004242</v>
      </c>
      <c r="J95" s="282">
        <f>'Resultater - Vestdanmark'!J95+'Resultater - Østdanmark'!J95</f>
        <v>3993271.2917592996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32118.393848932199</v>
      </c>
      <c r="J96" s="282">
        <f>'Resultater - Vestdanmark'!J96+'Resultater - Østdanmark'!J96</f>
        <v>39585.259710896644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1735628.5906826821</v>
      </c>
      <c r="J97" s="282">
        <f>'Resultater - Vestdanmark'!J97+'Resultater - Østdanmark'!J97</f>
        <v>2139126.5343772992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14329.744947985135</v>
      </c>
      <c r="J98" s="282">
        <f>'Resultater - Vestdanmark'!J98+'Resultater - Østdanmark'!J98</f>
        <v>17661.115871015427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662956.59098436963</v>
      </c>
      <c r="J99" s="282">
        <f>'Resultater - Vestdanmark'!J99+'Resultater - Østdanmark'!J99</f>
        <v>817080.36069927691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13250.361519850407</v>
      </c>
      <c r="J100" s="282">
        <f>'Resultater - Vestdanmark'!J100+'Resultater - Østdanmark'!J100</f>
        <v>16330.797999850405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-806175891.19617903</v>
      </c>
      <c r="J101" s="282">
        <f>'Resultater - Vestdanmark'!J101+'Resultater - Østdanmark'!J101</f>
        <v>-993595202.04417896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-4064.7523925857768</v>
      </c>
      <c r="J102" s="282">
        <f>'Resultater - Vestdanmark'!J102+'Resultater - Østdanmark'!J102</f>
        <v>-5009.7237077857762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729198.1643271636</v>
      </c>
      <c r="J103" s="282">
        <f>'Resultater - Vestdanmark'!J103+'Resultater - Østdanmark'!J103</f>
        <v>898721.73718797334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123485821.50853622</v>
      </c>
      <c r="J104" s="282">
        <f>'Resultater - Vestdanmark'!J104+'Resultater - Østdanmark'!J104</f>
        <v>117579144.25674126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7859.7371462713527</v>
      </c>
      <c r="J105" s="282">
        <f>'Resultater - Vestdanmark'!J105+'Resultater - Østdanmark'!J105</f>
        <v>7483.7836154138877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174200.45135598865</v>
      </c>
      <c r="J106" s="282">
        <f>'Resultater - Vestdanmark'!J106+'Resultater - Østdanmark'!J106</f>
        <v>165867.94944842588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257342.54768893664</v>
      </c>
      <c r="J107" s="282">
        <f>'Resultater - Vestdanmark'!J107+'Resultater - Østdanmark'!J107</f>
        <v>245033.12338593573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10868.608863392021</v>
      </c>
      <c r="J108" s="282">
        <f>'Resultater - Vestdanmark'!J108+'Resultater - Østdanmark'!J108</f>
        <v>10348.732460192021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-427635863.74789321</v>
      </c>
      <c r="J109" s="282">
        <f>'Resultater - Vestdanmark'!J109+'Resultater - Østdanmark'!J109</f>
        <v>-407180826.9056533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-10135.525342076689</v>
      </c>
      <c r="J110" s="282">
        <f>'Resultater - Vestdanmark'!J110+'Resultater - Østdanmark'!J110</f>
        <v>-9650.7144039326904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16512.589095228261</v>
      </c>
      <c r="J111" s="282">
        <f>'Resultater - Vestdanmark'!J111+'Resultater - Østdanmark'!J111</f>
        <v>15722.745101921872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1693358.8885360798</v>
      </c>
      <c r="J112" s="282">
        <f>'Resultater - Vestdanmark'!J112+'Resultater - Østdanmark'!J112</f>
        <v>2106992.6925433627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2991.7765265666521</v>
      </c>
      <c r="J113" s="282">
        <f>'Resultater - Vestdanmark'!J113+'Resultater - Østdanmark'!J113</f>
        <v>3722.5725284072823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11265.23889694344</v>
      </c>
      <c r="J114" s="282">
        <f>'Resultater - Vestdanmark'!J114+'Resultater - Østdanmark'!J114</f>
        <v>14016.979032799607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20739.967460005697</v>
      </c>
      <c r="J115" s="282">
        <f>'Resultater - Vestdanmark'!J115+'Resultater - Østdanmark'!J115</f>
        <v>25806.082914648512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2128.3012166079798</v>
      </c>
      <c r="J116" s="282">
        <f>'Resultater - Vestdanmark'!J116+'Resultater - Østdanmark'!J116</f>
        <v>2648.1776198079801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-83740057.30810681</v>
      </c>
      <c r="J117" s="282">
        <f>'Resultater - Vestdanmark'!J117+'Resultater - Østdanmark'!J117</f>
        <v>-104195094.15034682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-3738.3954155404826</v>
      </c>
      <c r="J118" s="282">
        <f>'Resultater - Vestdanmark'!J118+'Resultater - Østdanmark'!J118</f>
        <v>-4651.5667031404819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3556.861811174721</v>
      </c>
      <c r="J119" s="282">
        <f>'Resultater - Vestdanmark'!J119+'Resultater - Østdanmark'!J119</f>
        <v>4425.6902038117532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6117612.5009897444</v>
      </c>
      <c r="J120" s="282">
        <f>'Resultater - Vestdanmark'!J120+'Resultater - Østdanmark'!J120</f>
        <v>6094346.0644214675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2683486.8715176973</v>
      </c>
      <c r="J121" s="282">
        <f>'Resultater - Vestdanmark'!J121+'Resultater - Østdanmark'!J121</f>
        <v>2491962.8698767768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-130253422.63695242</v>
      </c>
      <c r="J122" s="282">
        <f>'Resultater - Vestdanmark'!J122+'Resultater - Østdanmark'!J122</f>
        <v>-120957063.86000556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1850977.9587208868</v>
      </c>
      <c r="J123" s="282">
        <f>'Resultater - Vestdanmark'!J123+'Resultater - Østdanmark'!J123</f>
        <v>1718871.2175379612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127603.5504552457</v>
      </c>
      <c r="J124" s="282">
        <f>'Resultater - Vestdanmark'!J124+'Resultater - Østdanmark'!J124</f>
        <v>130558.04988182031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55973.217059808674</v>
      </c>
      <c r="J125" s="282">
        <f>'Resultater - Vestdanmark'!J125+'Resultater - Østdanmark'!J125</f>
        <v>53384.860201551623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-1839551.9681352002</v>
      </c>
      <c r="J126" s="282">
        <f>'Resultater - Vestdanmark'!J126+'Resultater - Østdanmark'!J126</f>
        <v>-1754485.9811694103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226288.86805788055</v>
      </c>
      <c r="J127" s="282">
        <f>'Resultater - Vestdanmark'!J127+'Resultater - Østdanmark'!J127</f>
        <v>215824.64294537739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82931.152170524088</v>
      </c>
      <c r="J128" s="282">
        <f>'Resultater - Vestdanmark'!J128+'Resultater - Østdanmark'!J128</f>
        <v>84851.318503348171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36377.697680824538</v>
      </c>
      <c r="J129" s="282">
        <f>'Resultater - Vestdanmark'!J129+'Resultater - Østdanmark'!J129</f>
        <v>34695.492007722816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-788273.37897699536</v>
      </c>
      <c r="J130" s="282">
        <f>'Resultater - Vestdanmark'!J130+'Resultater - Østdanmark'!J130</f>
        <v>-751821.43081620929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322811.30493890942</v>
      </c>
      <c r="J131" s="282">
        <f>'Resultater - Vestdanmark'!J131+'Resultater - Østdanmark'!J131</f>
        <v>307883.61453711009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639697.16845609527</v>
      </c>
      <c r="J132" s="282">
        <f>'Resultater - Vestdanmark'!J132+'Resultater - Østdanmark'!J132</f>
        <v>866135.84976171737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280602.76014887379</v>
      </c>
      <c r="J133" s="282">
        <f>'Resultater - Vestdanmark'!J133+'Resultater - Østdanmark'!J133</f>
        <v>354160.78362794197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-13620141.130072078</v>
      </c>
      <c r="J134" s="282">
        <f>'Resultater - Vestdanmark'!J134+'Resultater - Østdanmark'!J134</f>
        <v>-17190564.530406848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288880.95309516735</v>
      </c>
      <c r="J135" s="282">
        <f>'Resultater - Vestdanmark'!J135+'Resultater - Østdanmark'!J135</f>
        <v>364609.04614441597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13343.053339510952</v>
      </c>
      <c r="J136" s="282">
        <f>'Resultater - Vestdanmark'!J136+'Resultater - Østdanmark'!J136</f>
        <v>18555.068301385974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5852.9219457337513</v>
      </c>
      <c r="J137" s="282">
        <f>'Resultater - Vestdanmark'!J137+'Resultater - Østdanmark'!J137</f>
        <v>7587.1210407659737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-192355.46302639175</v>
      </c>
      <c r="J138" s="282">
        <f>'Resultater - Vestdanmark'!J138+'Resultater - Østdanmark'!J138</f>
        <v>-249349.67429347077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35316.75975469812</v>
      </c>
      <c r="J139" s="282">
        <f>'Resultater - Vestdanmark'!J139+'Resultater - Østdanmark'!J139</f>
        <v>45780.984867201259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8671.8181662704101</v>
      </c>
      <c r="J140" s="282">
        <f>'Resultater - Vestdanmark'!J140+'Resultater - Østdanmark'!J140</f>
        <v>12059.172235778879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3803.8875783012481</v>
      </c>
      <c r="J141" s="282">
        <f>'Resultater - Vestdanmark'!J141+'Resultater - Østdanmark'!J141</f>
        <v>4930.9653792793943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-82426.967778577149</v>
      </c>
      <c r="J142" s="282">
        <f>'Resultater - Vestdanmark'!J142+'Resultater - Østdanmark'!J142</f>
        <v>-106849.77304630369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50380.955106072579</v>
      </c>
      <c r="J143" s="282">
        <f>'Resultater - Vestdanmark'!J143+'Resultater - Østdanmark'!J143</f>
        <v>65308.645507871843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232685.95138726168</v>
      </c>
      <c r="J144" s="282">
        <f>'Resultater - Vestdanmark'!J144+'Resultater - Østdanmark'!J144</f>
        <v>231801.00273655762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-2105759.0783390985</v>
      </c>
      <c r="J145" s="282">
        <f>'Resultater - Vestdanmark'!J145+'Resultater - Østdanmark'!J145</f>
        <v>-1955468.2722033095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23939.262778504915</v>
      </c>
      <c r="J146" s="282">
        <f>'Resultater - Vestdanmark'!J146+'Resultater - Østdanmark'!J146</f>
        <v>22230.685981525952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1585.3494883221538</v>
      </c>
      <c r="J147" s="282">
        <f>'Resultater - Vestdanmark'!J147+'Resultater - Østdanmark'!J147</f>
        <v>1622.0562581373943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-11657.002911845626</v>
      </c>
      <c r="J148" s="282">
        <f>'Resultater - Vestdanmark'!J148+'Resultater - Østdanmark'!J148</f>
        <v>-11117.950754072415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955.97552721601687</v>
      </c>
      <c r="J149" s="282">
        <f>'Resultater - Vestdanmark'!J149+'Resultater - Østdanmark'!J149</f>
        <v>911.76856641990037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522.34073106488052</v>
      </c>
      <c r="J150" s="282">
        <f>'Resultater - Vestdanmark'!J150+'Resultater - Østdanmark'!J150</f>
        <v>534.43487252804482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-3207.6574313853434</v>
      </c>
      <c r="J151" s="282">
        <f>'Resultater - Vestdanmark'!J151+'Resultater - Østdanmark'!J151</f>
        <v>-3059.3264518993165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691.36319350361066</v>
      </c>
      <c r="J152" s="282">
        <f>'Resultater - Vestdanmark'!J152+'Resultater - Østdanmark'!J152</f>
        <v>659.39264120286578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20699.634634970847</v>
      </c>
      <c r="J153" s="282">
        <f>'Resultater - Vestdanmark'!J153+'Resultater - Østdanmark'!J153</f>
        <v>28026.848512692872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-187327.35384762267</v>
      </c>
      <c r="J154" s="282">
        <f>'Resultater - Vestdanmark'!J154+'Resultater - Østdanmark'!J154</f>
        <v>-236433.89109367284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3736.1855203446976</v>
      </c>
      <c r="J155" s="282">
        <f>'Resultater - Vestdanmark'!J155+'Resultater - Østdanmark'!J155</f>
        <v>4715.6000566873226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141.03195737154883</v>
      </c>
      <c r="J156" s="282">
        <f>'Resultater - Vestdanmark'!J156+'Resultater - Østdanmark'!J156</f>
        <v>196.12134757479404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-1037.0015885162093</v>
      </c>
      <c r="J157" s="282">
        <f>'Resultater - Vestdanmark'!J157+'Resultater - Østdanmark'!J157</f>
        <v>-1344.2613184469374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149.19849268689282</v>
      </c>
      <c r="J158" s="282">
        <f>'Resultater - Vestdanmark'!J158+'Resultater - Østdanmark'!J158</f>
        <v>193.40545348300918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46.467189890685042</v>
      </c>
      <c r="J159" s="282">
        <f>'Resultater - Vestdanmark'!J159+'Resultater - Østdanmark'!J159</f>
        <v>64.618034587481787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-285.35172178624532</v>
      </c>
      <c r="J160" s="282">
        <f>'Resultater - Vestdanmark'!J160+'Resultater - Østdanmark'!J160</f>
        <v>-369.90038009328094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107.9006140150144</v>
      </c>
      <c r="J161" s="282">
        <f>'Resultater - Vestdanmark'!J161+'Resultater - Østdanmark'!J161</f>
        <v>139.87116631575941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26029.289420792691</v>
      </c>
      <c r="J162" s="282">
        <f>'Resultater - Vestdanmark'!J162+'Resultater - Østdanmark'!J162</f>
        <v>24176.272688948411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-22271460.33281637</v>
      </c>
      <c r="J163" s="282">
        <f>'Resultater - Vestdanmark'!J163+'Resultater - Østdanmark'!J163</f>
        <v>-20685962.243638869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4822.713706133376</v>
      </c>
      <c r="J164" s="282">
        <f>'Resultater - Vestdanmark'!J164+'Resultater - Østdanmark'!J164</f>
        <v>4479.3862704170097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2315.5535502080893</v>
      </c>
      <c r="J165" s="282">
        <f>'Resultater - Vestdanmark'!J165+'Resultater - Østdanmark'!J165</f>
        <v>2923.1311523910349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-1981258.81226615</v>
      </c>
      <c r="J166" s="282">
        <f>'Resultater - Vestdanmark'!J166+'Resultater - Østdanmark'!J166</f>
        <v>-2501120.8894581543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752.67786165087364</v>
      </c>
      <c r="J167" s="282">
        <f>'Resultater - Vestdanmark'!J167+'Resultater - Østdanmark'!J167</f>
        <v>950.17284523997171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2016247.2669476147</v>
      </c>
      <c r="J168" s="282">
        <f>'Resultater - Vestdanmark'!J168+'Resultater - Østdanmark'!J168</f>
        <v>2008579.0975212562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-6642763.743490356</v>
      </c>
      <c r="J169" s="282">
        <f>'Resultater - Vestdanmark'!J169+'Resultater - Østdanmark'!J169</f>
        <v>-6168660.9231590796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100690.76338740437</v>
      </c>
      <c r="J170" s="282">
        <f>'Resultater - Vestdanmark'!J170+'Resultater - Østdanmark'!J170</f>
        <v>93504.33063942974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43355.708806344126</v>
      </c>
      <c r="J171" s="282">
        <f>'Resultater - Vestdanmark'!J171+'Resultater - Østdanmark'!J171</f>
        <v>44359.555614290162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-95226.987699153411</v>
      </c>
      <c r="J172" s="282">
        <f>'Resultater - Vestdanmark'!J172+'Resultater - Østdanmark'!J172</f>
        <v>-90823.427574337082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12690.340690176325</v>
      </c>
      <c r="J173" s="282">
        <f>'Resultater - Vestdanmark'!J173+'Resultater - Østdanmark'!J173</f>
        <v>12103.50412646875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47229.45648169679</v>
      </c>
      <c r="J174" s="282">
        <f>'Resultater - Vestdanmark'!J174+'Resultater - Østdanmark'!J174</f>
        <v>48322.995036029904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-66686.999503147963</v>
      </c>
      <c r="J175" s="282">
        <f>'Resultater - Vestdanmark'!J175+'Resultater - Østdanmark'!J175</f>
        <v>-63603.207618609318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30343.840243750776</v>
      </c>
      <c r="J176" s="282">
        <f>'Resultater - Vestdanmark'!J176+'Resultater - Østdanmark'!J176</f>
        <v>28940.656879877901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179364.42449898148</v>
      </c>
      <c r="J177" s="282">
        <f>'Resultater - Vestdanmark'!J177+'Resultater - Østdanmark'!J177</f>
        <v>242855.47270029731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-590937.19082263927</v>
      </c>
      <c r="J178" s="282">
        <f>'Resultater - Vestdanmark'!J178+'Resultater - Østdanmark'!J178</f>
        <v>-745847.18434559775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15714.74341884346</v>
      </c>
      <c r="J179" s="282">
        <f>'Resultater - Vestdanmark'!J179+'Resultater - Østdanmark'!J179</f>
        <v>19834.251953818432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3856.9038065296895</v>
      </c>
      <c r="J180" s="282">
        <f>'Resultater - Vestdanmark'!J180+'Resultater - Østdanmark'!J180</f>
        <v>5363.4735424550836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-8471.3487901154422</v>
      </c>
      <c r="J181" s="282">
        <f>'Resultater - Vestdanmark'!J181+'Resultater - Østdanmark'!J181</f>
        <v>-10981.378061260753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1980.5734025130682</v>
      </c>
      <c r="J182" s="282">
        <f>'Resultater - Vestdanmark'!J182+'Resultater - Østdanmark'!J182</f>
        <v>2567.4099662206436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4201.5106084006566</v>
      </c>
      <c r="J183" s="282">
        <f>'Resultater - Vestdanmark'!J183+'Resultater - Østdanmark'!J183</f>
        <v>5842.6893998108899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-5932.4446378811972</v>
      </c>
      <c r="J184" s="282">
        <f>'Resultater - Vestdanmark'!J184+'Resultater - Østdanmark'!J184</f>
        <v>-7690.206012068219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4735.7438530709296</v>
      </c>
      <c r="J185" s="282">
        <f>'Resultater - Vestdanmark'!J185+'Resultater - Østdanmark'!J185</f>
        <v>6138.9272169437982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27001790.799678013</v>
      </c>
      <c r="J186" s="282">
        <f>'Resultater - Vestdanmark'!J186+'Resultater - Østdanmark'!J186</f>
        <v>26899097.885936093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-78681516.351699993</v>
      </c>
      <c r="J187" s="282">
        <f>'Resultater - Vestdanmark'!J187+'Resultater - Østdanmark'!J187</f>
        <v>-73065912.628499985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1154178.8422843576</v>
      </c>
      <c r="J188" s="282">
        <f>'Resultater - Vestdanmark'!J188+'Resultater - Østdanmark'!J188</f>
        <v>1071803.5741845497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706275.10349806701</v>
      </c>
      <c r="J189" s="282">
        <f>'Resultater - Vestdanmark'!J189+'Resultater - Østdanmark'!J189</f>
        <v>722628.01359221688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-1438415.8449795046</v>
      </c>
      <c r="J190" s="282">
        <f>'Resultater - Vestdanmark'!J190+'Resultater - Østdanmark'!J190</f>
        <v>-1371899.5053272732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176943.89666354295</v>
      </c>
      <c r="J191" s="282">
        <f>'Resultater - Vestdanmark'!J191+'Resultater - Østdanmark'!J191</f>
        <v>168761.51993921725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925748.63193456724</v>
      </c>
      <c r="J192" s="282">
        <f>'Resultater - Vestdanmark'!J192+'Resultater - Østdanmark'!J192</f>
        <v>947183.17503658065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-1305277.3352684232</v>
      </c>
      <c r="J193" s="282">
        <f>'Resultater - Vestdanmark'!J193+'Resultater - Østdanmark'!J193</f>
        <v>-1244917.6897068778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509079.2237973173</v>
      </c>
      <c r="J194" s="282">
        <f>'Resultater - Vestdanmark'!J194+'Resultater - Østdanmark'!J194</f>
        <v>485537.98801478231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3287038.8106428846</v>
      </c>
      <c r="J195" s="282">
        <f>'Resultater - Vestdanmark'!J195+'Resultater - Østdanmark'!J195</f>
        <v>4450578.0138548817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-9578223.8980740011</v>
      </c>
      <c r="J196" s="282">
        <f>'Resultater - Vestdanmark'!J196+'Resultater - Østdanmark'!J196</f>
        <v>-12089087.36217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180131.95804437954</v>
      </c>
      <c r="J197" s="282">
        <f>'Resultater - Vestdanmark'!J197+'Resultater - Østdanmark'!J197</f>
        <v>227352.27331187419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85977.766934504587</v>
      </c>
      <c r="J198" s="282">
        <f>'Resultater - Vestdanmark'!J198+'Resultater - Østdanmark'!J198</f>
        <v>119562.08952162138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-175104.26413449924</v>
      </c>
      <c r="J199" s="282">
        <f>'Resultater - Vestdanmark'!J199+'Resultater - Østdanmark'!J199</f>
        <v>-226987.00906323979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27615.521444599188</v>
      </c>
      <c r="J200" s="282">
        <f>'Resultater - Vestdanmark'!J200+'Resultater - Østdanmark'!J200</f>
        <v>35797.898168924876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112695.18028058953</v>
      </c>
      <c r="J201" s="282">
        <f>'Resultater - Vestdanmark'!J201+'Resultater - Østdanmark'!J201</f>
        <v>156715.7616878706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-158896.76694076881</v>
      </c>
      <c r="J202" s="282">
        <f>'Resultater - Vestdanmark'!J202+'Resultater - Østdanmark'!J202</f>
        <v>-205977.29047877432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79451.670766055307</v>
      </c>
      <c r="J203" s="282">
        <f>'Resultater - Vestdanmark'!J203+'Resultater - Østdanmark'!J203</f>
        <v>102992.9065485902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259226.00461819075</v>
      </c>
      <c r="J204" s="282">
        <f>'Resultater - Vestdanmark'!J204+'Resultater - Østdanmark'!J204</f>
        <v>258240.11912898702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103425.67313497387</v>
      </c>
      <c r="J205" s="282">
        <f>'Resultater - Vestdanmark'!J205+'Resultater - Østdanmark'!J205</f>
        <v>96044.046266789126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142438.88393350772</v>
      </c>
      <c r="J207" s="282">
        <f>'Resultater - Vestdanmark'!J207+'Resultater - Østdanmark'!J207</f>
        <v>132272.83269257762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5512.5244914058194</v>
      </c>
      <c r="J208" s="282">
        <f>'Resultater - Vestdanmark'!J208+'Resultater - Østdanmark'!J208</f>
        <v>5640.1600500617624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2199.3802552194566</v>
      </c>
      <c r="J209" s="282">
        <f>'Resultater - Vestdanmark'!J209+'Resultater - Østdanmark'!J209</f>
        <v>2097.674809891389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17753.405668355132</v>
      </c>
      <c r="J211" s="282">
        <f>'Resultater - Vestdanmark'!J211+'Resultater - Østdanmark'!J211</f>
        <v>16932.438932246223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2388.921498273121</v>
      </c>
      <c r="J212" s="282">
        <f>'Resultater - Vestdanmark'!J212+'Resultater - Østdanmark'!J212</f>
        <v>2444.2339654544721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953.12896709348797</v>
      </c>
      <c r="J213" s="282">
        <f>'Resultater - Vestdanmark'!J213+'Resultater - Østdanmark'!J213</f>
        <v>909.05363913540759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16887.432586074348</v>
      </c>
      <c r="J215" s="282">
        <f>'Resultater - Vestdanmark'!J215+'Resultater - Østdanmark'!J215</f>
        <v>16106.510847989985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23060.625497537319</v>
      </c>
      <c r="J216" s="282">
        <f>'Resultater - Vestdanmark'!J216+'Resultater - Østdanmark'!J216</f>
        <v>31223.578040141154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9200.7000551864039</v>
      </c>
      <c r="J217" s="282">
        <f>'Resultater - Vestdanmark'!J217+'Resultater - Østdanmark'!J217</f>
        <v>11612.59832134814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22230.346047426061</v>
      </c>
      <c r="J219" s="282">
        <f>'Resultater - Vestdanmark'!J219+'Resultater - Østdanmark'!J219</f>
        <v>28057.87360145586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490.39162961118819</v>
      </c>
      <c r="J220" s="282">
        <f>'Resultater - Vestdanmark'!J220+'Resultater - Østdanmark'!J220</f>
        <v>681.94662423474017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195.65585044986958</v>
      </c>
      <c r="J221" s="282">
        <f>'Resultater - Vestdanmark'!J221+'Resultater - Østdanmark'!J221</f>
        <v>253.62795428686786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2770.762734367564</v>
      </c>
      <c r="J223" s="282">
        <f>'Resultater - Vestdanmark'!J223+'Resultater - Østdanmark'!J223</f>
        <v>3591.7294704764709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212.51735178279381</v>
      </c>
      <c r="J224" s="282">
        <f>'Resultater - Vestdanmark'!J224+'Resultater - Østdanmark'!J224</f>
        <v>295.53010673222258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84.789912159357115</v>
      </c>
      <c r="J225" s="282">
        <f>'Resultater - Vestdanmark'!J225+'Resultater - Østdanmark'!J225</f>
        <v>109.9128490954629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2635.6108660347249</v>
      </c>
      <c r="J227" s="282">
        <f>'Resultater - Vestdanmark'!J227+'Resultater - Østdanmark'!J227</f>
        <v>3416.5326041190874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5895505.4827213306</v>
      </c>
      <c r="J228" s="282">
        <f>'Resultater - Vestdanmark'!J228+'Resultater - Østdanmark'!J228</f>
        <v>5873083.7611216912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-9137275.4427739233</v>
      </c>
      <c r="J229" s="282">
        <f>'Resultater - Vestdanmark'!J229+'Resultater - Østdanmark'!J229</f>
        <v>-8485136.0283911619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153891.64228443176</v>
      </c>
      <c r="J230" s="282">
        <f>'Resultater - Vestdanmark'!J230+'Resultater - Østdanmark'!J230</f>
        <v>142908.19255630323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7419.9074191128602</v>
      </c>
      <c r="J231" s="282">
        <f>'Resultater - Vestdanmark'!J231+'Resultater - Østdanmark'!J231</f>
        <v>7591.7060261014194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-7453.6404662515524</v>
      </c>
      <c r="J232" s="282">
        <f>'Resultater - Vestdanmark'!J232+'Resultater - Østdanmark'!J232</f>
        <v>-7108.9634504711339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1135.2032405849204</v>
      </c>
      <c r="J233" s="282">
        <f>'Resultater - Vestdanmark'!J233+'Resultater - Østdanmark'!J233</f>
        <v>1082.7082930434212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3539.4450210289142</v>
      </c>
      <c r="J234" s="282">
        <f>'Resultater - Vestdanmark'!J234+'Resultater - Østdanmark'!J234</f>
        <v>3621.3964106862882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-2176.8589975953914</v>
      </c>
      <c r="J235" s="282">
        <f>'Resultater - Vestdanmark'!J235+'Resultater - Østdanmark'!J235</f>
        <v>-2076.1949977065869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1188.6141913418296</v>
      </c>
      <c r="J236" s="282">
        <f>'Resultater - Vestdanmark'!J236+'Resultater - Østdanmark'!J236</f>
        <v>1133.6493732450974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524461.44149757968</v>
      </c>
      <c r="J237" s="282">
        <f>'Resultater - Vestdanmark'!J237+'Resultater - Østdanmark'!J237</f>
        <v>710109.21839016816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-812847.79805948352</v>
      </c>
      <c r="J238" s="282">
        <f>'Resultater - Vestdanmark'!J238+'Resultater - Østdanmark'!J238</f>
        <v>-1025930.0834327494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24017.77076115409</v>
      </c>
      <c r="J239" s="282">
        <f>'Resultater - Vestdanmark'!J239+'Resultater - Østdanmark'!J239</f>
        <v>30313.859027094626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660.07153283321907</v>
      </c>
      <c r="J240" s="282">
        <f>'Resultater - Vestdanmark'!J240+'Resultater - Østdanmark'!J240</f>
        <v>917.9062740649897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-663.07240910758037</v>
      </c>
      <c r="J241" s="282">
        <f>'Resultater - Vestdanmark'!J241+'Resultater - Østdanmark'!J241</f>
        <v>-859.5383081024188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177.17044795255987</v>
      </c>
      <c r="J242" s="282">
        <f>'Resultater - Vestdanmark'!J242+'Resultater - Østdanmark'!J242</f>
        <v>229.66539549405906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314.86739233315024</v>
      </c>
      <c r="J243" s="282">
        <f>'Resultater - Vestdanmark'!J243+'Resultater - Østdanmark'!J243</f>
        <v>437.85974783752397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-193.65236978608712</v>
      </c>
      <c r="J244" s="282">
        <f>'Resultater - Vestdanmark'!J244+'Resultater - Østdanmark'!J244</f>
        <v>-251.03084972270551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185.50626107647051</v>
      </c>
      <c r="J245" s="282">
        <f>'Resultater - Vestdanmark'!J245+'Resultater - Østdanmark'!J245</f>
        <v>240.47107917320253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37368.593812366278</v>
      </c>
      <c r="J246" s="282">
        <f>'Resultater - Vestdanmark'!J246+'Resultater - Østdanmark'!J246</f>
        <v>37226.473987444311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-574820.58938207361</v>
      </c>
      <c r="J247" s="282">
        <f>'Resultater - Vestdanmark'!J247+'Resultater - Østdanmark'!J247</f>
        <v>-533794.88485094521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8070.8685347358205</v>
      </c>
      <c r="J248" s="282">
        <f>'Resultater - Vestdanmark'!J248+'Resultater - Østdanmark'!J248</f>
        <v>7494.8399896003784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615.8085437161526</v>
      </c>
      <c r="J249" s="282">
        <f>'Resultater - Vestdanmark'!J249+'Resultater - Østdanmark'!J249</f>
        <v>630.06681460907134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-7893.8709830065436</v>
      </c>
      <c r="J250" s="282">
        <f>'Resultater - Vestdanmark'!J250+'Resultater - Østdanmark'!J250</f>
        <v>-7528.8364866825405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601.15742712269844</v>
      </c>
      <c r="J251" s="282">
        <f>'Resultater - Vestdanmark'!J251+'Resultater - Østdanmark'!J251</f>
        <v>573.35823974130199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455.5440653732993</v>
      </c>
      <c r="J252" s="282">
        <f>'Resultater - Vestdanmark'!J252+'Resultater - Østdanmark'!J252</f>
        <v>466.09161420813308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-5005.2747017265629</v>
      </c>
      <c r="J253" s="282">
        <f>'Resultater - Vestdanmark'!J253+'Resultater - Østdanmark'!J253</f>
        <v>-4773.8169120513467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1018.9914983851248</v>
      </c>
      <c r="J254" s="282">
        <f>'Resultater - Vestdanmark'!J254+'Resultater - Østdanmark'!J254</f>
        <v>971.87050424014797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3324.2928252735092</v>
      </c>
      <c r="J255" s="282">
        <f>'Resultater - Vestdanmark'!J255+'Resultater - Østdanmark'!J255</f>
        <v>4501.0191275728121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-51135.773818439964</v>
      </c>
      <c r="J256" s="282">
        <f>'Resultater - Vestdanmark'!J256+'Resultater - Østdanmark'!J256</f>
        <v>-64540.654259250652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1259.6153204500993</v>
      </c>
      <c r="J257" s="282">
        <f>'Resultater - Vestdanmark'!J257+'Resultater - Østdanmark'!J257</f>
        <v>1589.8145432485653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54.782043282032305</v>
      </c>
      <c r="J258" s="282">
        <f>'Resultater - Vestdanmark'!J258+'Resultater - Østdanmark'!J258</f>
        <v>76.180805766369517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-702.23511230329893</v>
      </c>
      <c r="J259" s="282">
        <f>'Resultater - Vestdanmark'!J259+'Resultater - Østdanmark'!J259</f>
        <v>-910.30477520797979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93.822257412213062</v>
      </c>
      <c r="J260" s="282">
        <f>'Resultater - Vestdanmark'!J260+'Resultater - Østdanmark'!J260</f>
        <v>121.6214447936095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40.524989399393505</v>
      </c>
      <c r="J261" s="282">
        <f>'Resultater - Vestdanmark'!J261+'Resultater - Østdanmark'!J261</f>
        <v>56.354713354256091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-445.26692288769829</v>
      </c>
      <c r="J262" s="282">
        <f>'Resultater - Vestdanmark'!J262+'Resultater - Østdanmark'!J262</f>
        <v>-577.19786300257181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159.03335523929695</v>
      </c>
      <c r="J263" s="282">
        <f>'Resultater - Vestdanmark'!J263+'Resultater - Østdanmark'!J263</f>
        <v>206.15434938427381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1160740.5779352796</v>
      </c>
      <c r="J264" s="282">
        <f>'Resultater - Vestdanmark'!J264+'Resultater - Østdanmark'!J264</f>
        <v>1156326.0621377544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-5163288.3186839549</v>
      </c>
      <c r="J265" s="282">
        <f>'Resultater - Vestdanmark'!J265+'Resultater - Østdanmark'!J265</f>
        <v>-4794777.6131104687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82625.733029174298</v>
      </c>
      <c r="J266" s="282">
        <f>'Resultater - Vestdanmark'!J266+'Resultater - Østdanmark'!J266</f>
        <v>76728.62535325269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33514.846017662872</v>
      </c>
      <c r="J267" s="282">
        <f>'Resultater - Vestdanmark'!J267+'Resultater - Østdanmark'!J267</f>
        <v>34290.840047512778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-109298.46627893313</v>
      </c>
      <c r="J268" s="282">
        <f>'Resultater - Vestdanmark'!J268+'Resultater - Østdanmark'!J268</f>
        <v>-104244.20194233507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13982.941340540916</v>
      </c>
      <c r="J269" s="282">
        <f>'Resultater - Vestdanmark'!J269+'Resultater - Østdanmark'!J269</f>
        <v>13336.331336354053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24547.175218188691</v>
      </c>
      <c r="J270" s="282">
        <f>'Resultater - Vestdanmark'!J270+'Resultater - Østdanmark'!J270</f>
        <v>25115.534130205029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-59239.322330365954</v>
      </c>
      <c r="J271" s="282">
        <f>'Resultater - Vestdanmark'!J271+'Resultater - Østdanmark'!J271</f>
        <v>-56499.931702372152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22479.85132920558</v>
      </c>
      <c r="J272" s="282">
        <f>'Resultater - Vestdanmark'!J272+'Resultater - Østdanmark'!J272</f>
        <v>21440.320631901275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103258.9450544737</v>
      </c>
      <c r="J273" s="282">
        <f>'Resultater - Vestdanmark'!J273+'Resultater - Østdanmark'!J273</f>
        <v>139810.33296756484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-459323.74118234706</v>
      </c>
      <c r="J274" s="282">
        <f>'Resultater - Vestdanmark'!J274+'Resultater - Østdanmark'!J274</f>
        <v>-579732.2023124476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12895.345617269975</v>
      </c>
      <c r="J275" s="282">
        <f>'Resultater - Vestdanmark'!J275+'Resultater - Østdanmark'!J275</f>
        <v>16275.769014326328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2981.4652035365989</v>
      </c>
      <c r="J276" s="282">
        <f>'Resultater - Vestdanmark'!J276+'Resultater - Østdanmark'!J276</f>
        <v>4146.0742966538164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-9723.1410175305264</v>
      </c>
      <c r="J277" s="282">
        <f>'Resultater - Vestdanmark'!J277+'Resultater - Østdanmark'!J277</f>
        <v>-12604.071689391423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2182.3087641306633</v>
      </c>
      <c r="J278" s="282">
        <f>'Resultater - Vestdanmark'!J278+'Resultater - Østdanmark'!J278</f>
        <v>2828.9187683175264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2183.7053561151674</v>
      </c>
      <c r="J279" s="282">
        <f>'Resultater - Vestdanmark'!J279+'Resultater - Østdanmark'!J279</f>
        <v>3036.6963993793343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-5269.9027206030751</v>
      </c>
      <c r="J280" s="282">
        <f>'Resultater - Vestdanmark'!J280+'Resultater - Østdanmark'!J280</f>
        <v>-6831.3553785595395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3508.4161034020271</v>
      </c>
      <c r="J281" s="282">
        <f>'Resultater - Vestdanmark'!J281+'Resultater - Østdanmark'!J281</f>
        <v>4547.9468007063306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6538656.3127026604</v>
      </c>
      <c r="J282" s="282">
        <f>'Resultater - Vestdanmark'!J282+'Resultater - Østdanmark'!J282</f>
        <v>6513788.566941279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-21925833.579918846</v>
      </c>
      <c r="J283" s="282">
        <f>'Resultater - Vestdanmark'!J283+'Resultater - Østdanmark'!J283</f>
        <v>-20360957.883633468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311579.02695678157</v>
      </c>
      <c r="J284" s="282">
        <f>'Resultater - Vestdanmark'!J284+'Resultater - Østdanmark'!J284</f>
        <v>289341.22035391314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153453.82496259263</v>
      </c>
      <c r="J285" s="282">
        <f>'Resultater - Vestdanmark'!J285+'Resultater - Østdanmark'!J285</f>
        <v>157006.85492328065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-348407.45939507824</v>
      </c>
      <c r="J286" s="282">
        <f>'Resultater - Vestdanmark'!J286+'Resultater - Østdanmark'!J286</f>
        <v>-332296.13179299369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42858.658507678403</v>
      </c>
      <c r="J287" s="282">
        <f>'Resultater - Vestdanmark'!J287+'Resultater - Østdanmark'!J287</f>
        <v>40876.75522408633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66365.970991770519</v>
      </c>
      <c r="J288" s="282">
        <f>'Resultater - Vestdanmark'!J288+'Resultater - Østdanmark'!J288</f>
        <v>67902.591427014777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-99349.351718131846</v>
      </c>
      <c r="J289" s="282">
        <f>'Resultater - Vestdanmark'!J289+'Resultater - Østdanmark'!J289</f>
        <v>-94755.162043304925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40685.242871687507</v>
      </c>
      <c r="J290" s="282">
        <f>'Resultater - Vestdanmark'!J290+'Resultater - Østdanmark'!J290</f>
        <v>38803.844357389826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847001.66455298616</v>
      </c>
      <c r="J291" s="282">
        <f>'Resultater - Vestdanmark'!J291+'Resultater - Østdanmark'!J291</f>
        <v>1146821.5628463281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-2840219.251595268</v>
      </c>
      <c r="J292" s="282">
        <f>'Resultater - Vestdanmark'!J292+'Resultater - Østdanmark'!J292</f>
        <v>-3584762.5849669832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48627.940623312745</v>
      </c>
      <c r="J293" s="282">
        <f>'Resultater - Vestdanmark'!J293+'Resultater - Østdanmark'!J293</f>
        <v>61375.410378102795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19878.035938795954</v>
      </c>
      <c r="J294" s="282">
        <f>'Resultater - Vestdanmark'!J294+'Resultater - Østdanmark'!J294</f>
        <v>27642.722033462447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-45131.856445339326</v>
      </c>
      <c r="J295" s="282">
        <f>'Resultater - Vestdanmark'!J295+'Resultater - Østdanmark'!J295</f>
        <v>-58504.258355069491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6688.9235821232187</v>
      </c>
      <c r="J296" s="282">
        <f>'Resultater - Vestdanmark'!J296+'Resultater - Østdanmark'!J296</f>
        <v>8670.8268657152839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8596.8867625755938</v>
      </c>
      <c r="J297" s="282">
        <f>'Resultater - Vestdanmark'!J297+'Resultater - Østdanmark'!J297</f>
        <v>11954.971399725935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-12869.473826608873</v>
      </c>
      <c r="J298" s="282">
        <f>'Resultater - Vestdanmark'!J298+'Resultater - Østdanmark'!J298</f>
        <v>-16682.651256715202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6349.7199857546993</v>
      </c>
      <c r="J299" s="282">
        <f>'Resultater - Vestdanmark'!J299+'Resultater - Østdanmark'!J299</f>
        <v>8231.1185000523856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432411.76206732308</v>
      </c>
      <c r="J300" s="282">
        <f>'Resultater - Vestdanmark'!J300+'Resultater - Østdanmark'!J300</f>
        <v>430767.2184104817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310380.78625631024</v>
      </c>
      <c r="J301" s="282">
        <f>'Resultater - Vestdanmark'!J301+'Resultater - Østdanmark'!J301</f>
        <v>288228.49967454537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-16043092.427446898</v>
      </c>
      <c r="J302" s="282">
        <f>'Resultater - Vestdanmark'!J302+'Resultater - Østdanmark'!J302</f>
        <v>-14898075.735540375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208440.50793905521</v>
      </c>
      <c r="J303" s="282">
        <f>'Resultater - Vestdanmark'!J303+'Resultater - Østdanmark'!J303</f>
        <v>193563.83363582837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7524.9184400166405</v>
      </c>
      <c r="J304" s="282">
        <f>'Resultater - Vestdanmark'!J304+'Resultater - Østdanmark'!J304</f>
        <v>7699.1484448772626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5401.3102945227929</v>
      </c>
      <c r="J305" s="282">
        <f>'Resultater - Vestdanmark'!J305+'Resultater - Østdanmark'!J305</f>
        <v>5151.5387202095999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-192770.72976778267</v>
      </c>
      <c r="J306" s="282">
        <f>'Resultater - Vestdanmark'!J306+'Resultater - Østdanmark'!J306</f>
        <v>-183856.47636811645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21260.210989265601</v>
      </c>
      <c r="J307" s="282">
        <f>'Resultater - Vestdanmark'!J307+'Resultater - Østdanmark'!J307</f>
        <v>20277.079845253316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3979.7337616855807</v>
      </c>
      <c r="J308" s="282">
        <f>'Resultater - Vestdanmark'!J308+'Resultater - Østdanmark'!J308</f>
        <v>4071.879482356132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2856.6126141833251</v>
      </c>
      <c r="J309" s="282">
        <f>'Resultater - Vestdanmark'!J309+'Resultater - Østdanmark'!J309</f>
        <v>2724.5149210418995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-69306.882177057356</v>
      </c>
      <c r="J310" s="282">
        <f>'Resultater - Vestdanmark'!J310+'Resultater - Østdanmark'!J310</f>
        <v>-66101.939648638509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24680.297882418934</v>
      </c>
      <c r="J311" s="282">
        <f>'Resultater - Vestdanmark'!J311+'Resultater - Østdanmark'!J311</f>
        <v>23539.012431208808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37117.425819073687</v>
      </c>
      <c r="J312" s="282">
        <f>'Resultater - Vestdanmark'!J312+'Resultater - Østdanmark'!J312</f>
        <v>50256.175481222861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26642.512577492525</v>
      </c>
      <c r="J313" s="282">
        <f>'Resultater - Vestdanmark'!J313+'Resultater - Østdanmark'!J313</f>
        <v>33626.658295363617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-1377109.3788877833</v>
      </c>
      <c r="J314" s="282">
        <f>'Resultater - Vestdanmark'!J314+'Resultater - Østdanmark'!J314</f>
        <v>-1738108.8358130436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32531.177539621334</v>
      </c>
      <c r="J315" s="282">
        <f>'Resultater - Vestdanmark'!J315+'Resultater - Østdanmark'!J315</f>
        <v>41058.995013660548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645.92507996674658</v>
      </c>
      <c r="J316" s="282">
        <f>'Resultater - Vestdanmark'!J316+'Resultater - Østdanmark'!J316</f>
        <v>898.23398523568062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463.63848481886413</v>
      </c>
      <c r="J317" s="282">
        <f>'Resultater - Vestdanmark'!J317+'Resultater - Østdanmark'!J317</f>
        <v>601.01285069111998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-16547.082873130483</v>
      </c>
      <c r="J318" s="282">
        <f>'Resultater - Vestdanmark'!J318+'Resultater - Østdanmark'!J318</f>
        <v>-21449.922242946916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3318.0676110414529</v>
      </c>
      <c r="J319" s="282">
        <f>'Resultater - Vestdanmark'!J319+'Resultater - Østdanmark'!J319</f>
        <v>4301.1987550537342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341.61298474584328</v>
      </c>
      <c r="J320" s="282">
        <f>'Resultater - Vestdanmark'!J320+'Resultater - Østdanmark'!J320</f>
        <v>475.05260627488212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245.20634289377099</v>
      </c>
      <c r="J321" s="282">
        <f>'Resultater - Vestdanmark'!J321+'Resultater - Østdanmark'!J321</f>
        <v>317.86007412155504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-5949.174568377467</v>
      </c>
      <c r="J322" s="282">
        <f>'Resultater - Vestdanmark'!J322+'Resultater - Østdanmark'!J322</f>
        <v>-7711.8929590078278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3851.838397834169</v>
      </c>
      <c r="J323" s="282">
        <f>'Resultater - Vestdanmark'!J323+'Resultater - Østdanmark'!J323</f>
        <v>4993.1238490442929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1251384.0274078758</v>
      </c>
      <c r="J324" s="282">
        <f>'Resultater - Vestdanmark'!J324+'Resultater - Østdanmark'!J324</f>
        <v>1246624.7774404201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279388.04278637352</v>
      </c>
      <c r="J325" s="282">
        <f>'Resultater - Vestdanmark'!J325+'Resultater - Østdanmark'!J325</f>
        <v>259447.74923285682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-12254327.333482277</v>
      </c>
      <c r="J326" s="282">
        <f>'Resultater - Vestdanmark'!J326+'Resultater - Østdanmark'!J326</f>
        <v>-11379719.809504025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185750.63356974517</v>
      </c>
      <c r="J327" s="282">
        <f>'Resultater - Vestdanmark'!J327+'Resultater - Østdanmark'!J327</f>
        <v>172493.36556288012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46996.376065825483</v>
      </c>
      <c r="J328" s="282">
        <f>'Resultater - Vestdanmark'!J328+'Resultater - Østdanmark'!J328</f>
        <v>48084.517936817268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10492.5628260426</v>
      </c>
      <c r="J329" s="282">
        <f>'Resultater - Vestdanmark'!J329+'Resultater - Østdanmark'!J329</f>
        <v>10007.357608653347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-345163.21320102591</v>
      </c>
      <c r="J330" s="282">
        <f>'Resultater - Vestdanmark'!J330+'Resultater - Østdanmark'!J330</f>
        <v>-329201.90854433109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40886.997128963179</v>
      </c>
      <c r="J331" s="282">
        <f>'Resultater - Vestdanmark'!J331+'Resultater - Østdanmark'!J331</f>
        <v>38996.268938028465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44931.017565096816</v>
      </c>
      <c r="J332" s="282">
        <f>'Resultater - Vestdanmark'!J332+'Resultater - Østdanmark'!J332</f>
        <v>45971.338662416529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10031.444211346794</v>
      </c>
      <c r="J333" s="282">
        <f>'Resultater - Vestdanmark'!J333+'Resultater - Østdanmark'!J333</f>
        <v>9567.5623981053213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-251424.19894858479</v>
      </c>
      <c r="J334" s="282">
        <f>'Resultater - Vestdanmark'!J334+'Resultater - Østdanmark'!J334</f>
        <v>-239797.64639604904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85802.057932769181</v>
      </c>
      <c r="J335" s="282">
        <f>'Resultater - Vestdanmark'!J335+'Resultater - Østdanmark'!J335</f>
        <v>81834.332710444578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111322.54440350988</v>
      </c>
      <c r="J336" s="282">
        <f>'Resultater - Vestdanmark'!J336+'Resultater - Østdanmark'!J336</f>
        <v>150728.26854506898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24854.231089492998</v>
      </c>
      <c r="J337" s="282">
        <f>'Resultater - Vestdanmark'!J337+'Resultater - Østdanmark'!J337</f>
        <v>31369.591498154507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-1090139.2928456198</v>
      </c>
      <c r="J338" s="282">
        <f>'Resultater - Vestdanmark'!J338+'Resultater - Østdanmark'!J338</f>
        <v>-1375911.5769673046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28989.983273890866</v>
      </c>
      <c r="J339" s="282">
        <f>'Resultater - Vestdanmark'!J339+'Resultater - Østdanmark'!J339</f>
        <v>36589.501786065477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4180.7758823875965</v>
      </c>
      <c r="J340" s="282">
        <f>'Resultater - Vestdanmark'!J340+'Resultater - Østdanmark'!J340</f>
        <v>5813.8553505424516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933.4135369525759</v>
      </c>
      <c r="J341" s="282">
        <f>'Resultater - Vestdanmark'!J341+'Resultater - Østdanmark'!J341</f>
        <v>1209.98051086445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-30705.5598333167</v>
      </c>
      <c r="J342" s="282">
        <f>'Resultater - Vestdanmark'!J342+'Resultater - Østdanmark'!J342</f>
        <v>-39803.503487632755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6381.2076444046597</v>
      </c>
      <c r="J343" s="282">
        <f>'Resultater - Vestdanmark'!J343+'Resultater - Østdanmark'!J343</f>
        <v>8271.9358353393727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3997.0425452418499</v>
      </c>
      <c r="J344" s="282">
        <f>'Resultater - Vestdanmark'!J344+'Resultater - Østdanmark'!J344</f>
        <v>5558.352765546726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892.39263822327825</v>
      </c>
      <c r="J345" s="282">
        <f>'Resultater - Vestdanmark'!J345+'Resultater - Østdanmark'!J345</f>
        <v>1156.8052717709163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-22366.580472940572</v>
      </c>
      <c r="J346" s="282">
        <f>'Resultater - Vestdanmark'!J346+'Resultater - Østdanmark'!J346</f>
        <v>-28993.715427885927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13391.072625345478</v>
      </c>
      <c r="J347" s="282">
        <f>'Resultater - Vestdanmark'!J347+'Resultater - Østdanmark'!J347</f>
        <v>17358.797847670063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822429.07045355951</v>
      </c>
      <c r="J348" s="282">
        <f>'Resultater - Vestdanmark'!J348+'Resultater - Østdanmark'!J348</f>
        <v>819301.2172597656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-1687820.8535427526</v>
      </c>
      <c r="J349" s="282">
        <f>'Resultater - Vestdanmark'!J349+'Resultater - Østdanmark'!J349</f>
        <v>-1567358.850409986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30161.272228486283</v>
      </c>
      <c r="J350" s="282">
        <f>'Resultater - Vestdanmark'!J350+'Resultater - Østdanmark'!J350</f>
        <v>28008.622400721786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15606.173335078131</v>
      </c>
      <c r="J351" s="282">
        <f>'Resultater - Vestdanmark'!J351+'Resultater - Østdanmark'!J351</f>
        <v>15967.514614415682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-24263.329190109031</v>
      </c>
      <c r="J352" s="282">
        <f>'Resultater - Vestdanmark'!J352+'Resultater - Østdanmark'!J352</f>
        <v>-23141.325528138674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2586.8820016263107</v>
      </c>
      <c r="J353" s="282">
        <f>'Resultater - Vestdanmark'!J353+'Resultater - Østdanmark'!J353</f>
        <v>2467.2574003950358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11409.983786663341</v>
      </c>
      <c r="J354" s="282">
        <f>'Resultater - Vestdanmark'!J354+'Resultater - Østdanmark'!J354</f>
        <v>11674.167584329265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-13684.682046904327</v>
      </c>
      <c r="J355" s="282">
        <f>'Resultater - Vestdanmark'!J355+'Resultater - Østdanmark'!J355</f>
        <v>-13051.864379995453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4333.7402801898061</v>
      </c>
      <c r="J356" s="282">
        <f>'Resultater - Vestdanmark'!J356+'Resultater - Østdanmark'!J356</f>
        <v>4133.3361053833396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73162.909793527637</v>
      </c>
      <c r="J357" s="282">
        <f>'Resultater - Vestdanmark'!J357+'Resultater - Østdanmark'!J357</f>
        <v>99060.965359589813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-150147.7626359709</v>
      </c>
      <c r="J358" s="282">
        <f>'Resultater - Vestdanmark'!J358+'Resultater - Østdanmark'!J358</f>
        <v>-189507.9337313892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4707.2505790123105</v>
      </c>
      <c r="J359" s="282">
        <f>'Resultater - Vestdanmark'!J359+'Resultater - Østdanmark'!J359</f>
        <v>5941.2229334864378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1388.3179631609967</v>
      </c>
      <c r="J360" s="282">
        <f>'Resultater - Vestdanmark'!J360+'Resultater - Østdanmark'!J360</f>
        <v>1930.6176761066235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-2158.4545447154796</v>
      </c>
      <c r="J361" s="282">
        <f>'Resultater - Vestdanmark'!J361+'Resultater - Østdanmark'!J361</f>
        <v>-2797.9966320385847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403.73302915555138</v>
      </c>
      <c r="J362" s="282">
        <f>'Resultater - Vestdanmark'!J362+'Resultater - Østdanmark'!J362</f>
        <v>523.3576303868258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1015.0268813684903</v>
      </c>
      <c r="J363" s="282">
        <f>'Resultater - Vestdanmark'!J363+'Resultater - Østdanmark'!J363</f>
        <v>1411.5129897416293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-1217.3829867159398</v>
      </c>
      <c r="J364" s="282">
        <f>'Resultater - Vestdanmark'!J364+'Resultater - Østdanmark'!J364</f>
        <v>-1578.0890568539955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676.36408997181934</v>
      </c>
      <c r="J365" s="282">
        <f>'Resultater - Vestdanmark'!J365+'Resultater - Østdanmark'!J365</f>
        <v>876.76826477828422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154273.20639446744</v>
      </c>
      <c r="J366" s="282">
        <f>'Resultater - Vestdanmark'!J366+'Resultater - Østdanmark'!J366</f>
        <v>153686.47623295739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-708044.93979550339</v>
      </c>
      <c r="J367" s="282">
        <f>'Resultater - Vestdanmark'!J367+'Resultater - Østdanmark'!J367</f>
        <v>-657510.83744882641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11598.332917355026</v>
      </c>
      <c r="J368" s="282">
        <f>'Resultater - Vestdanmark'!J368+'Resultater - Østdanmark'!J368</f>
        <v>10770.544581115051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12777.848929313532</v>
      </c>
      <c r="J369" s="282">
        <f>'Resultater - Vestdanmark'!J369+'Resultater - Østdanmark'!J369</f>
        <v>13073.703920807318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-48870.504300546156</v>
      </c>
      <c r="J370" s="282">
        <f>'Resultater - Vestdanmark'!J370+'Resultater - Østdanmark'!J370</f>
        <v>-46610.596587226108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4342.019836977558</v>
      </c>
      <c r="J371" s="282">
        <f>'Resultater - Vestdanmark'!J371+'Resultater - Østdanmark'!J371</f>
        <v>4141.2327924930469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13451.160805450048</v>
      </c>
      <c r="J372" s="282">
        <f>'Resultater - Vestdanmark'!J372+'Resultater - Østdanmark'!J372</f>
        <v>13762.605485043063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-44096.289420851703</v>
      </c>
      <c r="J373" s="282">
        <f>'Resultater - Vestdanmark'!J373+'Resultater - Østdanmark'!J373</f>
        <v>-42057.154649945267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10473.491365110818</v>
      </c>
      <c r="J374" s="282">
        <f>'Resultater - Vestdanmark'!J374+'Resultater - Østdanmark'!J374</f>
        <v>9989.1680649900845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13724.073100640773</v>
      </c>
      <c r="J375" s="282">
        <f>'Resultater - Vestdanmark'!J375+'Resultater - Østdanmark'!J375</f>
        <v>18582.092126348478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-62987.350424582641</v>
      </c>
      <c r="J376" s="282">
        <f>'Resultater - Vestdanmark'!J376+'Resultater - Østdanmark'!J376</f>
        <v>-79499.037618812639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1810.1444437490504</v>
      </c>
      <c r="J377" s="282">
        <f>'Resultater - Vestdanmark'!J377+'Resultater - Østdanmark'!J377</f>
        <v>2284.6609717516776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1136.711531919857</v>
      </c>
      <c r="J378" s="282">
        <f>'Resultater - Vestdanmark'!J378+'Resultater - Østdanmark'!J378</f>
        <v>1580.7296558794301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-4347.4974634994524</v>
      </c>
      <c r="J379" s="282">
        <f>'Resultater - Vestdanmark'!J379+'Resultater - Østdanmark'!J379</f>
        <v>-5635.644860091882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677.65627513522588</v>
      </c>
      <c r="J380" s="282">
        <f>'Resultater - Vestdanmark'!J380+'Resultater - Østdanmark'!J380</f>
        <v>878.44331961973717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1196.6090450628683</v>
      </c>
      <c r="J381" s="282">
        <f>'Resultater - Vestdanmark'!J381+'Resultater - Østdanmark'!J381</f>
        <v>1664.0241177370244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-3922.7855155312582</v>
      </c>
      <c r="J382" s="282">
        <f>'Resultater - Vestdanmark'!J382+'Resultater - Østdanmark'!J382</f>
        <v>-5085.0923349479272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1634.5911379074687</v>
      </c>
      <c r="J383" s="282">
        <f>'Resultater - Vestdanmark'!J383+'Resultater - Østdanmark'!J383</f>
        <v>2118.9144380282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2115889.3802333996</v>
      </c>
      <c r="J384" s="282">
        <f>'Resultater - Vestdanmark'!J384+'Resultater - Østdanmark'!J384</f>
        <v>2107842.2530178837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-7156553.3246343043</v>
      </c>
      <c r="J385" s="282">
        <f>'Resultater - Vestdanmark'!J385+'Resultater - Østdanmark'!J385</f>
        <v>-6645780.6634230334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281351.93121685996</v>
      </c>
      <c r="J386" s="282">
        <f>'Resultater - Vestdanmark'!J386+'Resultater - Østdanmark'!J386</f>
        <v>261271.4723526889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799165.48722017289</v>
      </c>
      <c r="J387" s="282">
        <f>'Resultater - Vestdanmark'!J387+'Resultater - Østdanmark'!J387</f>
        <v>817669.15710479999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-2252508.44</v>
      </c>
      <c r="J388" s="282">
        <f>'Resultater - Vestdanmark'!J388+'Resultater - Østdanmark'!J388</f>
        <v>-2148346.1999999997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480311.13094922929</v>
      </c>
      <c r="J389" s="282">
        <f>'Resultater - Vestdanmark'!J389+'Resultater - Østdanmark'!J389</f>
        <v>458100.21159897582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721761.95915080293</v>
      </c>
      <c r="J390" s="282">
        <f>'Resultater - Vestdanmark'!J390+'Resultater - Østdanmark'!J390</f>
        <v>738473.44787369971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-1743720.6299999992</v>
      </c>
      <c r="J391" s="282">
        <f>'Resultater - Vestdanmark'!J391+'Resultater - Østdanmark'!J391</f>
        <v>-1663086.1499999994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993979.84917078388</v>
      </c>
      <c r="J392" s="282">
        <f>'Resultater - Vestdanmark'!J392+'Resultater - Østdanmark'!J392</f>
        <v>948015.4630819615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330225.51020983694</v>
      </c>
      <c r="J393" s="282">
        <f>'Resultater - Vestdanmark'!J393+'Resultater - Østdanmark'!J393</f>
        <v>447118.05367046018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-1116918.7269660474</v>
      </c>
      <c r="J394" s="282">
        <f>'Resultater - Vestdanmark'!J394+'Resultater - Østdanmark'!J394</f>
        <v>-1409711.0498170073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43910.41701072381</v>
      </c>
      <c r="J395" s="282">
        <f>'Resultater - Vestdanmark'!J395+'Resultater - Østdanmark'!J395</f>
        <v>55421.221408146135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124725.24945054723</v>
      </c>
      <c r="J396" s="282">
        <f>'Resultater - Vestdanmark'!J396+'Resultater - Østdanmark'!J396</f>
        <v>173444.97271919998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-351547.56</v>
      </c>
      <c r="J397" s="282">
        <f>'Resultater - Vestdanmark'!J397+'Resultater - Østdanmark'!J397</f>
        <v>-455709.79999999993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74961.852807105141</v>
      </c>
      <c r="J398" s="282">
        <f>'Resultater - Vestdanmark'!J398+'Resultater - Østdanmark'!J398</f>
        <v>97172.7721573585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112644.93004087679</v>
      </c>
      <c r="J399" s="282">
        <f>'Resultater - Vestdanmark'!J399+'Resultater - Østdanmark'!J399</f>
        <v>156645.88288229995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-272141.36999999994</v>
      </c>
      <c r="J400" s="282">
        <f>'Resultater - Vestdanmark'!J400+'Resultater - Østdanmark'!J400</f>
        <v>-352775.84999999986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155129.80304977554</v>
      </c>
      <c r="J401" s="282">
        <f>'Resultater - Vestdanmark'!J401+'Resultater - Østdanmark'!J401</f>
        <v>201094.1891385979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792440.79236345144</v>
      </c>
      <c r="J402" s="282">
        <f>'Resultater - Vestdanmark'!J402+'Resultater - Østdanmark'!J402</f>
        <v>871392.37125140009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858477.52506040584</v>
      </c>
      <c r="J403" s="282">
        <f>'Resultater - Vestdanmark'!J403+'Resultater - Østdanmark'!J403</f>
        <v>944008.40218901669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4019968.1027908651</v>
      </c>
      <c r="J404" s="282">
        <f>'Resultater - Vestdanmark'!J404+'Resultater - Østdanmark'!J404</f>
        <v>3945296.1183936791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156497.77902315825</v>
      </c>
      <c r="J405" s="282">
        <f>'Resultater - Vestdanmark'!J405+'Resultater - Østdanmark'!J405</f>
        <v>153590.79085444653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20563.808163642996</v>
      </c>
      <c r="J406" s="282">
        <f>'Resultater - Vestdanmark'!J406+'Resultater - Østdanmark'!J406</f>
        <v>20181.829918274274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2083445.2791123071</v>
      </c>
      <c r="J407" s="282">
        <f>'Resultater - Vestdanmark'!J407+'Resultater - Østdanmark'!J407</f>
        <v>2044744.7249297362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1893219.7653721168</v>
      </c>
      <c r="J408" s="282">
        <f>'Resultater - Vestdanmark'!J408+'Resultater - Østdanmark'!J408</f>
        <v>1841201.8445695294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36271.11801266433</v>
      </c>
      <c r="J409" s="282">
        <f>'Resultater - Vestdanmark'!J409+'Resultater - Østdanmark'!J409</f>
        <v>35274.536327477232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168844.62070164204</v>
      </c>
      <c r="J410" s="282">
        <f>'Resultater - Vestdanmark'!J410+'Resultater - Østdanmark'!J410</f>
        <v>164205.46244424098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166599.06209826362</v>
      </c>
      <c r="J411" s="282">
        <f>'Resultater - Vestdanmark'!J411+'Resultater - Østdanmark'!J411</f>
        <v>162021.60258906108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136456.72063438955</v>
      </c>
      <c r="J412" s="282">
        <f>'Resultater - Vestdanmark'!J412+'Resultater - Østdanmark'!J412</f>
        <v>132112.41514111587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66182.615315787814</v>
      </c>
      <c r="J413" s="282">
        <f>'Resultater - Vestdanmark'!J413+'Resultater - Østdanmark'!J413</f>
        <v>64075.59194648124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8735.884060062217</v>
      </c>
      <c r="J414" s="282">
        <f>'Resultater - Vestdanmark'!J414+'Resultater - Østdanmark'!J414</f>
        <v>8457.7640163275155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89791.618440133156</v>
      </c>
      <c r="J415" s="282">
        <f>'Resultater - Vestdanmark'!J415+'Resultater - Østdanmark'!J415</f>
        <v>86932.966851366335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236247.52226772945</v>
      </c>
      <c r="J416" s="282">
        <f>'Resultater - Vestdanmark'!J416+'Resultater - Østdanmark'!J416</f>
        <v>225880.63937128911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871.39509065374796</v>
      </c>
      <c r="J417" s="285">
        <f>'Resultater - Vestdanmark'!J417+'Resultater - Østdanmark'!J417</f>
        <v>833.15701401858678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7128058911.7345467</v>
      </c>
      <c r="J418" s="279">
        <f>'Resultater - Vestdanmark'!J418+'Resultater - Østdanmark'!J418</f>
        <v>7128058911.7345467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197934585.42574769</v>
      </c>
      <c r="J419" s="282">
        <f>'Resultater - Vestdanmark'!J419+'Resultater - Østdanmark'!J419</f>
        <v>197934585.42574769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94139619.897611693</v>
      </c>
      <c r="J421" s="282">
        <f>'Resultater - Vestdanmark'!J421+'Resultater - Østdanmark'!J421</f>
        <v>94139619.897611693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172589303.14562145</v>
      </c>
      <c r="J422" s="282">
        <f>'Resultater - Vestdanmark'!J422+'Resultater - Østdanmark'!J422</f>
        <v>172589303.14562148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2019174154.9833891</v>
      </c>
      <c r="J423" s="282">
        <f>'Resultater - Vestdanmark'!J423+'Resultater - Østdanmark'!J423</f>
        <v>2019174154.9833891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290867287.11954385</v>
      </c>
      <c r="J424" s="282">
        <f>'Resultater - Vestdanmark'!J424+'Resultater - Østdanmark'!J424</f>
        <v>290867287.11954385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2742118159.0688944</v>
      </c>
      <c r="J427" s="282">
        <f>'Resultater - Vestdanmark'!J427+'Resultater - Østdanmark'!J427</f>
        <v>2742118159.0688944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196727667.22193214</v>
      </c>
      <c r="J428" s="282">
        <f>'Resultater - Vestdanmark'!J428+'Resultater - Østdanmark'!J428</f>
        <v>196727667.22193214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146037102.66167969</v>
      </c>
      <c r="J431" s="282">
        <f>'Resultater - Vestdanmark'!J431+'Resultater - Østdanmark'!J431</f>
        <v>146037102.66167969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4834914324.4850321</v>
      </c>
      <c r="J432" s="282">
        <f>'Resultater - Vestdanmark'!J432+'Resultater - Østdanmark'!J432</f>
        <v>4834914324.4850321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12195000.400000002</v>
      </c>
      <c r="J433" s="282">
        <f>'Resultater - Vestdanmark'!J433+'Resultater - Østdanmark'!J433</f>
        <v>12195000.400000004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361184.39999999991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</v>
      </c>
      <c r="J435" s="282">
        <f>'Resultater - Vestdanmark'!J435+'Resultater - Østdanmark'!J435</f>
        <v>4390946.2500000009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223678363.86045396</v>
      </c>
      <c r="J436" s="282">
        <f>'Resultater - Vestdanmark'!J436+'Resultater - Østdanmark'!J436</f>
        <v>214144420.15145013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-237240.72949722726</v>
      </c>
      <c r="J437" s="288">
        <f>'Resultater - Vestdanmark'!J437+'Resultater - Østdanmark'!J437</f>
        <v>-227128.71096547216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211764921.44158235</v>
      </c>
      <c r="J438" s="282">
        <f>'Resultater - Vestdanmark'!J438+'Resultater - Østdanmark'!J438</f>
        <v>207718491.9825511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-441948.20573472086</v>
      </c>
      <c r="J439" s="288">
        <f>'Resultater - Vestdanmark'!J439+'Resultater - Østdanmark'!J439</f>
        <v>-433503.40653532045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127939.34620276009</v>
      </c>
      <c r="J440" s="282">
        <f>'Resultater - Vestdanmark'!J440+'Resultater - Østdanmark'!J440</f>
        <v>132122.93893565159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108395313.40983701</v>
      </c>
      <c r="J441" s="282">
        <f>'Resultater - Vestdanmark'!J441+'Resultater - Østdanmark'!J441</f>
        <v>113581290.04936469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33002600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2165562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74179468.039999992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38714582.110441938</v>
      </c>
      <c r="J451" s="282">
        <f>'Resultater - Vestdanmark'!J451+'Resultater - Østdanmark'!J451</f>
        <v>40315367.435598418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36787701.702339068</v>
      </c>
      <c r="J452" s="288">
        <f ca="1">'Resultater - Vestdanmark'!J452+'Resultater - Østdanmark'!J452</f>
        <v>35981739.066655979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10976808.596855607</v>
      </c>
      <c r="J453" s="288">
        <f>'Resultater - Vestdanmark'!J453+'Resultater - Østdanmark'!J453</f>
        <v>10508939.137061901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8844397.8222252652</v>
      </c>
      <c r="J454" s="288">
        <f>'Resultater - Vestdanmark'!J454+'Resultater - Østdanmark'!J454</f>
        <v>8675398.0103035495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5751.3022466041411</v>
      </c>
      <c r="J455" s="288">
        <f>'Resultater - Vestdanmark'!J455+'Resultater - Østdanmark'!J455</f>
        <v>5939.3687562252189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9574919.3512022682</v>
      </c>
      <c r="J456" s="288">
        <f>'Resultater - Vestdanmark'!J456+'Resultater - Østdanmark'!J456</f>
        <v>10033013.954360548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237838693.35235423</v>
      </c>
      <c r="J457" s="288">
        <f ca="1">'Resultater - Vestdanmark'!J457+'Resultater - Østdanmark'!J457</f>
        <v>231286797.97459158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93867467.966103479</v>
      </c>
      <c r="J458" s="288">
        <f ca="1">'Resultater - Vestdanmark'!J458+'Resultater - Østdanmark'!J458</f>
        <v>86941424.034118384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17.990912277181906</v>
      </c>
      <c r="J459" s="292">
        <f>'Resultater - Vestdanmark'!J459+'Resultater - Østdanmark'!J459</f>
        <v>16.44594860270173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5.3986394353114884</v>
      </c>
      <c r="J460" s="292">
        <f>'Resultater - Vestdanmark'!J460+'Resultater - Østdanmark'!J460</f>
        <v>5.5346783341970225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3.6166968204461223</v>
      </c>
      <c r="J461" s="292">
        <f>'Resultater - Vestdanmark'!J461+'Resultater - Østdanmark'!J461</f>
        <v>3.7232332203134169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41.501325304246137</v>
      </c>
      <c r="J462" s="292">
        <f>'Resultater - Vestdanmark'!J462+'Resultater - Østdanmark'!J462</f>
        <v>41.450157138327555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28.848377655551978</v>
      </c>
      <c r="J467" s="295">
        <f ca="1">'Resultater - Vestdanmark'!J467+'Resultater - Østdanmark'!J467</f>
        <v>28.614188388479331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241010.68907640575</v>
      </c>
      <c r="J471" s="298">
        <f>'Resultater - Vestdanmark'!J471+'Resultater - Østdanmark'!J471</f>
        <v>247083.85420522426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154246.84100889968</v>
      </c>
      <c r="J472" s="298">
        <f>'Resultater - Vestdanmark'!J472+'Resultater - Østdanmark'!J472</f>
        <v>158133.66669134353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256550.33982346478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223970.55527046492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224570.40950584275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147172.23893561237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671351507.77998865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671351507.77998865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671351507.77998865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31869424.164498128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29434457.131922562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2434967.0325755663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3183510.9821506157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989162.34088251274</v>
      </c>
      <c r="O57" s="195">
        <f t="shared" si="1"/>
        <v>989162.34088251274</v>
      </c>
      <c r="P57" s="205">
        <f t="shared" si="10"/>
        <v>1591755.4910753078</v>
      </c>
      <c r="Q57" s="192">
        <f>IFERROR(VLOOKUP(A57,[1]Energiindhold!$A$2:$C$11,3,FALSE),IFERROR(VLOOKUP(A57,[1]Biogasudbytte!$A$2:$B$18,2,FALSE)*[1]Energiindhold!$C$10,0))*O57</f>
        <v>2.1306556822609326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92">
        <f>IFERROR(VLOOKUP(A57,[1]Biogasudbytte!$A$2:$B$18,2,FALSE)*[1]Energiindhold!$C$10,0)*J57*IFERROR(VLOOKUP(A57,Biogasanlæg!$F$3:$G$8,2,FALSE),1)</f>
        <v>3.4286413277762131</v>
      </c>
      <c r="T57" s="193">
        <f t="shared" si="11"/>
        <v>2.1306556822609322</v>
      </c>
      <c r="U57" s="191">
        <f>O57*IFERROR(VLOOKUP(A57,[1]Tørstofindhold!A$2:B$24,2,FALSE),0)</f>
        <v>296748.70226475381</v>
      </c>
      <c r="V57" s="192">
        <f>IF(D57=År1,P57,SUM(O57,P57))*IFERROR(VLOOKUP(A57,[1]Tørstofindhold!A$2:B$24,2,FALSE),0)</f>
        <v>774275.34958734619</v>
      </c>
      <c r="W57" s="192">
        <f>J57*IFERROR(VLOOKUP(A57,[1]Tørstofindhold!A$2:B$24,2,FALSE),0)</f>
        <v>477526.64732259233</v>
      </c>
      <c r="X57" s="193">
        <f t="shared" si="12"/>
        <v>296748.70226475387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10011.271362654579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9010.1442263891222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757.99626031527509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243.1308759501826</v>
      </c>
      <c r="O59" s="195">
        <f t="shared" si="1"/>
        <v>243.1308759501826</v>
      </c>
      <c r="P59" s="205">
        <f t="shared" si="10"/>
        <v>9010.1442263891222</v>
      </c>
      <c r="Q59" s="192">
        <f>IFERROR(VLOOKUP(A59,[1]Energiindhold!$A$2:$C$11,3,FALSE),IFERROR(VLOOKUP(A59,[1]Biogasudbytte!$A$2:$B$18,2,FALSE)*[1]Energiindhold!$C$10,0))*O59</f>
        <v>1.1434201965061138E-4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4.3517227478791524E-3</v>
      </c>
      <c r="S59" s="192">
        <f>IFERROR(VLOOKUP(A59,[1]Biogasudbytte!$A$2:$B$18,2,FALSE)*[1]Energiindhold!$C$10,0)*J59*IFERROR(VLOOKUP(A59,Biogasanlæg!$F$3:$G$8,2,FALSE),1)</f>
        <v>4.2373807282285406E-3</v>
      </c>
      <c r="T59" s="193">
        <f t="shared" si="11"/>
        <v>1.1434201965061178E-4</v>
      </c>
      <c r="U59" s="191">
        <f>O59*IFERROR(VLOOKUP(A59,[1]Tørstofindhold!A$2:B$24,2,FALSE),0)</f>
        <v>15.317245184861504</v>
      </c>
      <c r="V59" s="192">
        <f>IF(D59=År1,P59,SUM(O59,P59))*IFERROR(VLOOKUP(A59,[1]Tørstofindhold!A$2:B$24,2,FALSE),0)</f>
        <v>582.95633144737621</v>
      </c>
      <c r="W59" s="192">
        <f>J59*IFERROR(VLOOKUP(A59,[1]Tørstofindhold!A$2:B$24,2,FALSE),0)</f>
        <v>567.63908626251475</v>
      </c>
      <c r="X59" s="193">
        <f t="shared" si="12"/>
        <v>15.317245184861463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217954.6674762161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182659.9008771329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1120053.9852881476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1120053.9852881476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32105.259581147304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-225818.0347967683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28408153.283469509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13655919.295866337</v>
      </c>
      <c r="O64" s="195">
        <f t="shared" si="1"/>
        <v>13655919.295866337</v>
      </c>
      <c r="P64" s="205">
        <f t="shared" si="10"/>
        <v>67006.096493213583</v>
      </c>
      <c r="Q64" s="192">
        <f>IFERROR(VLOOKUP(A64,[1]Energiindhold!$A$2:$C$11,3,FALSE),IFERROR(VLOOKUP(A64,[1]Biogasudbytte!$A$2:$B$18,2,FALSE)*[1]Energiindhold!$C$10,0))*O64</f>
        <v>25.125184514482079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25.248467356267529</v>
      </c>
      <c r="S64" s="192">
        <f>IFERROR(VLOOKUP(A64,[1]Biogasudbytte!$A$2:$B$18,2,FALSE)*[1]Energiindhold!$C$10,0)*J64*IFERROR(VLOOKUP(A64,Biogasanlæg!$F$3:$G$8,2,FALSE),1)</f>
        <v>0.12328284178545135</v>
      </c>
      <c r="T64" s="193">
        <f t="shared" si="11"/>
        <v>25.125184514482079</v>
      </c>
      <c r="U64" s="191">
        <f>O64*IFERROR(VLOOKUP(A64,[1]Tørstofindhold!A$2:B$24,2,FALSE),0)</f>
        <v>3823657.4028425748</v>
      </c>
      <c r="V64" s="192">
        <f>IF(D64=År1,P64,SUM(O64,P64))*IFERROR(VLOOKUP(A64,[1]Tørstofindhold!A$2:B$24,2,FALSE),0)</f>
        <v>3842419.1098606745</v>
      </c>
      <c r="W64" s="192">
        <f>J64*IFERROR(VLOOKUP(A64,[1]Tørstofindhold!A$2:B$24,2,FALSE),0)</f>
        <v>18761.707018099805</v>
      </c>
      <c r="X64" s="193">
        <f t="shared" si="12"/>
        <v>3823657.4028425748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217805.88377635827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-52334.829808932322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2966243.8763621217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872369.9448285551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55629.188321682515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1110541.6709603725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1166170.8592820552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11.799075953021283</v>
      </c>
      <c r="S67" s="192">
        <f>IFERROR(VLOOKUP(A67,[1]Biogasudbytte!$A$2:$B$18,2,FALSE)*[1]Energiindhold!$C$10,0)*J67*IFERROR(VLOOKUP(A67,Biogasanlæg!$F$3:$G$8,2,FALSE),1)</f>
        <v>0.32073231043619344</v>
      </c>
      <c r="T67" s="193">
        <f t="shared" si="11"/>
        <v>11.47834364258509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991245.23038974684</v>
      </c>
      <c r="W67" s="192">
        <f>J67*IFERROR(VLOOKUP(A67,[1]Tørstofindhold!A$2:B$24,2,FALSE),0)</f>
        <v>47284.810073430133</v>
      </c>
      <c r="X67" s="193">
        <f t="shared" si="12"/>
        <v>943960.42031631665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-5794113.0468547465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589614.69758431474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54668.919188631466</v>
      </c>
      <c r="O70" s="195">
        <f t="shared" si="20"/>
        <v>54668.919188631466</v>
      </c>
      <c r="P70" s="205">
        <f t="shared" si="10"/>
        <v>534945.77839568327</v>
      </c>
      <c r="Q70" s="192">
        <f>IFERROR(VLOOKUP(A70,[1]Energiindhold!$A$2:$C$11,3,FALSE),IFERROR(VLOOKUP(A70,[1]Biogasudbytte!$A$2:$B$18,2,FALSE)*[1]Energiindhold!$C$10,0))*O70</f>
        <v>0.23688753380383468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92">
        <f>IFERROR(VLOOKUP(A70,[1]Biogasudbytte!$A$2:$B$18,2,FALSE)*[1]Energiindhold!$C$10,0)*J70*IFERROR(VLOOKUP(A70,Biogasanlæg!$F$3:$G$8,2,FALSE),1)</f>
        <v>1.9702911606287341</v>
      </c>
      <c r="T70" s="193">
        <f t="shared" si="11"/>
        <v>0.23688753380383454</v>
      </c>
      <c r="U70" s="191">
        <f>O70*IFERROR(VLOOKUP(A70,[1]Tørstofindhold!A$2:B$24,2,FALSE),0)</f>
        <v>22960.946059225214</v>
      </c>
      <c r="V70" s="192">
        <f>IF(D70=År1,P70,SUM(O70,P70))*IFERROR(VLOOKUP(A70,[1]Tørstofindhold!A$2:B$24,2,FALSE),0)</f>
        <v>247638.17298541218</v>
      </c>
      <c r="W70" s="192">
        <f>J70*IFERROR(VLOOKUP(A70,[1]Tørstofindhold!A$2:B$24,2,FALSE),0)</f>
        <v>224677.22692618697</v>
      </c>
      <c r="X70" s="193">
        <f t="shared" si="12"/>
        <v>22960.946059225214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713505.92728443746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713505.92728443746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1778992.2257450195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1655460.5426482284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5381619.5037339376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-1972286.6918031285</v>
      </c>
      <c r="O73" s="195">
        <f t="shared" si="20"/>
        <v>0</v>
      </c>
      <c r="P73" s="205">
        <f t="shared" si="10"/>
        <v>2914.9101192356643</v>
      </c>
      <c r="Q73" s="192">
        <f>IFERROR(VLOOKUP(A73,[1]Energiindhold!$A$2:$C$11,3,FALSE),IFERROR(VLOOKUP(A73,[1]Biogasudbytte!$A$2:$B$18,2,FALSE)*[1]Energiindhold!$C$10,0))*O73</f>
        <v>0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9.9831590709654593E-3</v>
      </c>
      <c r="S73" s="192">
        <f>IFERROR(VLOOKUP(A73,[1]Biogasudbytte!$A$2:$B$18,2,FALSE)*[1]Energiindhold!$C$10,0)*J73*IFERROR(VLOOKUP(A73,Biogasanlæg!$F$3:$G$8,2,FALSE),1)</f>
        <v>9.9831590709654593E-3</v>
      </c>
      <c r="T73" s="193">
        <f t="shared" si="11"/>
        <v>0</v>
      </c>
      <c r="U73" s="191">
        <f>O73*IFERROR(VLOOKUP(A73,[1]Tørstofindhold!A$2:B$24,2,FALSE),0)</f>
        <v>0</v>
      </c>
      <c r="V73" s="192">
        <f>IF(D73=År1,P73,SUM(O73,P73))*IFERROR(VLOOKUP(A73,[1]Tørstofindhold!A$2:B$24,2,FALSE),0)</f>
        <v>903.62213696305594</v>
      </c>
      <c r="W73" s="192">
        <f>J73*IFERROR(VLOOKUP(A73,[1]Tørstofindhold!A$2:B$24,2,FALSE),0)</f>
        <v>903.62213696305594</v>
      </c>
      <c r="X73" s="193">
        <f t="shared" si="12"/>
        <v>0</v>
      </c>
      <c r="Y73" s="171">
        <f t="shared" si="21"/>
        <v>1</v>
      </c>
      <c r="Z73" s="103">
        <f t="shared" si="22"/>
        <v>0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288330.71633936168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-288330.71633936168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15580196.053602941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14022176.448242648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1032187.9885511945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525831.61680909991</v>
      </c>
      <c r="O75" s="195">
        <f t="shared" si="20"/>
        <v>525831.61680909991</v>
      </c>
      <c r="P75" s="205">
        <f t="shared" si="10"/>
        <v>14022176.448242648</v>
      </c>
      <c r="Q75" s="192">
        <f>IFERROR(VLOOKUP(A75,[1]Energiindhold!$A$2:$C$11,3,FALSE),IFERROR(VLOOKUP(A75,[1]Biogasudbytte!$A$2:$B$18,2,FALSE)*[1]Energiindhold!$C$10,0))*O75</f>
        <v>0.2661707061125983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7.3640562024485448</v>
      </c>
      <c r="S75" s="192">
        <f>IFERROR(VLOOKUP(A75,[1]Biogasudbytte!$A$2:$B$18,2,FALSE)*[1]Energiindhold!$C$10,0)*J75*IFERROR(VLOOKUP(A75,Biogasanlæg!$F$3:$G$8,2,FALSE),1)</f>
        <v>7.0978854963359463</v>
      </c>
      <c r="T75" s="193">
        <f t="shared" si="11"/>
        <v>0.26617070611259841</v>
      </c>
      <c r="U75" s="191">
        <f>O75*IFERROR(VLOOKUP(A75,[1]Tørstofindhold!A$2:B$24,2,FALSE),0)</f>
        <v>39963.202877491589</v>
      </c>
      <c r="V75" s="192">
        <f>IF(D75=År1,P75,SUM(O75,P75))*IFERROR(VLOOKUP(A75,[1]Tørstofindhold!A$2:B$24,2,FALSE),0)</f>
        <v>1105648.6129439329</v>
      </c>
      <c r="W75" s="192">
        <f>J75*IFERROR(VLOOKUP(A75,[1]Tørstofindhold!A$2:B$24,2,FALSE),0)</f>
        <v>1065685.4100664412</v>
      </c>
      <c r="X75" s="193">
        <f t="shared" si="12"/>
        <v>39963.202877491713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1945192.6384399957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126335.63003958203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5903489.3992296383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-1140190.8984272694</v>
      </c>
      <c r="O77" s="195">
        <f t="shared" si="20"/>
        <v>0</v>
      </c>
      <c r="P77" s="205">
        <f t="shared" si="10"/>
        <v>255215.75389295255</v>
      </c>
      <c r="Q77" s="192">
        <f>IFERROR(VLOOKUP(A77,[1]Energiindhold!$A$2:$C$11,3,FALSE),IFERROR(VLOOKUP(A77,[1]Biogasudbytte!$A$2:$B$18,2,FALSE)*[1]Energiindhold!$C$10,0))*O77</f>
        <v>0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0.91622455647569978</v>
      </c>
      <c r="S77" s="192">
        <f>IFERROR(VLOOKUP(A77,[1]Biogasudbytte!$A$2:$B$18,2,FALSE)*[1]Energiindhold!$C$10,0)*J77*IFERROR(VLOOKUP(A77,Biogasanlæg!$F$3:$G$8,2,FALSE),1)</f>
        <v>0.91622455647569978</v>
      </c>
      <c r="T77" s="193">
        <f t="shared" si="11"/>
        <v>0</v>
      </c>
      <c r="U77" s="191">
        <f>O77*IFERROR(VLOOKUP(A77,[1]Tørstofindhold!A$2:B$24,2,FALSE),0)</f>
        <v>0</v>
      </c>
      <c r="V77" s="192">
        <f>IF(D77=År1,P77,SUM(O77,P77))*IFERROR(VLOOKUP(A77,[1]Tørstofindhold!A$2:B$24,2,FALSE),0)</f>
        <v>76564.726167885761</v>
      </c>
      <c r="W77" s="192">
        <f>J77*IFERROR(VLOOKUP(A77,[1]Tørstofindhold!A$2:B$24,2,FALSE),0)</f>
        <v>76564.726167885761</v>
      </c>
      <c r="X77" s="193">
        <f t="shared" si="12"/>
        <v>0</v>
      </c>
      <c r="Y77" s="171">
        <f t="shared" si="21"/>
        <v>1</v>
      </c>
      <c r="Z77" s="103">
        <f t="shared" si="22"/>
        <v>0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3753212.2579404083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3280805.3819219102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127401.76624978184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67373.513210879581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1025729.6203575714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1025729.6203575714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154484.73733408173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154484.73733408173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2.8425191669471035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64111.165993643925</v>
      </c>
      <c r="W82" s="192">
        <f>J82*IFERROR(VLOOKUP(A82,[1]Tørstofindhold!A$2:B$24,2,FALSE),0)</f>
        <v>0</v>
      </c>
      <c r="X82" s="193">
        <f t="shared" ref="X82:X149" si="26">V82-W82</f>
        <v>64111.165993643925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5844517.8424414396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5844517.8424414396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370490.27594297461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185245.1379714873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-71673.789338027418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1</v>
      </c>
      <c r="Z87" s="103">
        <f t="shared" si="22"/>
        <v>0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118556.88830175188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118556.88830175188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4.1494910905613152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4923583.0761439931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3892254.3535953825</v>
      </c>
      <c r="O89" s="195">
        <f t="shared" si="20"/>
        <v>3892254.3535953825</v>
      </c>
      <c r="P89" s="205">
        <f t="shared" si="24"/>
        <v>21927.581361856195</v>
      </c>
      <c r="Q89" s="192">
        <f>IFERROR(VLOOKUP(A89,[1]Energiindhold!$A$2:$C$11,3,FALSE),IFERROR(VLOOKUP(A89,[1]Biogasudbytte!$A$2:$B$18,2,FALSE)*[1]Energiindhold!$C$10,0))*O89</f>
        <v>10.563734005832012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10.623246338751345</v>
      </c>
      <c r="S89" s="192">
        <f>IFERROR(VLOOKUP(A89,[1]Biogasudbytte!$A$2:$B$18,2,FALSE)*[1]Energiindhold!$C$10,0)*J89*IFERROR(VLOOKUP(A89,Biogasanlæg!$F$3:$G$8,2,FALSE),1)</f>
        <v>5.9512332919332188E-2</v>
      </c>
      <c r="T89" s="193">
        <f t="shared" si="25"/>
        <v>10.563734005832012</v>
      </c>
      <c r="U89" s="191">
        <f>O89*IFERROR(VLOOKUP(A89,[1]Tørstofindhold!A$2:B$24,2,FALSE),0)</f>
        <v>778450.8707190766</v>
      </c>
      <c r="V89" s="192">
        <f>IF(D89=År1,P89,SUM(O89,P89))*IFERROR(VLOOKUP(A89,[1]Tørstofindhold!A$2:B$24,2,FALSE),0)</f>
        <v>782836.38699144777</v>
      </c>
      <c r="W89" s="192">
        <f>J89*IFERROR(VLOOKUP(A89,[1]Tørstofindhold!A$2:B$24,2,FALSE),0)</f>
        <v>4385.5162723712392</v>
      </c>
      <c r="X89" s="193">
        <f t="shared" si="26"/>
        <v>778450.87071907648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229347.69258761208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229347.69258761208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155631.99325653154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108333.11124139075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3998263.1551815392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2481926.4751490569</v>
      </c>
      <c r="O92" s="195">
        <f t="shared" si="20"/>
        <v>2481926.4751490569</v>
      </c>
      <c r="P92" s="205">
        <f t="shared" si="24"/>
        <v>1516336.6800324824</v>
      </c>
      <c r="Q92" s="192">
        <f>IFERROR(VLOOKUP(A92,[1]Energiindhold!$A$2:$C$11,3,FALSE),IFERROR(VLOOKUP(A92,[1]Biogasudbytte!$A$2:$B$18,2,FALSE)*[1]Energiindhold!$C$10,0))*O92</f>
        <v>1.2385061303641312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92">
        <f>IFERROR(VLOOKUP(A92,[1]Biogasudbytte!$A$2:$B$18,2,FALSE)*[1]Energiindhold!$C$10,0)*J92*IFERROR(VLOOKUP(A92,Biogasanlæg!$F$3:$G$8,2,FALSE),1)</f>
        <v>0.75666716670300915</v>
      </c>
      <c r="T92" s="193">
        <f t="shared" si="25"/>
        <v>1.2385061303641312</v>
      </c>
      <c r="U92" s="191">
        <f>O92*IFERROR(VLOOKUP(A92,[1]Tørstofindhold!A$2:B$24,2,FALSE),0)</f>
        <v>148915.58850894342</v>
      </c>
      <c r="V92" s="192">
        <f>IF(D92=År1,P92,SUM(O92,P92))*IFERROR(VLOOKUP(A92,[1]Tørstofindhold!A$2:B$24,2,FALSE),0)</f>
        <v>239895.78931089235</v>
      </c>
      <c r="W92" s="192">
        <f>J92*IFERROR(VLOOKUP(A92,[1]Tørstofindhold!A$2:B$24,2,FALSE),0)</f>
        <v>90980.200801948944</v>
      </c>
      <c r="X92" s="193">
        <f t="shared" si="26"/>
        <v>148915.58850894339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18089799.811057284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16280819.829951556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1808979.9811057281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16280819.829951556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7.0137771827431319</v>
      </c>
      <c r="S93" s="192">
        <f>IFERROR(VLOOKUP(A93,[1]Biogasudbytte!$A$2:$B$18,2,FALSE)*[1]Energiindhold!$C$10,0)*J93*IFERROR(VLOOKUP(A93,Biogasanlæg!$F$3:$G$8,2,FALSE),1)</f>
        <v>7.0137771827431319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814040.99149757787</v>
      </c>
      <c r="W93" s="192">
        <f>J93*IFERROR(VLOOKUP(A93,[1]Tørstofindhold!A$2:B$24,2,FALSE),0)</f>
        <v>814040.99149757787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1653615.6309381565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1531740.086889476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2216341.6308326661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2216341.6308326661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2216341.6308326661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32.122700134129985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32.122700134129985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1096165.6315826562</v>
      </c>
      <c r="W97" s="192">
        <f>J97*IFERROR(VLOOKUP(A97,[1]Tørstofindhold!A$2:B$24,2,FALSE),0)</f>
        <v>0</v>
      </c>
      <c r="X97" s="193">
        <f t="shared" si="26"/>
        <v>1096165.6315826562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613803.17949896643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613803.17949896643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249867.88679150312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216017.9179050583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229440.63810667559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152042.46753644521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664199563.75200045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664199563.75200045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664199563.75200045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31103132.86838197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28561090.767180413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2542042.1012015566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3333573.27322629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1035788.8384667402</v>
      </c>
      <c r="O105" s="195">
        <f t="shared" si="20"/>
        <v>1035788.8384667402</v>
      </c>
      <c r="P105" s="205">
        <f t="shared" si="24"/>
        <v>1666786.636613145</v>
      </c>
      <c r="Q105" s="192">
        <f>IFERROR(VLOOKUP(A105,[1]Energiindhold!$A$2:$C$11,3,FALSE),IFERROR(VLOOKUP(A105,[1]Biogasudbytte!$A$2:$B$18,2,FALSE)*[1]Energiindhold!$C$10,0))*O105</f>
        <v>2.2310891580573586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92">
        <f>IFERROR(VLOOKUP(A105,[1]Biogasudbytte!$A$2:$B$18,2,FALSE)*[1]Energiindhold!$C$10,0)*J105*IFERROR(VLOOKUP(A105,Biogasanlæg!$F$3:$G$8,2,FALSE),1)</f>
        <v>3.5902584152647146</v>
      </c>
      <c r="T105" s="193">
        <f t="shared" si="25"/>
        <v>2.2310891580573591</v>
      </c>
      <c r="U105" s="191">
        <f>O105*IFERROR(VLOOKUP(A105,[1]Tørstofindhold!A$2:B$24,2,FALSE),0)</f>
        <v>310736.65154002205</v>
      </c>
      <c r="V105" s="192">
        <f>IF(D105=År1,P105,SUM(O105,P105))*IFERROR(VLOOKUP(A105,[1]Tørstofindhold!A$2:B$24,2,FALSE),0)</f>
        <v>810772.64252396557</v>
      </c>
      <c r="W105" s="192">
        <f>J105*IFERROR(VLOOKUP(A105,[1]Tørstofindhold!A$2:B$24,2,FALSE),0)</f>
        <v>500035.99098394345</v>
      </c>
      <c r="X105" s="193">
        <f t="shared" si="26"/>
        <v>310736.65154002211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10338.638066978907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9304.7742602810158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782.78259649983124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251.08121019805913</v>
      </c>
      <c r="O107" s="195">
        <f t="shared" si="20"/>
        <v>251.08121019805913</v>
      </c>
      <c r="P107" s="205">
        <f t="shared" si="24"/>
        <v>9304.7742602810158</v>
      </c>
      <c r="Q107" s="192">
        <f>IFERROR(VLOOKUP(A107,[1]Energiindhold!$A$2:$C$11,3,FALSE),IFERROR(VLOOKUP(A107,[1]Biogasudbytte!$A$2:$B$18,2,FALSE)*[1]Energiindhold!$C$10,0))*O107</f>
        <v>1.1808098234404523E-4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4.4940232692116042E-3</v>
      </c>
      <c r="S107" s="192">
        <f>IFERROR(VLOOKUP(A107,[1]Biogasudbytte!$A$2:$B$18,2,FALSE)*[1]Energiindhold!$C$10,0)*J107*IFERROR(VLOOKUP(A107,Biogasanlæg!$F$3:$G$8,2,FALSE),1)</f>
        <v>4.3759422868675591E-3</v>
      </c>
      <c r="T107" s="193">
        <f t="shared" si="25"/>
        <v>1.1808098234404509E-4</v>
      </c>
      <c r="U107" s="191">
        <f>O107*IFERROR(VLOOKUP(A107,[1]Tørstofindhold!A$2:B$24,2,FALSE),0)</f>
        <v>15.818116242477725</v>
      </c>
      <c r="V107" s="192">
        <f>IF(D107=År1,P107,SUM(O107,P107))*IFERROR(VLOOKUP(A107,[1]Tørstofindhold!A$2:B$24,2,FALSE),0)</f>
        <v>602.01889464018177</v>
      </c>
      <c r="W107" s="192">
        <f>J107*IFERROR(VLOOKUP(A107,[1]Tørstofindhold!A$2:B$24,2,FALSE),0)</f>
        <v>586.20077839770397</v>
      </c>
      <c r="X107" s="193">
        <f t="shared" si="26"/>
        <v>15.818116242477799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208390.50149991471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171719.70187293284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1145476.8591293055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1145476.8591293055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32793.097303413146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-235185.82304760831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29404263.983943939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66758.668734263701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14652277.424099717</v>
      </c>
      <c r="O112" s="195">
        <f t="shared" si="20"/>
        <v>14652277.424099717</v>
      </c>
      <c r="P112" s="205">
        <f t="shared" si="24"/>
        <v>66758.668734263701</v>
      </c>
      <c r="Q112" s="192">
        <f>IFERROR(VLOOKUP(A112,[1]Energiindhold!$A$2:$C$11,3,FALSE),IFERROR(VLOOKUP(A112,[1]Biogasudbytte!$A$2:$B$18,2,FALSE)*[1]Energiindhold!$C$10,0))*O112</f>
        <v>26.958358925665468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27.081186531302922</v>
      </c>
      <c r="S112" s="192">
        <f>IFERROR(VLOOKUP(A112,[1]Biogasudbytte!$A$2:$B$18,2,FALSE)*[1]Energiindhold!$C$10,0)*J112*IFERROR(VLOOKUP(A112,Biogasanlæg!$F$3:$G$8,2,FALSE),1)</f>
        <v>0.12282760563745343</v>
      </c>
      <c r="T112" s="193">
        <f t="shared" si="25"/>
        <v>26.958358925665468</v>
      </c>
      <c r="U112" s="191">
        <f>O112*IFERROR(VLOOKUP(A112,[1]Tørstofindhold!A$2:B$24,2,FALSE),0)</f>
        <v>4102637.6787479213</v>
      </c>
      <c r="V112" s="192">
        <f>IF(D112=År1,P112,SUM(O112,P112))*IFERROR(VLOOKUP(A112,[1]Tørstofindhold!A$2:B$24,2,FALSE),0)</f>
        <v>4121330.1059935149</v>
      </c>
      <c r="W112" s="192">
        <f>J112*IFERROR(VLOOKUP(A112,[1]Tørstofindhold!A$2:B$24,2,FALSE),0)</f>
        <v>18692.427245593837</v>
      </c>
      <c r="X112" s="193">
        <f t="shared" si="26"/>
        <v>4102637.6787479213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220830.77573350482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-59841.882949933439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2835213.6153094829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868816.20672013925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55125.425039320733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983568.91129851097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1038694.3363378317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10.483805631455843</v>
      </c>
      <c r="S115" s="192">
        <f>IFERROR(VLOOKUP(A115,[1]Biogasudbytte!$A$2:$B$18,2,FALSE)*[1]Energiindhold!$C$10,0)*J115*IFERROR(VLOOKUP(A115,Biogasanlæg!$F$3:$G$8,2,FALSE),1)</f>
        <v>0.31782784308120526</v>
      </c>
      <c r="T115" s="193">
        <f t="shared" si="25"/>
        <v>10.165977788374637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882890.18588715687</v>
      </c>
      <c r="W115" s="192">
        <f>J115*IFERROR(VLOOKUP(A115,[1]Tørstofindhold!A$2:B$24,2,FALSE),0)</f>
        <v>46856.611283422622</v>
      </c>
      <c r="X115" s="193">
        <f t="shared" si="26"/>
        <v>836033.57460373431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-5794113.0468547465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585716.08517907641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54115.474944335409</v>
      </c>
      <c r="O118" s="195">
        <f t="shared" si="20"/>
        <v>54115.474944335409</v>
      </c>
      <c r="P118" s="205">
        <f t="shared" si="24"/>
        <v>531600.61023474101</v>
      </c>
      <c r="Q118" s="192">
        <f>IFERROR(VLOOKUP(A118,[1]Energiindhold!$A$2:$C$11,3,FALSE),IFERROR(VLOOKUP(A118,[1]Biogasudbytte!$A$2:$B$18,2,FALSE)*[1]Energiindhold!$C$10,0))*O118</f>
        <v>0.23448938794554811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92">
        <f>IFERROR(VLOOKUP(A118,[1]Biogasudbytte!$A$2:$B$18,2,FALSE)*[1]Energiindhold!$C$10,0)*J118*IFERROR(VLOOKUP(A118,Biogasanlæg!$F$3:$G$8,2,FALSE),1)</f>
        <v>1.9579703693924939</v>
      </c>
      <c r="T118" s="193">
        <f t="shared" si="25"/>
        <v>0.23448938794554808</v>
      </c>
      <c r="U118" s="191">
        <f>O118*IFERROR(VLOOKUP(A118,[1]Tørstofindhold!A$2:B$24,2,FALSE),0)</f>
        <v>22728.499476620869</v>
      </c>
      <c r="V118" s="192">
        <f>IF(D118=År1,P118,SUM(O118,P118))*IFERROR(VLOOKUP(A118,[1]Tørstofindhold!A$2:B$24,2,FALSE),0)</f>
        <v>246000.75577521208</v>
      </c>
      <c r="W118" s="192">
        <f>J118*IFERROR(VLOOKUP(A118,[1]Tørstofindhold!A$2:B$24,2,FALSE),0)</f>
        <v>223272.25629859121</v>
      </c>
      <c r="X118" s="193">
        <f t="shared" si="26"/>
        <v>22728.499476620869</v>
      </c>
      <c r="Y118" s="171">
        <f t="shared" si="21"/>
        <v>0</v>
      </c>
      <c r="Z118" s="103">
        <f t="shared" si="22"/>
        <v>1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729011.95091777691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729011.95091777691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1818589.8087592444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1690242.0100648077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5523408.7197105791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2901.770538547059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-1842021.8439412564</v>
      </c>
      <c r="O121" s="195">
        <f t="shared" si="20"/>
        <v>0</v>
      </c>
      <c r="P121" s="205">
        <f t="shared" si="24"/>
        <v>2901.770538547059</v>
      </c>
      <c r="Q121" s="192">
        <f>IFERROR(VLOOKUP(A121,[1]Energiindhold!$A$2:$C$11,3,FALSE),IFERROR(VLOOKUP(A121,[1]Biogasudbytte!$A$2:$B$18,2,FALSE)*[1]Energiindhold!$C$10,0))*O121</f>
        <v>0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9.9381578466482823E-3</v>
      </c>
      <c r="S121" s="192">
        <f>IFERROR(VLOOKUP(A121,[1]Biogasudbytte!$A$2:$B$18,2,FALSE)*[1]Energiindhold!$C$10,0)*J121*IFERROR(VLOOKUP(A121,Biogasanlæg!$F$3:$G$8,2,FALSE),1)</f>
        <v>9.9381578466482823E-3</v>
      </c>
      <c r="T121" s="193">
        <f t="shared" si="25"/>
        <v>0</v>
      </c>
      <c r="U121" s="191">
        <f>O121*IFERROR(VLOOKUP(A121,[1]Tørstofindhold!A$2:B$24,2,FALSE),0)</f>
        <v>0</v>
      </c>
      <c r="V121" s="192">
        <f>IF(D121=År1,P121,SUM(O121,P121))*IFERROR(VLOOKUP(A121,[1]Tørstofindhold!A$2:B$24,2,FALSE),0)</f>
        <v>899.54886694958827</v>
      </c>
      <c r="W121" s="192">
        <f>J121*IFERROR(VLOOKUP(A121,[1]Tørstofindhold!A$2:B$24,2,FALSE),0)</f>
        <v>899.54886694958827</v>
      </c>
      <c r="X121" s="193">
        <f t="shared" si="26"/>
        <v>0</v>
      </c>
      <c r="Y121" s="171">
        <f t="shared" si="21"/>
        <v>1</v>
      </c>
      <c r="Z121" s="103">
        <f t="shared" si="22"/>
        <v>0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254386.50610030405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-254386.50610030405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15282487.80305979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13754239.022753812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1012464.8169527107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515783.96335326694</v>
      </c>
      <c r="O123" s="195">
        <f t="shared" si="20"/>
        <v>515783.96335326694</v>
      </c>
      <c r="P123" s="205">
        <f t="shared" si="24"/>
        <v>13754239.022753812</v>
      </c>
      <c r="Q123" s="192">
        <f>IFERROR(VLOOKUP(A123,[1]Energiindhold!$A$2:$C$11,3,FALSE),IFERROR(VLOOKUP(A123,[1]Biogasudbytte!$A$2:$B$18,2,FALSE)*[1]Energiindhold!$C$10,0))*O123</f>
        <v>0.26108468440979021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7.223342935337544</v>
      </c>
      <c r="S123" s="192">
        <f>IFERROR(VLOOKUP(A123,[1]Biogasudbytte!$A$2:$B$18,2,FALSE)*[1]Energiindhold!$C$10,0)*J123*IFERROR(VLOOKUP(A123,Biogasanlæg!$F$3:$G$8,2,FALSE),1)</f>
        <v>6.9622582509277535</v>
      </c>
      <c r="T123" s="193">
        <f t="shared" si="25"/>
        <v>0.26108468440979049</v>
      </c>
      <c r="U123" s="191">
        <f>O123*IFERROR(VLOOKUP(A123,[1]Tørstofindhold!A$2:B$24,2,FALSE),0)</f>
        <v>39199.581214848287</v>
      </c>
      <c r="V123" s="192">
        <f>IF(D123=År1,P123,SUM(O123,P123))*IFERROR(VLOOKUP(A123,[1]Tørstofindhold!A$2:B$24,2,FALSE),0)</f>
        <v>1084521.7469441381</v>
      </c>
      <c r="W123" s="192">
        <f>J123*IFERROR(VLOOKUP(A123,[1]Tørstofindhold!A$2:B$24,2,FALSE),0)</f>
        <v>1045322.1657292898</v>
      </c>
      <c r="X123" s="193">
        <f t="shared" si="26"/>
        <v>39199.581214848324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1909060.1640936765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90203.155693262815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6101831.6290168501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254098.83749353027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-940731.75224063545</v>
      </c>
      <c r="O125" s="195">
        <f t="shared" si="20"/>
        <v>0</v>
      </c>
      <c r="P125" s="205">
        <f t="shared" si="24"/>
        <v>254098.83749353027</v>
      </c>
      <c r="Q125" s="192">
        <f>IFERROR(VLOOKUP(A125,[1]Energiindhold!$A$2:$C$11,3,FALSE),IFERROR(VLOOKUP(A125,[1]Biogasudbytte!$A$2:$B$18,2,FALSE)*[1]Energiindhold!$C$10,0))*O125</f>
        <v>0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0.91221482660177378</v>
      </c>
      <c r="S125" s="192">
        <f>IFERROR(VLOOKUP(A125,[1]Biogasudbytte!$A$2:$B$18,2,FALSE)*[1]Energiindhold!$C$10,0)*J125*IFERROR(VLOOKUP(A125,Biogasanlæg!$F$3:$G$8,2,FALSE),1)</f>
        <v>0.91221482660177378</v>
      </c>
      <c r="T125" s="193">
        <f t="shared" si="25"/>
        <v>0</v>
      </c>
      <c r="U125" s="191">
        <f>O125*IFERROR(VLOOKUP(A125,[1]Tørstofindhold!A$2:B$24,2,FALSE),0)</f>
        <v>0</v>
      </c>
      <c r="V125" s="192">
        <f>IF(D125=År1,P125,SUM(O125,P125))*IFERROR(VLOOKUP(A125,[1]Tørstofindhold!A$2:B$24,2,FALSE),0)</f>
        <v>76229.651248059075</v>
      </c>
      <c r="W125" s="192">
        <f>J125*IFERROR(VLOOKUP(A125,[1]Tørstofindhold!A$2:B$24,2,FALSE),0)</f>
        <v>76229.651248059075</v>
      </c>
      <c r="X125" s="193">
        <f t="shared" si="26"/>
        <v>0</v>
      </c>
      <c r="Y125" s="171">
        <f t="shared" si="21"/>
        <v>1</v>
      </c>
      <c r="Z125" s="103">
        <f t="shared" si="22"/>
        <v>0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3683495.3348211222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3192670.7859676722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123345.7388852182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60977.171211943627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0</v>
      </c>
      <c r="Z128" s="103">
        <f t="shared" si="22"/>
        <v>1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1048609.453845398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1048609.453845398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158491.06742829576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158491.06742829576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158491.06742829576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2.9162356406806413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2.9162356406806413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65773.792982742743</v>
      </c>
      <c r="W130" s="192">
        <f>J130*IFERROR(VLOOKUP(A130,[1]Tørstofindhold!A$2:B$24,2,FALSE),0)</f>
        <v>0</v>
      </c>
      <c r="X130" s="193">
        <f t="shared" si="26"/>
        <v>65773.792982742743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5735954.3578613317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5735954.3578613317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378080.80621229054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378080.80621229054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189040.40310614527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-67878.524203369452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1</v>
      </c>
      <c r="Z135" s="103">
        <f t="shared" si="44"/>
        <v>0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120985.85798793298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120985.85798793298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120985.85798793298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4.2345050295776536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4.2345050295776536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5024574.3595380196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21821.426523041016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3993351.791828224</v>
      </c>
      <c r="O137" s="195">
        <f t="shared" si="39"/>
        <v>3993351.791828224</v>
      </c>
      <c r="P137" s="205">
        <f t="shared" si="24"/>
        <v>21821.426523041016</v>
      </c>
      <c r="Q137" s="192">
        <f>IFERROR(VLOOKUP(A137,[1]Energiindhold!$A$2:$C$11,3,FALSE),IFERROR(VLOOKUP(A137,[1]Biogasudbytte!$A$2:$B$18,2,FALSE)*[1]Energiindhold!$C$10,0))*O137</f>
        <v>10.838116497093473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10.897340721534068</v>
      </c>
      <c r="S137" s="192">
        <f>IFERROR(VLOOKUP(A137,[1]Biogasudbytte!$A$2:$B$18,2,FALSE)*[1]Energiindhold!$C$10,0)*J137*IFERROR(VLOOKUP(A137,Biogasanlæg!$F$3:$G$8,2,FALSE),1)</f>
        <v>5.9224224440594241E-2</v>
      </c>
      <c r="T137" s="193">
        <f t="shared" si="25"/>
        <v>10.838116497093473</v>
      </c>
      <c r="U137" s="191">
        <f>O137*IFERROR(VLOOKUP(A137,[1]Tørstofindhold!A$2:B$24,2,FALSE),0)</f>
        <v>798670.35836564482</v>
      </c>
      <c r="V137" s="192">
        <f>IF(D137=År1,P137,SUM(O137,P137))*IFERROR(VLOOKUP(A137,[1]Tørstofindhold!A$2:B$24,2,FALSE),0)</f>
        <v>803034.64367025299</v>
      </c>
      <c r="W137" s="192">
        <f>J137*IFERROR(VLOOKUP(A137,[1]Tørstofindhold!A$2:B$24,2,FALSE),0)</f>
        <v>4364.2853046082037</v>
      </c>
      <c r="X137" s="193">
        <f t="shared" si="26"/>
        <v>798670.35836564482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222680.59406186192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222680.59406186192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151320.29792095526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104021.41590581447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4145732.4076082129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2573468.1840518024</v>
      </c>
      <c r="O140" s="195">
        <f t="shared" si="39"/>
        <v>2573468.1840518024</v>
      </c>
      <c r="P140" s="205">
        <f t="shared" si="24"/>
        <v>1572264.2235564108</v>
      </c>
      <c r="Q140" s="192">
        <f>IFERROR(VLOOKUP(A140,[1]Energiindhold!$A$2:$C$11,3,FALSE),IFERROR(VLOOKUP(A140,[1]Biogasudbytte!$A$2:$B$18,2,FALSE)*[1]Energiindhold!$C$10,0))*O140</f>
        <v>1.2841863585236901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92">
        <f>IFERROR(VLOOKUP(A140,[1]Biogasudbytte!$A$2:$B$18,2,FALSE)*[1]Energiindhold!$C$10,0)*J140*IFERROR(VLOOKUP(A140,Biogasanlæg!$F$3:$G$8,2,FALSE),1)</f>
        <v>0.78457557019688462</v>
      </c>
      <c r="T140" s="193">
        <f t="shared" si="25"/>
        <v>1.2841863585236899</v>
      </c>
      <c r="U140" s="191">
        <f>O140*IFERROR(VLOOKUP(A140,[1]Tørstofindhold!A$2:B$24,2,FALSE),0)</f>
        <v>154408.09104310814</v>
      </c>
      <c r="V140" s="192">
        <f>IF(D140=År1,P140,SUM(O140,P140))*IFERROR(VLOOKUP(A140,[1]Tørstofindhold!A$2:B$24,2,FALSE),0)</f>
        <v>248743.94445649275</v>
      </c>
      <c r="W140" s="192">
        <f>J140*IFERROR(VLOOKUP(A140,[1]Tørstofindhold!A$2:B$24,2,FALSE),0)</f>
        <v>94335.853413384641</v>
      </c>
      <c r="X140" s="193">
        <f t="shared" si="26"/>
        <v>154408.09104310811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17318750.121095471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15586875.108985925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1731875.0121095467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15586875.108985925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6.7148257969511373</v>
      </c>
      <c r="S141" s="192">
        <f>IFERROR(VLOOKUP(A141,[1]Biogasudbytte!$A$2:$B$18,2,FALSE)*[1]Energiindhold!$C$10,0)*J141*IFERROR(VLOOKUP(A141,Biogasanlæg!$F$3:$G$8,2,FALSE),1)</f>
        <v>6.7148257969511373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779343.75544929632</v>
      </c>
      <c r="W141" s="192">
        <f>J141*IFERROR(VLOOKUP(A141,[1]Tørstofindhold!A$2:B$24,2,FALSE),0)</f>
        <v>779343.75544929632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1608181.0498602674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1481553.9579175585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2235295.9759470159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2235295.9759470159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2235295.9759470159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32.397416241013886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32.397416241013886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1105540.1347704616</v>
      </c>
      <c r="W145" s="192">
        <f>J145*IFERROR(VLOOKUP(A145,[1]Tørstofindhold!A$2:B$24,2,FALSE),0)</f>
        <v>0</v>
      </c>
      <c r="X145" s="193">
        <f t="shared" si="26"/>
        <v>1105540.1347704616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687223.1739007252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687223.1739007252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21532.175325477547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-6677.1647991509926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66320.575580958233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56820.635476470117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132903660.4185296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132903660.4185296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132903660.4185296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4918277.5378409429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4542499.0612708991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375778.47657004371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429666.13151061774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133503.40514794196</v>
      </c>
      <c r="O201" s="195">
        <f t="shared" si="59"/>
        <v>133503.40514794196</v>
      </c>
      <c r="P201" s="205">
        <f t="shared" si="49"/>
        <v>214833.06575530887</v>
      </c>
      <c r="Q201" s="192">
        <f>IFERROR(VLOOKUP(A201,[1]Energiindhold!$A$2:$C$11,3,FALSE),IFERROR(VLOOKUP(A201,[1]Biogasudbytte!$A$2:$B$18,2,FALSE)*[1]Energiindhold!$C$10,0))*O201</f>
        <v>0.28756633468866699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92">
        <f>IFERROR(VLOOKUP(A201,[1]Biogasudbytte!$A$2:$B$18,2,FALSE)*[1]Energiindhold!$C$10,0)*J201*IFERROR(VLOOKUP(A201,Biogasanlæg!$F$3:$G$8,2,FALSE),1)</f>
        <v>0.4627504236369353</v>
      </c>
      <c r="T201" s="193">
        <f t="shared" si="50"/>
        <v>0.28756633468866699</v>
      </c>
      <c r="U201" s="191">
        <f>O201*IFERROR(VLOOKUP(A201,[1]Tørstofindhold!A$2:B$24,2,FALSE),0)</f>
        <v>40051.021544382587</v>
      </c>
      <c r="V201" s="192">
        <f>IF(D201=År1,P201,SUM(O201,P201))*IFERROR(VLOOKUP(A201,[1]Tørstofindhold!A$2:B$24,2,FALSE),0)</f>
        <v>104500.94127097525</v>
      </c>
      <c r="W201" s="192">
        <f>J201*IFERROR(VLOOKUP(A201,[1]Tørstofindhold!A$2:B$24,2,FALSE),0)</f>
        <v>64449.919726592656</v>
      </c>
      <c r="X201" s="193">
        <f t="shared" si="51"/>
        <v>40051.021544382595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840.2423101834255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756.21807916508294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63.618346342459347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20.405884675883158</v>
      </c>
      <c r="O203" s="195">
        <f t="shared" si="59"/>
        <v>20.405884675883158</v>
      </c>
      <c r="P203" s="205">
        <f t="shared" si="49"/>
        <v>756.21807916508294</v>
      </c>
      <c r="Q203" s="192">
        <f>IFERROR(VLOOKUP(A203,[1]Energiindhold!$A$2:$C$11,3,FALSE),IFERROR(VLOOKUP(A203,[1]Biogasudbytte!$A$2:$B$18,2,FALSE)*[1]Energiindhold!$C$10,0))*O203</f>
        <v>9.5966835042210911E-6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3.6523848395476796E-4</v>
      </c>
      <c r="S203" s="192">
        <f>IFERROR(VLOOKUP(A203,[1]Biogasudbytte!$A$2:$B$18,2,FALSE)*[1]Energiindhold!$C$10,0)*J203*IFERROR(VLOOKUP(A203,Biogasanlæg!$F$3:$G$8,2,FALSE),1)</f>
        <v>3.5564180045054685E-4</v>
      </c>
      <c r="T203" s="193">
        <f t="shared" si="50"/>
        <v>9.5966835042211114E-6</v>
      </c>
      <c r="U203" s="191">
        <f>O203*IFERROR(VLOOKUP(A203,[1]Tørstofindhold!A$2:B$24,2,FALSE),0)</f>
        <v>1.2855707345806389</v>
      </c>
      <c r="V203" s="192">
        <f>IF(D203=År1,P203,SUM(O203,P203))*IFERROR(VLOOKUP(A203,[1]Tørstofindhold!A$2:B$24,2,FALSE),0)</f>
        <v>48.927309721980862</v>
      </c>
      <c r="W203" s="192">
        <f>J203*IFERROR(VLOOKUP(A203,[1]Tørstofindhold!A$2:B$24,2,FALSE),0)</f>
        <v>47.641738987400224</v>
      </c>
      <c r="X203" s="193">
        <f t="shared" si="51"/>
        <v>1.285570734580638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18292.854791513339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-12267.263676834245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342757.79858178977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342757.79858178977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9754.2866982633659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-213569.65595504592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7915785.5258047525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6094632.9310839092</v>
      </c>
      <c r="O208" s="195">
        <f t="shared" si="59"/>
        <v>6094632.9310839092</v>
      </c>
      <c r="P208" s="205">
        <f t="shared" si="49"/>
        <v>18670.90350678641</v>
      </c>
      <c r="Q208" s="192">
        <f>IFERROR(VLOOKUP(A208,[1]Energiindhold!$A$2:$C$11,3,FALSE),IFERROR(VLOOKUP(A208,[1]Biogasudbytte!$A$2:$B$18,2,FALSE)*[1]Energiindhold!$C$10,0))*O208</f>
        <v>11.213362764078008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11.247714892667556</v>
      </c>
      <c r="S208" s="192">
        <f>IFERROR(VLOOKUP(A208,[1]Biogasudbytte!$A$2:$B$18,2,FALSE)*[1]Energiindhold!$C$10,0)*J208*IFERROR(VLOOKUP(A208,Biogasanlæg!$F$3:$G$8,2,FALSE),1)</f>
        <v>3.4352128589548649E-2</v>
      </c>
      <c r="T208" s="193">
        <f t="shared" si="50"/>
        <v>11.213362764078008</v>
      </c>
      <c r="U208" s="191">
        <f>O208*IFERROR(VLOOKUP(A208,[1]Tørstofindhold!A$2:B$24,2,FALSE),0)</f>
        <v>1706497.2207034947</v>
      </c>
      <c r="V208" s="192">
        <f>IF(D208=År1,P208,SUM(O208,P208))*IFERROR(VLOOKUP(A208,[1]Tørstofindhold!A$2:B$24,2,FALSE),0)</f>
        <v>1711725.0736853951</v>
      </c>
      <c r="W208" s="192">
        <f>J208*IFERROR(VLOOKUP(A208,[1]Tørstofindhold!A$2:B$24,2,FALSE),0)</f>
        <v>5227.8529819001951</v>
      </c>
      <c r="X208" s="193">
        <f t="shared" si="51"/>
        <v>1706497.220703495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66219.734583524318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-167682.71061652066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888494.96140285372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124225.03152224726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20304.811678317506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630097.78056099394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650402.59223931143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6.6296368385206215</v>
      </c>
      <c r="S211" s="192">
        <f>IFERROR(VLOOKUP(A211,[1]Biogasudbytte!$A$2:$B$18,2,FALSE)*[1]Energiindhold!$C$10,0)*J211*IFERROR(VLOOKUP(A211,Biogasanlæg!$F$3:$G$8,2,FALSE),1)</f>
        <v>0.11706820392380672</v>
      </c>
      <c r="T211" s="193">
        <f t="shared" si="50"/>
        <v>6.512568634596815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552842.20340341469</v>
      </c>
      <c r="W211" s="192">
        <f>J211*IFERROR(VLOOKUP(A211,[1]Tørstofindhold!A$2:B$24,2,FALSE),0)</f>
        <v>17259.089926569879</v>
      </c>
      <c r="X211" s="193">
        <f t="shared" si="51"/>
        <v>535583.11347684485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-711176.07171098527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210543.78587843414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19521.564274117642</v>
      </c>
      <c r="O214" s="195">
        <f t="shared" si="59"/>
        <v>19521.564274117642</v>
      </c>
      <c r="P214" s="205">
        <f t="shared" si="49"/>
        <v>191022.2216043165</v>
      </c>
      <c r="Q214" s="192">
        <f>IFERROR(VLOOKUP(A214,[1]Energiindhold!$A$2:$C$11,3,FALSE),IFERROR(VLOOKUP(A214,[1]Biogasudbytte!$A$2:$B$18,2,FALSE)*[1]Energiindhold!$C$10,0))*O214</f>
        <v>8.4589475803107383E-2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92">
        <f>IFERROR(VLOOKUP(A214,[1]Biogasudbytte!$A$2:$B$18,2,FALSE)*[1]Energiindhold!$C$10,0)*J214*IFERROR(VLOOKUP(A214,Biogasanlæg!$F$3:$G$8,2,FALSE),1)</f>
        <v>0.70356550123526529</v>
      </c>
      <c r="T214" s="193">
        <f t="shared" si="50"/>
        <v>8.4589475803107383E-2</v>
      </c>
      <c r="U214" s="191">
        <f>O214*IFERROR(VLOOKUP(A214,[1]Tørstofindhold!A$2:B$24,2,FALSE),0)</f>
        <v>8199.0569951294092</v>
      </c>
      <c r="V214" s="192">
        <f>IF(D214=År1,P214,SUM(O214,P214))*IFERROR(VLOOKUP(A214,[1]Tørstofindhold!A$2:B$24,2,FALSE),0)</f>
        <v>88428.390068942332</v>
      </c>
      <c r="W214" s="192">
        <f>J214*IFERROR(VLOOKUP(A214,[1]Tørstofindhold!A$2:B$24,2,FALSE),0)</f>
        <v>80229.33307381293</v>
      </c>
      <c r="X214" s="193">
        <f t="shared" si="51"/>
        <v>8199.0569951294019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211505.55492892067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211505.55492892067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515263.04540454788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408302.63076533133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1608239.7398434528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485187.88125070883</v>
      </c>
      <c r="O217" s="195">
        <f t="shared" si="59"/>
        <v>0</v>
      </c>
      <c r="P217" s="205">
        <f t="shared" si="63"/>
        <v>871.08988076433457</v>
      </c>
      <c r="Q217" s="192">
        <f>IFERROR(VLOOKUP(A217,[1]Energiindhold!$A$2:$C$11,3,FALSE),IFERROR(VLOOKUP(A217,[1]Biogasudbytte!$A$2:$B$18,2,FALSE)*[1]Energiindhold!$C$10,0))*O217</f>
        <v>0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2.9833608890345396E-3</v>
      </c>
      <c r="S217" s="192">
        <f>IFERROR(VLOOKUP(A217,[1]Biogasudbytte!$A$2:$B$18,2,FALSE)*[1]Energiindhold!$C$10,0)*J217*IFERROR(VLOOKUP(A217,Biogasanlæg!$F$3:$G$8,2,FALSE),1)</f>
        <v>2.9833608890345396E-3</v>
      </c>
      <c r="T217" s="193">
        <f t="shared" si="64"/>
        <v>0</v>
      </c>
      <c r="U217" s="191">
        <f>O217*IFERROR(VLOOKUP(A217,[1]Tørstofindhold!A$2:B$24,2,FALSE),0)</f>
        <v>0</v>
      </c>
      <c r="V217" s="192">
        <f>IF(D217=År1,P217,SUM(O217,P217))*IFERROR(VLOOKUP(A217,[1]Tørstofindhold!A$2:B$24,2,FALSE),0)</f>
        <v>270.03786303694369</v>
      </c>
      <c r="W217" s="192">
        <f>J217*IFERROR(VLOOKUP(A217,[1]Tørstofindhold!A$2:B$24,2,FALSE),0)</f>
        <v>270.03786303694369</v>
      </c>
      <c r="X217" s="193">
        <f t="shared" si="65"/>
        <v>0</v>
      </c>
      <c r="Y217" s="171">
        <f t="shared" si="60"/>
        <v>1</v>
      </c>
      <c r="Z217" s="103">
        <f t="shared" si="61"/>
        <v>0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298340.95844878507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-298340.95844878507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1107347.0071994506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996612.30647950561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73361.739226963589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37372.961492981529</v>
      </c>
      <c r="O219" s="195">
        <f t="shared" si="59"/>
        <v>37372.961492981529</v>
      </c>
      <c r="P219" s="205">
        <f t="shared" si="63"/>
        <v>996612.30647950561</v>
      </c>
      <c r="Q219" s="192">
        <f>IFERROR(VLOOKUP(A219,[1]Energiindhold!$A$2:$C$11,3,FALSE),IFERROR(VLOOKUP(A219,[1]Biogasudbytte!$A$2:$B$18,2,FALSE)*[1]Energiindhold!$C$10,0))*O219</f>
        <v>1.8917819378132323E-2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0.52339300279499335</v>
      </c>
      <c r="S219" s="192">
        <f>IFERROR(VLOOKUP(A219,[1]Biogasudbytte!$A$2:$B$18,2,FALSE)*[1]Energiindhold!$C$10,0)*J219*IFERROR(VLOOKUP(A219,Biogasanlæg!$F$3:$G$8,2,FALSE),1)</f>
        <v>0.50447518341686104</v>
      </c>
      <c r="T219" s="193">
        <f t="shared" si="64"/>
        <v>1.8917819378132306E-2</v>
      </c>
      <c r="U219" s="191">
        <f>O219*IFERROR(VLOOKUP(A219,[1]Tørstofindhold!A$2:B$24,2,FALSE),0)</f>
        <v>2840.3450734665962</v>
      </c>
      <c r="V219" s="192">
        <f>IF(D219=År1,P219,SUM(O219,P219))*IFERROR(VLOOKUP(A219,[1]Tørstofindhold!A$2:B$24,2,FALSE),0)</f>
        <v>78582.880365909019</v>
      </c>
      <c r="W219" s="192">
        <f>J219*IFERROR(VLOOKUP(A219,[1]Tørstofindhold!A$2:B$24,2,FALSE),0)</f>
        <v>75742.535292442422</v>
      </c>
      <c r="X219" s="193">
        <f t="shared" si="65"/>
        <v>2840.3450734665967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138252.64067231142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-84995.951783159224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1730463.2966817433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822429.13724355097</v>
      </c>
      <c r="O221" s="195">
        <f t="shared" si="59"/>
        <v>0</v>
      </c>
      <c r="P221" s="205">
        <f t="shared" si="63"/>
        <v>74810.246107047482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0.26856878352430047</v>
      </c>
      <c r="S221" s="192">
        <f>IFERROR(VLOOKUP(A221,[1]Biogasudbytte!$A$2:$B$18,2,FALSE)*[1]Energiindhold!$C$10,0)*J221*IFERROR(VLOOKUP(A221,Biogasanlæg!$F$3:$G$8,2,FALSE),1)</f>
        <v>0.26856878352430047</v>
      </c>
      <c r="T221" s="193">
        <f t="shared" si="64"/>
        <v>0</v>
      </c>
      <c r="U221" s="191">
        <f>O221*IFERROR(VLOOKUP(A221,[1]Tørstofindhold!A$2:B$24,2,FALSE),0)</f>
        <v>0</v>
      </c>
      <c r="V221" s="192">
        <f>IF(D221=År1,P221,SUM(O221,P221))*IFERROR(VLOOKUP(A221,[1]Tørstofindhold!A$2:B$24,2,FALSE),0)</f>
        <v>22443.073832114245</v>
      </c>
      <c r="W221" s="192">
        <f>J221*IFERROR(VLOOKUP(A221,[1]Tørstofindhold!A$2:B$24,2,FALSE),0)</f>
        <v>22443.073832114245</v>
      </c>
      <c r="X221" s="193">
        <f t="shared" si="65"/>
        <v>0</v>
      </c>
      <c r="Y221" s="171">
        <f t="shared" si="60"/>
        <v>1</v>
      </c>
      <c r="Z221" s="103">
        <f t="shared" si="61"/>
        <v>0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266755.84485045663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-142279.58695665724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9054.9543846077213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-42920.754795020359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301497.09442768525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301497.09442768525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42074.872472772768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42074.872472772768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0.77417765349901879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17461.0720762007</v>
      </c>
      <c r="W226" s="192">
        <f>J226*IFERROR(VLOOKUP(A226,[1]Tørstofindhold!A$2:B$24,2,FALSE),0)</f>
        <v>0</v>
      </c>
      <c r="X226" s="193">
        <f t="shared" si="65"/>
        <v>17461.0720762007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415393.31848489033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415393.31848489033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111531.10220983687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55765.551104918435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24231.02770252039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1</v>
      </c>
      <c r="Z231" s="103">
        <f t="shared" si="61"/>
        <v>0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35689.952707147801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35689.952707147801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1.249148344750173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1508318.1394402247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1377705.6686060484</v>
      </c>
      <c r="O233" s="195">
        <f t="shared" si="59"/>
        <v>1377705.6686060484</v>
      </c>
      <c r="P233" s="205">
        <f t="shared" si="63"/>
        <v>6717.4186381438076</v>
      </c>
      <c r="Q233" s="192">
        <f>IFERROR(VLOOKUP(A233,[1]Energiindhold!$A$2:$C$11,3,FALSE),IFERROR(VLOOKUP(A233,[1]Biogasudbytte!$A$2:$B$18,2,FALSE)*[1]Energiindhold!$C$10,0))*O233</f>
        <v>3.7391482928235598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3.7573796357042277</v>
      </c>
      <c r="S233" s="192">
        <f>IFERROR(VLOOKUP(A233,[1]Biogasudbytte!$A$2:$B$18,2,FALSE)*[1]Energiindhold!$C$10,0)*J233*IFERROR(VLOOKUP(A233,Biogasanlæg!$F$3:$G$8,2,FALSE),1)</f>
        <v>1.8231342880667821E-2</v>
      </c>
      <c r="T233" s="193">
        <f t="shared" si="64"/>
        <v>3.7391482928235598</v>
      </c>
      <c r="U233" s="191">
        <f>O233*IFERROR(VLOOKUP(A233,[1]Tørstofindhold!A$2:B$24,2,FALSE),0)</f>
        <v>275541.13372120971</v>
      </c>
      <c r="V233" s="192">
        <f>IF(D233=År1,P233,SUM(O233,P233))*IFERROR(VLOOKUP(A233,[1]Tørstofindhold!A$2:B$24,2,FALSE),0)</f>
        <v>276884.61744883849</v>
      </c>
      <c r="W233" s="192">
        <f>J233*IFERROR(VLOOKUP(A233,[1]Tørstofindhold!A$2:B$24,2,FALSE),0)</f>
        <v>1343.4837276287617</v>
      </c>
      <c r="X233" s="193">
        <f t="shared" si="65"/>
        <v>275541.13372120971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27042.987950784696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27042.987950784696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21948.511505172726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16142.992552429989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3345784.8962579207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2076899.8417262346</v>
      </c>
      <c r="O236" s="195">
        <f t="shared" si="59"/>
        <v>2076899.8417262346</v>
      </c>
      <c r="P236" s="205">
        <f t="shared" si="63"/>
        <v>1268885.054531686</v>
      </c>
      <c r="Q236" s="192">
        <f>IFERROR(VLOOKUP(A236,[1]Energiindhold!$A$2:$C$11,3,FALSE),IFERROR(VLOOKUP(A236,[1]Biogasudbytte!$A$2:$B$18,2,FALSE)*[1]Energiindhold!$C$10,0))*O236</f>
        <v>1.0363937900198086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92">
        <f>IFERROR(VLOOKUP(A236,[1]Biogasudbytte!$A$2:$B$18,2,FALSE)*[1]Energiindhold!$C$10,0)*J236*IFERROR(VLOOKUP(A236,Biogasanlæg!$F$3:$G$8,2,FALSE),1)</f>
        <v>0.63318633106185673</v>
      </c>
      <c r="T236" s="193">
        <f t="shared" si="64"/>
        <v>1.0363937900198086</v>
      </c>
      <c r="U236" s="191">
        <f>O236*IFERROR(VLOOKUP(A236,[1]Tørstofindhold!A$2:B$24,2,FALSE),0)</f>
        <v>124613.99050357408</v>
      </c>
      <c r="V236" s="192">
        <f>IF(D236=År1,P236,SUM(O236,P236))*IFERROR(VLOOKUP(A236,[1]Tørstofindhold!A$2:B$24,2,FALSE),0)</f>
        <v>200747.09377547522</v>
      </c>
      <c r="W236" s="192">
        <f>J236*IFERROR(VLOOKUP(A236,[1]Tørstofindhold!A$2:B$24,2,FALSE),0)</f>
        <v>76133.103271901156</v>
      </c>
      <c r="X236" s="193">
        <f t="shared" si="65"/>
        <v>124613.99050357407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2621159.8056514151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2359043.8250862737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262115.98056514148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2359043.8250862737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1.0162760798471668</v>
      </c>
      <c r="S237" s="192">
        <f>IFERROR(VLOOKUP(A237,[1]Biogasudbytte!$A$2:$B$18,2,FALSE)*[1]Energiindhold!$C$10,0)*J237*IFERROR(VLOOKUP(A237,Biogasanlæg!$F$3:$G$8,2,FALSE),1)</f>
        <v>1.0162760798471668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117952.19125431369</v>
      </c>
      <c r="W237" s="192">
        <f>J237*IFERROR(VLOOKUP(A237,[1]Tørstofindhold!A$2:B$24,2,FALSE),0)</f>
        <v>117952.19125431369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239604.1344339604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134077.69458441247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647088.73530897219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647088.73530897219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647088.73530897219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9.3786251701161518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9.3786251701161518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320039.30367156246</v>
      </c>
      <c r="W241" s="192">
        <f>J241*IFERROR(VLOOKUP(A241,[1]Tørstofindhold!A$2:B$24,2,FALSE),0)</f>
        <v>0</v>
      </c>
      <c r="X241" s="193">
        <f t="shared" si="65"/>
        <v>320039.30367156246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178637.61286448501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178637.61286448501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20971.319509081128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-8560.6825110208265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69084.929808935805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59584.989704447689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133513669.71589959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133513669.71589959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133513669.71589959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4878606.198274008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4479880.3720469549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398725.82622705307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452469.72841919982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140588.80847310851</v>
      </c>
      <c r="O249" s="195">
        <f t="shared" si="59"/>
        <v>140588.80847310851</v>
      </c>
      <c r="P249" s="205">
        <f t="shared" si="63"/>
        <v>226234.86420959991</v>
      </c>
      <c r="Q249" s="192">
        <f>IFERROR(VLOOKUP(A249,[1]Energiindhold!$A$2:$C$11,3,FALSE),IFERROR(VLOOKUP(A249,[1]Biogasudbytte!$A$2:$B$18,2,FALSE)*[1]Energiindhold!$C$10,0))*O249</f>
        <v>0.30282829345107576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92">
        <f>IFERROR(VLOOKUP(A249,[1]Biogasudbytte!$A$2:$B$18,2,FALSE)*[1]Energiindhold!$C$10,0)*J249*IFERROR(VLOOKUP(A249,Biogasanlæg!$F$3:$G$8,2,FALSE),1)</f>
        <v>0.48730989750747822</v>
      </c>
      <c r="T249" s="193">
        <f t="shared" si="64"/>
        <v>0.30282829345107576</v>
      </c>
      <c r="U249" s="191">
        <f>O249*IFERROR(VLOOKUP(A249,[1]Tørstofindhold!A$2:B$24,2,FALSE),0)</f>
        <v>42176.642541932553</v>
      </c>
      <c r="V249" s="192">
        <f>IF(D249=År1,P249,SUM(O249,P249))*IFERROR(VLOOKUP(A249,[1]Tørstofindhold!A$2:B$24,2,FALSE),0)</f>
        <v>110047.10180481253</v>
      </c>
      <c r="W249" s="192">
        <f>J249*IFERROR(VLOOKUP(A249,[1]Tørstofindhold!A$2:B$24,2,FALSE),0)</f>
        <v>67870.459262879973</v>
      </c>
      <c r="X249" s="193">
        <f t="shared" si="65"/>
        <v>42176.642541932553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867.71807684226371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780.94626915803735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65.698654389485654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21.073153294740678</v>
      </c>
      <c r="O251" s="195">
        <f t="shared" si="59"/>
        <v>21.073153294740678</v>
      </c>
      <c r="P251" s="205">
        <f t="shared" si="63"/>
        <v>780.94626915803735</v>
      </c>
      <c r="Q251" s="192">
        <f>IFERROR(VLOOKUP(A251,[1]Energiindhold!$A$2:$C$11,3,FALSE),IFERROR(VLOOKUP(A251,[1]Biogasudbytte!$A$2:$B$18,2,FALSE)*[1]Energiindhold!$C$10,0))*O251</f>
        <v>9.910493262983593E-6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3.7718171418531698E-4</v>
      </c>
      <c r="S251" s="192">
        <f>IFERROR(VLOOKUP(A251,[1]Biogasudbytte!$A$2:$B$18,2,FALSE)*[1]Energiindhold!$C$10,0)*J251*IFERROR(VLOOKUP(A251,Biogasanlæg!$F$3:$G$8,2,FALSE),1)</f>
        <v>3.6727122092233339E-4</v>
      </c>
      <c r="T251" s="193">
        <f t="shared" si="64"/>
        <v>9.9104932629835913E-6</v>
      </c>
      <c r="U251" s="191">
        <f>O251*IFERROR(VLOOKUP(A251,[1]Tørstofindhold!A$2:B$24,2,FALSE),0)</f>
        <v>1.3276086575686628</v>
      </c>
      <c r="V251" s="192">
        <f>IF(D251=År1,P251,SUM(O251,P251))*IFERROR(VLOOKUP(A251,[1]Tørstofindhold!A$2:B$24,2,FALSE),0)</f>
        <v>50.527223614525013</v>
      </c>
      <c r="W251" s="192">
        <f>J251*IFERROR(VLOOKUP(A251,[1]Tørstofindhold!A$2:B$24,2,FALSE),0)</f>
        <v>49.199614956956353</v>
      </c>
      <c r="X251" s="193">
        <f t="shared" si="65"/>
        <v>1.3276086575686605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17490.137871374405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-14502.864317069379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357304.25157150667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357304.25157150667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10163.089759541812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-223631.92623293199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8332694.7229536632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18918.331265736317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6511294.7004738692</v>
      </c>
      <c r="O256" s="195">
        <f t="shared" si="59"/>
        <v>6511294.7004738692</v>
      </c>
      <c r="P256" s="205">
        <f t="shared" si="63"/>
        <v>18918.331265736317</v>
      </c>
      <c r="Q256" s="192">
        <f>IFERROR(VLOOKUP(A256,[1]Energiindhold!$A$2:$C$11,3,FALSE),IFERROR(VLOOKUP(A256,[1]Biogasudbytte!$A$2:$B$18,2,FALSE)*[1]Energiindhold!$C$10,0))*O256</f>
        <v>11.979968337034361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12.014775701771907</v>
      </c>
      <c r="S256" s="192">
        <f>IFERROR(VLOOKUP(A256,[1]Biogasudbytte!$A$2:$B$18,2,FALSE)*[1]Energiindhold!$C$10,0)*J256*IFERROR(VLOOKUP(A256,Biogasanlæg!$F$3:$G$8,2,FALSE),1)</f>
        <v>3.4807364737546607E-2</v>
      </c>
      <c r="T256" s="193">
        <f t="shared" si="64"/>
        <v>11.979968337034361</v>
      </c>
      <c r="U256" s="191">
        <f>O256*IFERROR(VLOOKUP(A256,[1]Tørstofindhold!A$2:B$24,2,FALSE),0)</f>
        <v>1823162.5161326835</v>
      </c>
      <c r="V256" s="192">
        <f>IF(D256=År1,P256,SUM(O256,P256))*IFERROR(VLOOKUP(A256,[1]Tørstofindhold!A$2:B$24,2,FALSE),0)</f>
        <v>1828459.6488870897</v>
      </c>
      <c r="W256" s="192">
        <f>J256*IFERROR(VLOOKUP(A256,[1]Tørstofindhold!A$2:B$24,2,FALSE),0)</f>
        <v>5297.1327544061696</v>
      </c>
      <c r="X256" s="193">
        <f t="shared" si="65"/>
        <v>1823162.5161326835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68513.709869912811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-176355.80688009923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865944.52172148146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123674.90928891925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20808.574960679292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607593.69983058784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628402.27479126712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6.3999434856058874</v>
      </c>
      <c r="S259" s="192">
        <f>IFERROR(VLOOKUP(A259,[1]Biogasudbytte!$A$2:$B$18,2,FALSE)*[1]Energiindhold!$C$10,0)*J259*IFERROR(VLOOKUP(A259,Biogasanlæg!$F$3:$G$8,2,FALSE),1)</f>
        <v>0.11997267127879489</v>
      </c>
      <c r="T259" s="193">
        <f t="shared" si="64"/>
        <v>6.2799708143270925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534141.93357257708</v>
      </c>
      <c r="W259" s="192">
        <f>J259*IFERROR(VLOOKUP(A259,[1]Tørstofindhold!A$2:B$24,2,FALSE),0)</f>
        <v>17687.288716577397</v>
      </c>
      <c r="X259" s="193">
        <f t="shared" si="65"/>
        <v>516454.64485599968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-711176.0717109855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210918.57690717495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19487.187141916074</v>
      </c>
      <c r="O262" s="195">
        <f t="shared" si="75"/>
        <v>19487.187141916074</v>
      </c>
      <c r="P262" s="205">
        <f t="shared" si="63"/>
        <v>191431.38976525888</v>
      </c>
      <c r="Q262" s="192">
        <f>IFERROR(VLOOKUP(A262,[1]Energiindhold!$A$2:$C$11,3,FALSE),IFERROR(VLOOKUP(A262,[1]Biogasudbytte!$A$2:$B$18,2,FALSE)*[1]Energiindhold!$C$10,0))*O262</f>
        <v>8.4440515220250811E-2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92">
        <f>IFERROR(VLOOKUP(A262,[1]Biogasudbytte!$A$2:$B$18,2,FALSE)*[1]Energiindhold!$C$10,0)*J262*IFERROR(VLOOKUP(A262,Biogasanlæg!$F$3:$G$8,2,FALSE),1)</f>
        <v>0.70507253324350583</v>
      </c>
      <c r="T262" s="193">
        <f t="shared" si="64"/>
        <v>8.4440515220250867E-2</v>
      </c>
      <c r="U262" s="191">
        <f>O262*IFERROR(VLOOKUP(A262,[1]Tørstofindhold!A$2:B$24,2,FALSE),0)</f>
        <v>8184.6185996047507</v>
      </c>
      <c r="V262" s="192">
        <f>IF(D262=År1,P262,SUM(O262,P262))*IFERROR(VLOOKUP(A262,[1]Tørstofindhold!A$2:B$24,2,FALSE),0)</f>
        <v>88585.802301013478</v>
      </c>
      <c r="W262" s="192">
        <f>J262*IFERROR(VLOOKUP(A262,[1]Tørstofindhold!A$2:B$24,2,FALSE),0)</f>
        <v>80401.183701408721</v>
      </c>
      <c r="X262" s="193">
        <f t="shared" si="65"/>
        <v>8184.618599604757</v>
      </c>
      <c r="Y262" s="171">
        <f t="shared" si="76"/>
        <v>0</v>
      </c>
      <c r="Z262" s="103">
        <f t="shared" si="77"/>
        <v>1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220334.04456617165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220334.04456617165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536733.47505489504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424757.96739534178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1683096.8033949384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884.229461452941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548017.62633762183</v>
      </c>
      <c r="O265" s="195">
        <f t="shared" si="75"/>
        <v>0</v>
      </c>
      <c r="P265" s="205">
        <f t="shared" si="63"/>
        <v>884.229461452941</v>
      </c>
      <c r="Q265" s="192">
        <f>IFERROR(VLOOKUP(A265,[1]Energiindhold!$A$2:$C$11,3,FALSE),IFERROR(VLOOKUP(A265,[1]Biogasudbytte!$A$2:$B$18,2,FALSE)*[1]Energiindhold!$C$10,0))*O265</f>
        <v>0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3.0283621133517201E-3</v>
      </c>
      <c r="S265" s="192">
        <f>IFERROR(VLOOKUP(A265,[1]Biogasudbytte!$A$2:$B$18,2,FALSE)*[1]Energiindhold!$C$10,0)*J265*IFERROR(VLOOKUP(A265,Biogasanlæg!$F$3:$G$8,2,FALSE),1)</f>
        <v>3.0283621133517201E-3</v>
      </c>
      <c r="T265" s="193">
        <f t="shared" si="64"/>
        <v>0</v>
      </c>
      <c r="U265" s="191">
        <f>O265*IFERROR(VLOOKUP(A265,[1]Tørstofindhold!A$2:B$24,2,FALSE),0)</f>
        <v>0</v>
      </c>
      <c r="V265" s="192">
        <f>IF(D265=År1,P265,SUM(O265,P265))*IFERROR(VLOOKUP(A265,[1]Tørstofindhold!A$2:B$24,2,FALSE),0)</f>
        <v>274.11113305041169</v>
      </c>
      <c r="W265" s="192">
        <f>J265*IFERROR(VLOOKUP(A265,[1]Tørstofindhold!A$2:B$24,2,FALSE),0)</f>
        <v>274.11113305041169</v>
      </c>
      <c r="X265" s="193">
        <f t="shared" si="65"/>
        <v>0</v>
      </c>
      <c r="Y265" s="171">
        <f t="shared" si="76"/>
        <v>1</v>
      </c>
      <c r="Z265" s="103">
        <f t="shared" si="77"/>
        <v>0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288997.39411293587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-288997.39411293587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1086187.6880789888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977568.91927108995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71959.934335232989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36658.834472665796</v>
      </c>
      <c r="O267" s="195">
        <f t="shared" si="75"/>
        <v>36658.834472665796</v>
      </c>
      <c r="P267" s="205">
        <f t="shared" si="63"/>
        <v>977568.91927108995</v>
      </c>
      <c r="Q267" s="192">
        <f>IFERROR(VLOOKUP(A267,[1]Energiindhold!$A$2:$C$11,3,FALSE),IFERROR(VLOOKUP(A267,[1]Biogasudbytte!$A$2:$B$18,2,FALSE)*[1]Energiindhold!$C$10,0))*O267</f>
        <v>1.8556335421718702E-2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0.51339194666755184</v>
      </c>
      <c r="S267" s="192">
        <f>IFERROR(VLOOKUP(A267,[1]Biogasudbytte!$A$2:$B$18,2,FALSE)*[1]Energiindhold!$C$10,0)*J267*IFERROR(VLOOKUP(A267,Biogasanlæg!$F$3:$G$8,2,FALSE),1)</f>
        <v>0.49483561124583308</v>
      </c>
      <c r="T267" s="193">
        <f t="shared" si="64"/>
        <v>1.855633542171875E-2</v>
      </c>
      <c r="U267" s="191">
        <f>O267*IFERROR(VLOOKUP(A267,[1]Tørstofindhold!A$2:B$24,2,FALSE),0)</f>
        <v>2786.0714199226004</v>
      </c>
      <c r="V267" s="192">
        <f>IF(D267=År1,P267,SUM(O267,P267))*IFERROR(VLOOKUP(A267,[1]Tørstofindhold!A$2:B$24,2,FALSE),0)</f>
        <v>77081.309284525429</v>
      </c>
      <c r="W267" s="192">
        <f>J267*IFERROR(VLOOKUP(A267,[1]Tørstofindhold!A$2:B$24,2,FALSE),0)</f>
        <v>74295.237864602837</v>
      </c>
      <c r="X267" s="193">
        <f t="shared" si="65"/>
        <v>2786.0714199225913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135684.56083605965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-87564.031619411078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1823285.6405542411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75927.162506469729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914134.56471662631</v>
      </c>
      <c r="O269" s="195">
        <f t="shared" si="75"/>
        <v>0</v>
      </c>
      <c r="P269" s="205">
        <f t="shared" si="63"/>
        <v>75927.162506469729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0.27257851339822636</v>
      </c>
      <c r="S269" s="192">
        <f>IFERROR(VLOOKUP(A269,[1]Biogasudbytte!$A$2:$B$18,2,FALSE)*[1]Energiindhold!$C$10,0)*J269*IFERROR(VLOOKUP(A269,Biogasanlæg!$F$3:$G$8,2,FALSE),1)</f>
        <v>0.27257851339822636</v>
      </c>
      <c r="T269" s="193">
        <f t="shared" si="64"/>
        <v>0</v>
      </c>
      <c r="U269" s="191">
        <f>O269*IFERROR(VLOOKUP(A269,[1]Tørstofindhold!A$2:B$24,2,FALSE),0)</f>
        <v>0</v>
      </c>
      <c r="V269" s="192">
        <f>IF(D269=År1,P269,SUM(O269,P269))*IFERROR(VLOOKUP(A269,[1]Tørstofindhold!A$2:B$24,2,FALSE),0)</f>
        <v>22778.148751940917</v>
      </c>
      <c r="W269" s="192">
        <f>J269*IFERROR(VLOOKUP(A269,[1]Tørstofindhold!A$2:B$24,2,FALSE),0)</f>
        <v>22778.148751940917</v>
      </c>
      <c r="X269" s="193">
        <f t="shared" si="65"/>
        <v>0</v>
      </c>
      <c r="Y269" s="171">
        <f t="shared" si="76"/>
        <v>1</v>
      </c>
      <c r="Z269" s="103">
        <f t="shared" si="77"/>
        <v>0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261800.78357255683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-166413.24571892151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8766.6762558976552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-45646.037466140195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0</v>
      </c>
      <c r="Z272" s="103">
        <f t="shared" si="77"/>
        <v>1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314116.08613367198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314116.08613367198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43858.564110476924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43858.564110476924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43858.564110476924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0.8069975796327753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0.8069975796327753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18201.304105847925</v>
      </c>
      <c r="W274" s="192">
        <f>J274*IFERROR(VLOOKUP(A274,[1]Tørstofindhold!A$2:B$24,2,FALSE),0)</f>
        <v>0</v>
      </c>
      <c r="X274" s="193">
        <f t="shared" si="65"/>
        <v>18201.304105847925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407677.27631652972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407677.27631652972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116086.90219815794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116086.90219815794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58043.451099078971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26508.927696680919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1</v>
      </c>
      <c r="Z279" s="103">
        <f t="shared" si="91"/>
        <v>0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37147.808703410541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37147.808703410541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37147.808703410541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1.3001733046193689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1.3001733046193689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1571187.4884325294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6823.5734769589817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1440468.862759538</v>
      </c>
      <c r="O281" s="195">
        <f t="shared" si="89"/>
        <v>1440468.862759538</v>
      </c>
      <c r="P281" s="205">
        <f t="shared" si="63"/>
        <v>6823.5734769589817</v>
      </c>
      <c r="Q281" s="192">
        <f>IFERROR(VLOOKUP(A281,[1]Energiindhold!$A$2:$C$11,3,FALSE),IFERROR(VLOOKUP(A281,[1]Biogasudbytte!$A$2:$B$18,2,FALSE)*[1]Energiindhold!$C$10,0))*O281</f>
        <v>3.9094901122838963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3.9280095636433021</v>
      </c>
      <c r="S281" s="192">
        <f>IFERROR(VLOOKUP(A281,[1]Biogasudbytte!$A$2:$B$18,2,FALSE)*[1]Energiindhold!$C$10,0)*J281*IFERROR(VLOOKUP(A281,Biogasanlæg!$F$3:$G$8,2,FALSE),1)</f>
        <v>1.8519451359405754E-2</v>
      </c>
      <c r="T281" s="193">
        <f t="shared" si="64"/>
        <v>3.9094901122838963</v>
      </c>
      <c r="U281" s="191">
        <f>O281*IFERROR(VLOOKUP(A281,[1]Tørstofindhold!A$2:B$24,2,FALSE),0)</f>
        <v>288093.77255190763</v>
      </c>
      <c r="V281" s="192">
        <f>IF(D281=År1,P281,SUM(O281,P281))*IFERROR(VLOOKUP(A281,[1]Tørstofindhold!A$2:B$24,2,FALSE),0)</f>
        <v>289458.4872472994</v>
      </c>
      <c r="W281" s="192">
        <f>J281*IFERROR(VLOOKUP(A281,[1]Tørstofindhold!A$2:B$24,2,FALSE),0)</f>
        <v>1364.7146953917963</v>
      </c>
      <c r="X281" s="193">
        <f t="shared" si="65"/>
        <v>288093.77255190763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26273.975378565505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26273.975378565505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21342.928539613244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15537.409586870504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3501980.1471558851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2173858.224266367</v>
      </c>
      <c r="O284" s="195">
        <f t="shared" si="89"/>
        <v>2173858.224266367</v>
      </c>
      <c r="P284" s="205">
        <f t="shared" si="94"/>
        <v>1328121.9228895183</v>
      </c>
      <c r="Q284" s="192">
        <f>IFERROR(VLOOKUP(A284,[1]Energiindhold!$A$2:$C$11,3,FALSE),IFERROR(VLOOKUP(A284,[1]Biogasudbytte!$A$2:$B$18,2,FALSE)*[1]Energiindhold!$C$10,0))*O284</f>
        <v>1.0847769924911599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92">
        <f>IFERROR(VLOOKUP(A284,[1]Biogasudbytte!$A$2:$B$18,2,FALSE)*[1]Energiindhold!$C$10,0)*J284*IFERROR(VLOOKUP(A284,Biogasanlæg!$F$3:$G$8,2,FALSE),1)</f>
        <v>0.66274612074109862</v>
      </c>
      <c r="T284" s="193">
        <f t="shared" si="95"/>
        <v>1.0847769924911597</v>
      </c>
      <c r="U284" s="191">
        <f>O284*IFERROR(VLOOKUP(A284,[1]Tørstofindhold!A$2:B$24,2,FALSE),0)</f>
        <v>130431.49345598201</v>
      </c>
      <c r="V284" s="192">
        <f>IF(D284=År1,P284,SUM(O284,P284))*IFERROR(VLOOKUP(A284,[1]Tørstofindhold!A$2:B$24,2,FALSE),0)</f>
        <v>210118.80882935313</v>
      </c>
      <c r="W284" s="192">
        <f>J284*IFERROR(VLOOKUP(A284,[1]Tørstofindhold!A$2:B$24,2,FALSE),0)</f>
        <v>79687.315373371093</v>
      </c>
      <c r="X284" s="193">
        <f t="shared" si="96"/>
        <v>130431.49345598204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2509436.929964724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2258493.2369682519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250943.69299647235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2258493.2369682519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0.9729588864859231</v>
      </c>
      <c r="S285" s="192">
        <f>IFERROR(VLOOKUP(A285,[1]Biogasudbytte!$A$2:$B$18,2,FALSE)*[1]Energiindhold!$C$10,0)*J285*IFERROR(VLOOKUP(A285,Biogasanlæg!$F$3:$G$8,2,FALSE),1)</f>
        <v>0.9729588864859231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112924.66184841259</v>
      </c>
      <c r="W285" s="192">
        <f>J285*IFERROR(VLOOKUP(A285,[1]Tørstofindhold!A$2:B$24,2,FALSE),0)</f>
        <v>112924.66184841259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233020.79470926209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122546.49715239737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624603.98534617631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624603.98534617631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624603.98534617631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9.0527408973136652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9.0527408973136652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308918.72108579637</v>
      </c>
      <c r="W289" s="192">
        <f>J289*IFERROR(VLOOKUP(A289,[1]Tørstofindhold!A$2:B$24,2,FALSE),0)</f>
        <v>0</v>
      </c>
      <c r="X289" s="193">
        <f t="shared" si="96"/>
        <v>308918.72108579637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184169.19735067486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184169.19735067486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Raps"/>
        <filter val="Rapskage"/>
        <filter val="Rapsolie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282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IF(Landbrug!$E$47&gt;0,SUMIF(Landbrug!$B$32:$B$45,$B6,IF(I4=År2,Landbrug!$D$32:$D$45,Landbrug!$E$32:$E$45)),'[1]Afgrødefordeling - jordtype'!$G4)*(1-Landbrug!$E$5)*Arealanvendelse!P$26</f>
        <v>576591.97905547544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IF(Landbrug!$E$47&gt;0,SUMIF(Landbrug!$B$32:$B$45,$B6,IF(I4=År2,Landbrug!$D$32:$D$45,Landbrug!$E$32:$E$45)),'[1]Afgrødefordeling - jordtype'!$G4)*(Landbrug!$E$5)*Arealanvendelse!P$26</f>
        <v>122307.389496616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285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IF(Landbrug!$E$47&gt;0,SUMIF(Landbrug!$B$32:$B$45,$B7,IF(I5=År2,Landbrug!$D$32:$D$45,Landbrug!$E$32:$E$45)),'[1]Afgrødefordeling - jordtype'!$G5)*(1-Landbrug!$E$5)*Arealanvendelse!P$26</f>
        <v>44370.662327297228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IF(Landbrug!$E$47&gt;0,SUMIF(Landbrug!$B$32:$B$45,$B7,IF(I5=År2,Landbrug!$D$32:$D$45,Landbrug!$E$32:$E$45)),'[1]Afgrødefordeling - jordtype'!$G5)*(Landbrug!$E$5)*Arealanvendelse!P$26</f>
        <v>9411.9586754872907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286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IF(Landbrug!$E$47&gt;0,SUMIF(Landbrug!$B$32:$B$45,$B8,IF(I6=År2,Landbrug!$D$32:$D$45,Landbrug!$E$32:$E$45)),'[1]Afgrødefordeling - jordtype'!$G6)*(1-Landbrug!$E$5)*Arealanvendelse!P$26</f>
        <v>64930.608396310665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IF(Landbrug!$E$47&gt;0,SUMIF(Landbrug!$B$32:$B$45,$B8,IF(I6=År2,Landbrug!$D$32:$D$45,Landbrug!$E$32:$E$45)),'[1]Afgrødefordeling - jordtype'!$G6)*(Landbrug!$E$5)*Arealanvendelse!P$26</f>
        <v>13773.159356793169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287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IF(Landbrug!$E$47&gt;0,SUMIF(Landbrug!$B$32:$B$45,$B9,IF(I7=År2,Landbrug!$D$32:$D$45,Landbrug!$E$32:$E$45)),'[1]Afgrødefordeling - jordtype'!$G7)*(1-Landbrug!$E$5)*Arealanvendelse!P$26</f>
        <v>359534.40705289674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IF(Landbrug!$E$47&gt;0,SUMIF(Landbrug!$B$32:$B$45,$B9,IF(I7=År2,Landbrug!$D$32:$D$45,Landbrug!$E$32:$E$45)),'[1]Afgrødefordeling - jordtype'!$G7)*(Landbrug!$E$5)*Arealanvendelse!P$26</f>
        <v>76264.874223341743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IF(Landbrug!$E$47&gt;0,SUMIF(Landbrug!$B$32:$B$45,$B10,IF(I8=År2,Landbrug!$D$32:$D$45,Landbrug!$E$32:$E$45)),'[1]Afgrødefordeling - jordtype'!$G8)*(1-Landbrug!$E$5)*Arealanvendelse!P$26</f>
        <v>7457.2400160431316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IF(Landbrug!$E$47&gt;0,SUMIF(Landbrug!$B$32:$B$45,$B10,IF(I8=År2,Landbrug!$D$32:$D$45,Landbrug!$E$32:$E$45)),'[1]Afgrødefordeling - jordtype'!$G8)*(Landbrug!$E$5)*Arealanvendelse!P$26</f>
        <v>1581.8387912818764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IF(Landbrug!$E$47&gt;0,SUMIF(Landbrug!$B$32:$B$45,$B11,IF(I9=År2,Landbrug!$D$32:$D$45,Landbrug!$E$32:$E$45)),'[1]Afgrødefordeling - jordtype'!$G9)*(1-Landbrug!$E$5)*Arealanvendelse!P$26</f>
        <v>31365.844342236556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IF(Landbrug!$E$47&gt;0,SUMIF(Landbrug!$B$32:$B$45,$B11,IF(I9=År2,Landbrug!$D$32:$D$45,Landbrug!$E$32:$E$45)),'[1]Afgrødefordeling - jordtype'!$G9)*(Landbrug!$E$5)*Arealanvendelse!P$26</f>
        <v>6653.3609210804825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IF(Landbrug!$E$47&gt;0,SUMIF(Landbrug!$B$32:$B$45,$B12,IF(I10=År2,Landbrug!$D$32:$D$45,Landbrug!$E$32:$E$45)),'[1]Afgrødefordeling - jordtype'!$G10)*(1-Landbrug!$E$5)*Arealanvendelse!P$26</f>
        <v>47938.272936646019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IF(Landbrug!$E$47&gt;0,SUMIF(Landbrug!$B$32:$B$45,$B12,IF(I10=År2,Landbrug!$D$32:$D$45,Landbrug!$E$32:$E$45)),'[1]Afgrødefordeling - jordtype'!$G10)*(Landbrug!$E$5)*Arealanvendelse!P$26</f>
        <v>10168.724562318854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IF(Landbrug!$E$47&gt;0,SUMIF(Landbrug!$B$32:$B$45,$B13,IF(I11=År2,Landbrug!$D$32:$D$45,Landbrug!$E$32:$E$45)),'[1]Afgrødefordeling - jordtype'!$G11)*(1-Landbrug!$E$5)*Arealanvendelse!P$26</f>
        <v>97058.944942455943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IF(Landbrug!$E$47&gt;0,SUMIF(Landbrug!$B$32:$B$45,$B13,IF(I11=År2,Landbrug!$D$32:$D$45,Landbrug!$E$32:$E$45)),'[1]Afgrødefordeling - jordtype'!$G11)*(Landbrug!$E$5)*Arealanvendelse!P$26</f>
        <v>20588.261048399749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IF(Landbrug!$E$47&gt;0,SUMIF(Landbrug!$B$32:$B$45,$B14,IF(I12=År2,Landbrug!$D$32:$D$45,Landbrug!$E$32:$E$45)),'[1]Afgrødefordeling - jordtype'!$G12)*(1-Landbrug!$E$5)*Arealanvendelse!P$26</f>
        <v>2908.0623604905873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IF(Landbrug!$E$47&gt;0,SUMIF(Landbrug!$B$32:$B$45,$B14,IF(I12=År2,Landbrug!$D$32:$D$45,Landbrug!$E$32:$E$45)),'[1]Afgrødefordeling - jordtype'!$G12)*(Landbrug!$E$5)*Arealanvendelse!P$26</f>
        <v>616.86171283133672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IF(Landbrug!$E$47&gt;0,SUMIF(Landbrug!$B$32:$B$45,$B15,IF(I13=År2,Landbrug!$D$32:$D$45,Landbrug!$E$32:$E$45)),'[1]Afgrødefordeling - jordtype'!$G13)*(1-Landbrug!$E$5)*Arealanvendelse!P$26</f>
        <v>25738.466902719567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IF(Landbrug!$E$47&gt;0,SUMIF(Landbrug!$B$32:$B$45,$B15,IF(I13=År2,Landbrug!$D$32:$D$45,Landbrug!$E$32:$E$45)),'[1]Afgrødefordeling - jordtype'!$G13)*(Landbrug!$E$5)*Arealanvendelse!P$26</f>
        <v>5459.6747975465751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IF(Landbrug!$E$47&gt;0,SUMIF(Landbrug!$B$32:$B$45,$B16,IF(I14=År2,Landbrug!$D$32:$D$45,Landbrug!$E$32:$E$45)),'[1]Afgrødefordeling - jordtype'!$G14)*(1-Landbrug!$E$5)*Arealanvendelse!P$26</f>
        <v>57862.561202403813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IF(Landbrug!$E$47&gt;0,SUMIF(Landbrug!$B$32:$B$45,$B16,IF(I14=År2,Landbrug!$D$32:$D$45,Landbrug!$E$32:$E$45)),'[1]Afgrødefordeling - jordtype'!$G14)*(Landbrug!$E$5)*Arealanvendelse!P$26</f>
        <v>12273.876618691718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IF(Landbrug!$E$47&gt;0,SUMIF(Landbrug!$B$32:$B$45,$B17,IF(I15=År2,Landbrug!$D$32:$D$45,Landbrug!$E$32:$E$45)),'[1]Afgrødefordeling - jordtype'!$G15)*(1-Landbrug!$E$5)*Arealanvendelse!P$26</f>
        <v>10867.586324157863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IF(Landbrug!$E$47&gt;0,SUMIF(Landbrug!$B$32:$B$45,$B17,IF(I15=År2,Landbrug!$D$32:$D$45,Landbrug!$E$32:$E$45)),'[1]Afgrødefordeling - jordtype'!$G15)*(Landbrug!$E$5)*Arealanvendelse!P$26</f>
        <v>2305.2455839122736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IF(Landbrug!$E$47&gt;0,SUMIF(Landbrug!$B$32:$B$45,$B18,IF(I16=År2,Landbrug!$D$32:$D$45,Landbrug!$E$32:$E$45)),'[1]Afgrødefordeling - jordtype'!$G16)*(1-Landbrug!$E$5)*Arealanvendelse!P$26</f>
        <v>4179.063908207143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IF(Landbrug!$E$47&gt;0,SUMIF(Landbrug!$B$32:$B$45,$B18,IF(I16=År2,Landbrug!$D$32:$D$45,Landbrug!$E$32:$E$45)),'[1]Afgrødefordeling - jordtype'!$G16)*(Landbrug!$E$5)*Arealanvendelse!P$26</f>
        <v>886.46810174090911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IF(Landbrug!$E$47&gt;0,SUMIF(Landbrug!$B$32:$B$45,$B19,IF(I17=År2,Landbrug!$D$32:$D$45,Landbrug!$E$32:$E$45)),'[1]Afgrødefordeling - jordtype'!$G17)*(1-Landbrug!$E$5)*Arealanvendelse!P$26</f>
        <v>101375.57782061782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IF(Landbrug!$E$47&gt;0,SUMIF(Landbrug!$B$32:$B$45,$B19,IF(I17=År2,Landbrug!$D$32:$D$45,Landbrug!$E$32:$E$45)),'[1]Afgrødefordeling - jordtype'!$G17)*(Landbrug!$E$5)*Arealanvendelse!P$26</f>
        <v>21503.910446797723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1432179.2775879591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303795.60433683975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25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IF(Landbrug!$E$47&gt;0,SUMIF(Landbrug!$B$32:$B$45,$B33,IF(I32=År2,Landbrug!$D$32:$D$45,Landbrug!$E$32:$E$45)),'[1]Afgrødefordeling - jordtype'!$P4)*(1-Landbrug!$E$5)*Arealanvendelse!P$36</f>
        <v>179389.67006955924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IF(Landbrug!$E$47&gt;0,SUMIF(Landbrug!$B$32:$B$45,$B33,IF(R32=År2,Landbrug!$D$32:$D$45,Landbrug!$E$32:$E$45)),'[1]Afgrødefordeling - jordtype'!$P4)*(Landbrug!$E$5)*Arealanvendelse!P$36</f>
        <v>38052.354257179235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IF(Landbrug!$E$47&gt;0,SUMIF(Landbrug!$B$32:$B$45,$B34,IF(I33=År2,Landbrug!$D$32:$D$45,Landbrug!$E$32:$E$45)),'[1]Afgrødefordeling - jordtype'!$P5)*(1-Landbrug!$E$5)*Arealanvendelse!P$36</f>
        <v>13804.629208856637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IF(Landbrug!$E$47&gt;0,SUMIF(Landbrug!$B$32:$B$45,$B34,IF(R33=År2,Landbrug!$D$32:$D$45,Landbrug!$E$32:$E$45)),'[1]Afgrødefordeling - jordtype'!$P5)*(Landbrug!$E$5)*Arealanvendelse!P$36</f>
        <v>2928.2546806665596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IF(Landbrug!$E$47&gt;0,SUMIF(Landbrug!$B$32:$B$45,$B35,IF(I34=År2,Landbrug!$D$32:$D$45,Landbrug!$E$32:$E$45)),'[1]Afgrødefordeling - jordtype'!$P6)*(1-Landbrug!$E$5)*Arealanvendelse!P$36</f>
        <v>20201.252949634338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IF(Landbrug!$E$47&gt;0,SUMIF(Landbrug!$B$32:$B$45,$B35,IF(R34=År2,Landbrug!$D$32:$D$45,Landbrug!$E$32:$E$45)),'[1]Afgrødefordeling - jordtype'!$P6)*(Landbrug!$E$5)*Arealanvendelse!P$36</f>
        <v>4285.1142620436467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IF(Landbrug!$E$47&gt;0,SUMIF(Landbrug!$B$32:$B$45,$B36,IF(I35=År2,Landbrug!$D$32:$D$45,Landbrug!$E$32:$E$45)),'[1]Afgrødefordeling - jordtype'!$P7)*(1-Landbrug!$E$5)*Arealanvendelse!P$36</f>
        <v>111858.57764710314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IF(Landbrug!$E$47&gt;0,SUMIF(Landbrug!$B$32:$B$45,$B36,IF(R35=År2,Landbrug!$D$32:$D$45,Landbrug!$E$32:$E$45)),'[1]Afgrødefordeling - jordtype'!$P7)*(Landbrug!$E$5)*Arealanvendelse!P$36</f>
        <v>23727.577076658243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IF(Landbrug!$E$47&gt;0,SUMIF(Landbrug!$B$32:$B$45,$B37,IF(I36=År2,Landbrug!$D$32:$D$45,Landbrug!$E$32:$E$45)),'[1]Afgrødefordeling - jordtype'!$P8)*(1-Landbrug!$E$5)*Arealanvendelse!P$36</f>
        <v>2320.101344973416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IF(Landbrug!$E$47&gt;0,SUMIF(Landbrug!$B$32:$B$45,$B37,IF(R36=År2,Landbrug!$D$32:$D$45,Landbrug!$E$32:$E$45)),'[1]Afgrødefordeling - jordtype'!$P8)*(Landbrug!$E$5)*Arealanvendelse!P$36</f>
        <v>492.14270953981543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IF(Landbrug!$E$47&gt;0,SUMIF(Landbrug!$B$32:$B$45,$B38,IF(I37=År2,Landbrug!$D$32:$D$45,Landbrug!$E$32:$E$45)),'[1]Afgrødefordeling - jordtype'!$P9)*(1-Landbrug!$E$5)*Arealanvendelse!P$36</f>
        <v>9758.5618121573061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IF(Landbrug!$E$47&gt;0,SUMIF(Landbrug!$B$32:$B$45,$B38,IF(R37=År2,Landbrug!$D$32:$D$45,Landbrug!$E$32:$E$45)),'[1]Afgrødefordeling - jordtype'!$P9)*(Landbrug!$E$5)*Arealanvendelse!P$36</f>
        <v>2069.9979601545801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IF(Landbrug!$E$47&gt;0,SUMIF(Landbrug!$B$32:$B$45,$B39,IF(I38=År2,Landbrug!$D$32:$D$45,Landbrug!$E$32:$E$45)),'[1]Afgrødefordeling - jordtype'!$P10)*(1-Landbrug!$E$5)*Arealanvendelse!P$36</f>
        <v>14914.586532918138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IF(Landbrug!$E$47&gt;0,SUMIF(Landbrug!$B$32:$B$45,$B39,IF(R38=År2,Landbrug!$D$32:$D$45,Landbrug!$E$32:$E$45)),'[1]Afgrødefordeling - jordtype'!$P10)*(Landbrug!$E$5)*Arealanvendelse!P$36</f>
        <v>3163.7001736493021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IF(Landbrug!$E$47&gt;0,SUMIF(Landbrug!$B$32:$B$45,$B40,IF(I39=År2,Landbrug!$D$32:$D$45,Landbrug!$E$32:$E$45)),'[1]Afgrødefordeling - jordtype'!$P11)*(1-Landbrug!$E$5)*Arealanvendelse!P$36</f>
        <v>30197.041830253234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IF(Landbrug!$E$47&gt;0,SUMIF(Landbrug!$B$32:$B$45,$B40,IF(R39=År2,Landbrug!$D$32:$D$45,Landbrug!$E$32:$E$45)),'[1]Afgrødefordeling - jordtype'!$P11)*(Landbrug!$E$5)*Arealanvendelse!P$36</f>
        <v>6405.4331155082618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IF(Landbrug!$E$47&gt;0,SUMIF(Landbrug!$B$32:$B$45,$B41,IF(I40=År2,Landbrug!$D$32:$D$45,Landbrug!$E$32:$E$45)),'[1]Afgrødefordeling - jordtype'!$P12)*(1-Landbrug!$E$5)*Arealanvendelse!P$36</f>
        <v>904.75824558759291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IF(Landbrug!$E$47&gt;0,SUMIF(Landbrug!$B$32:$B$45,$B41,IF(R40=År2,Landbrug!$D$32:$D$45,Landbrug!$E$32:$E$45)),'[1]Afgrødefordeling - jordtype'!$P12)*(Landbrug!$E$5)*Arealanvendelse!P$36</f>
        <v>191.91841573070153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IF(Landbrug!$E$47&gt;0,SUMIF(Landbrug!$B$32:$B$45,$B42,IF(I41=År2,Landbrug!$D$32:$D$45,Landbrug!$E$32:$E$45)),'[1]Afgrødefordeling - jordtype'!$P13)*(1-Landbrug!$E$5)*Arealanvendelse!P$36</f>
        <v>8007.7684974714139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IF(Landbrug!$E$47&gt;0,SUMIF(Landbrug!$B$32:$B$45,$B42,IF(R41=År2,Landbrug!$D$32:$D$45,Landbrug!$E$32:$E$45)),'[1]Afgrødefordeling - jordtype'!$P13)*(Landbrug!$E$5)*Arealanvendelse!P$36</f>
        <v>1698.6175600696938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IF(Landbrug!$E$47&gt;0,SUMIF(Landbrug!$B$32:$B$45,$B43,IF(I42=År2,Landbrug!$D$32:$D$45,Landbrug!$E$32:$E$45)),'[1]Afgrødefordeling - jordtype'!$P14)*(1-Landbrug!$E$5)*Arealanvendelse!P$36</f>
        <v>18002.237527623009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IF(Landbrug!$E$47&gt;0,SUMIF(Landbrug!$B$32:$B$45,$B43,IF(R42=År2,Landbrug!$D$32:$D$45,Landbrug!$E$32:$E$45)),'[1]Afgrødefordeling - jordtype'!$P14)*(Landbrug!$E$5)*Arealanvendelse!P$36</f>
        <v>3818.6564452533657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IF(Landbrug!$E$47&gt;0,SUMIF(Landbrug!$B$32:$B$45,$B44,IF(I43=År2,Landbrug!$D$32:$D$45,Landbrug!$E$32:$E$45)),'[1]Afgrødefordeling - jordtype'!$P15)*(1-Landbrug!$E$5)*Arealanvendelse!P$36</f>
        <v>3381.1304977511027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IF(Landbrug!$E$47&gt;0,SUMIF(Landbrug!$B$32:$B$45,$B44,IF(R43=År2,Landbrug!$D$32:$D$45,Landbrug!$E$32:$E$45)),'[1]Afgrødefordeling - jordtype'!$P15)*(Landbrug!$E$5)*Arealanvendelse!P$36</f>
        <v>717.2094995229611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IF(Landbrug!$E$47&gt;0,SUMIF(Landbrug!$B$32:$B$45,$B45,IF(I44=År2,Landbrug!$D$32:$D$45,Landbrug!$E$32:$E$45)),'[1]Afgrødefordeling - jordtype'!$P16)*(1-Landbrug!$E$5)*Arealanvendelse!P$36</f>
        <v>1300.1930705330769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IF(Landbrug!$E$47&gt;0,SUMIF(Landbrug!$B$32:$B$45,$B45,IF(R44=År2,Landbrug!$D$32:$D$45,Landbrug!$E$32:$E$45)),'[1]Afgrødefordeling - jordtype'!$P16)*(Landbrug!$E$5)*Arealanvendelse!P$36</f>
        <v>275.79853011307694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IF(Landbrug!$E$47&gt;0,SUMIF(Landbrug!$B$32:$B$45,$B46,IF(I45=År2,Landbrug!$D$32:$D$45,Landbrug!$E$32:$E$45)),'[1]Afgrødefordeling - jordtype'!$P17)*(1-Landbrug!$E$5)*Arealanvendelse!P$36</f>
        <v>31540.035447842853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IF(Landbrug!$E$47&gt;0,SUMIF(Landbrug!$B$32:$B$45,$B46,IF(R45=År2,Landbrug!$D$32:$D$45,Landbrug!$E$32:$E$45)),'[1]Afgrødefordeling - jordtype'!$P17)*(Landbrug!$E$5)*Arealanvendelse!P$36</f>
        <v>6690.3105495424243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445580.54468226456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94517.08523563185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4456697.0576533619</v>
      </c>
      <c r="F5" s="242"/>
      <c r="G5" s="242">
        <v>24293.582834993256</v>
      </c>
      <c r="H5" s="242"/>
      <c r="I5" s="242"/>
      <c r="J5" s="242">
        <v>428226</v>
      </c>
      <c r="K5" s="242">
        <v>257031</v>
      </c>
      <c r="L5" s="242"/>
      <c r="M5" s="242">
        <v>227802.00000000006</v>
      </c>
      <c r="N5" s="242">
        <v>234</v>
      </c>
      <c r="O5" s="242"/>
      <c r="P5" s="242">
        <v>2444653.9999999995</v>
      </c>
      <c r="Q5" s="242"/>
      <c r="R5" s="242">
        <v>11357.999999999998</v>
      </c>
      <c r="S5" s="242">
        <v>34104106.363413721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8354441.8810100975</v>
      </c>
      <c r="AB5" s="242">
        <v>39400101.334325343</v>
      </c>
      <c r="AC5" s="242"/>
      <c r="AD5" s="242"/>
      <c r="AE5" s="242"/>
      <c r="AF5" s="242"/>
      <c r="AG5" s="242"/>
      <c r="AH5" s="242"/>
      <c r="AI5" s="242"/>
      <c r="AJ5" s="242">
        <v>92247864.219237506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1806588.5568306167</v>
      </c>
      <c r="F7" s="242"/>
      <c r="G7" s="242">
        <v>9766.3623055542048</v>
      </c>
      <c r="H7" s="242"/>
      <c r="I7" s="242"/>
      <c r="J7" s="242">
        <v>142742</v>
      </c>
      <c r="K7" s="242">
        <v>85677</v>
      </c>
      <c r="L7" s="242"/>
      <c r="M7" s="242">
        <v>75934.000000000029</v>
      </c>
      <c r="N7" s="242">
        <v>78</v>
      </c>
      <c r="O7" s="242"/>
      <c r="P7" s="242">
        <v>725967.99999999977</v>
      </c>
      <c r="Q7" s="242"/>
      <c r="R7" s="242">
        <v>3785.9999999999991</v>
      </c>
      <c r="S7" s="242">
        <v>15018788.754722154</v>
      </c>
      <c r="T7" s="242"/>
      <c r="U7" s="242">
        <v>330026</v>
      </c>
      <c r="V7" s="242"/>
      <c r="W7" s="242"/>
      <c r="X7" s="242"/>
      <c r="Y7" s="242">
        <v>28645.000000000004</v>
      </c>
      <c r="Z7" s="242"/>
      <c r="AA7" s="242">
        <v>2785221.7345641684</v>
      </c>
      <c r="AB7" s="242">
        <v>18639863.655037832</v>
      </c>
      <c r="AC7" s="242"/>
      <c r="AD7" s="242"/>
      <c r="AE7" s="242"/>
      <c r="AF7" s="242"/>
      <c r="AG7" s="242"/>
      <c r="AH7" s="242"/>
      <c r="AI7" s="242"/>
      <c r="AJ7" s="242">
        <v>40017080.06346032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1893021.5008227448</v>
      </c>
      <c r="F8" s="242"/>
      <c r="G8" s="242">
        <v>10085.720529439053</v>
      </c>
      <c r="H8" s="242"/>
      <c r="I8" s="242"/>
      <c r="J8" s="242">
        <v>142742</v>
      </c>
      <c r="K8" s="242">
        <v>85677.000000000015</v>
      </c>
      <c r="L8" s="242"/>
      <c r="M8" s="242">
        <v>75934.000000000029</v>
      </c>
      <c r="N8" s="242">
        <v>78</v>
      </c>
      <c r="O8" s="242"/>
      <c r="P8" s="242">
        <v>723031.99999999988</v>
      </c>
      <c r="Q8" s="242"/>
      <c r="R8" s="242">
        <v>3786</v>
      </c>
      <c r="S8" s="242">
        <v>14731807.942024902</v>
      </c>
      <c r="T8" s="242"/>
      <c r="U8" s="242">
        <v>330026</v>
      </c>
      <c r="V8" s="242"/>
      <c r="W8" s="242"/>
      <c r="X8" s="242"/>
      <c r="Y8" s="242">
        <v>28645</v>
      </c>
      <c r="Z8" s="242"/>
      <c r="AA8" s="242">
        <v>2900386.1464459291</v>
      </c>
      <c r="AB8" s="242">
        <v>17845368.345954176</v>
      </c>
      <c r="AC8" s="242"/>
      <c r="AD8" s="242"/>
      <c r="AE8" s="242"/>
      <c r="AF8" s="242"/>
      <c r="AG8" s="242"/>
      <c r="AH8" s="242"/>
      <c r="AI8" s="242"/>
      <c r="AJ8" s="242">
        <v>39140366.655777186</v>
      </c>
    </row>
    <row r="9" spans="1:36" x14ac:dyDescent="0.25">
      <c r="A9" s="78" t="s">
        <v>113</v>
      </c>
      <c r="B9" s="242"/>
      <c r="C9" s="242">
        <v>246211.3135783691</v>
      </c>
      <c r="D9" s="242"/>
      <c r="E9" s="242"/>
      <c r="F9" s="242"/>
      <c r="G9" s="242"/>
      <c r="H9" s="242"/>
      <c r="I9" s="242"/>
      <c r="J9" s="242"/>
      <c r="K9" s="242">
        <v>46715177.14991805</v>
      </c>
      <c r="L9" s="242"/>
      <c r="M9" s="242">
        <v>2951116.1613629516</v>
      </c>
      <c r="N9" s="242"/>
      <c r="O9" s="242">
        <v>18431652.502602909</v>
      </c>
      <c r="P9" s="242"/>
      <c r="Q9" s="242">
        <v>0</v>
      </c>
      <c r="R9" s="242">
        <v>22442845.152983833</v>
      </c>
      <c r="S9" s="242"/>
      <c r="T9" s="242">
        <v>5785965.8690916728</v>
      </c>
      <c r="U9" s="242">
        <v>21594783.96176945</v>
      </c>
      <c r="V9" s="242"/>
      <c r="W9" s="242"/>
      <c r="X9" s="242"/>
      <c r="Y9" s="242">
        <v>3211005.8812512299</v>
      </c>
      <c r="Z9" s="242">
        <v>150462.46940900333</v>
      </c>
      <c r="AA9" s="242"/>
      <c r="AB9" s="242"/>
      <c r="AC9" s="242"/>
      <c r="AD9" s="242"/>
      <c r="AE9" s="242"/>
      <c r="AF9" s="242">
        <v>817284.77701708628</v>
      </c>
      <c r="AG9" s="242"/>
      <c r="AH9" s="242"/>
      <c r="AI9" s="242"/>
      <c r="AJ9" s="242">
        <v>122346505.23898456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86898.110674718482</v>
      </c>
      <c r="D11" s="242"/>
      <c r="E11" s="242"/>
      <c r="F11" s="242"/>
      <c r="G11" s="242"/>
      <c r="H11" s="242"/>
      <c r="I11" s="242"/>
      <c r="J11" s="242"/>
      <c r="K11" s="242">
        <v>16487709.582324015</v>
      </c>
      <c r="L11" s="242"/>
      <c r="M11" s="242">
        <v>1041570.4098928064</v>
      </c>
      <c r="N11" s="242"/>
      <c r="O11" s="242">
        <v>6505289.1185657317</v>
      </c>
      <c r="P11" s="242"/>
      <c r="Q11" s="242">
        <v>0</v>
      </c>
      <c r="R11" s="242">
        <v>7921004.1716413517</v>
      </c>
      <c r="S11" s="242"/>
      <c r="T11" s="242">
        <v>2042105.6008558844</v>
      </c>
      <c r="U11" s="242">
        <v>7621688.4570950996</v>
      </c>
      <c r="V11" s="242"/>
      <c r="W11" s="242"/>
      <c r="X11" s="242"/>
      <c r="Y11" s="242">
        <v>1133296.1933827871</v>
      </c>
      <c r="Z11" s="242">
        <v>53104.400967883521</v>
      </c>
      <c r="AA11" s="242"/>
      <c r="AB11" s="242"/>
      <c r="AC11" s="242"/>
      <c r="AD11" s="242"/>
      <c r="AE11" s="242"/>
      <c r="AF11" s="242">
        <v>288453.45071191277</v>
      </c>
      <c r="AG11" s="242"/>
      <c r="AH11" s="242"/>
      <c r="AI11" s="242"/>
      <c r="AJ11" s="242">
        <v>43181119.49611219</v>
      </c>
    </row>
    <row r="12" spans="1:36" x14ac:dyDescent="0.25">
      <c r="A12" s="79">
        <v>2050</v>
      </c>
      <c r="B12" s="242"/>
      <c r="C12" s="242">
        <v>86898.110674718497</v>
      </c>
      <c r="D12" s="242"/>
      <c r="E12" s="242"/>
      <c r="F12" s="242"/>
      <c r="G12" s="242"/>
      <c r="H12" s="242"/>
      <c r="I12" s="242"/>
      <c r="J12" s="242"/>
      <c r="K12" s="242">
        <v>16487709.582324017</v>
      </c>
      <c r="L12" s="242"/>
      <c r="M12" s="242">
        <v>1041570.4098928064</v>
      </c>
      <c r="N12" s="242"/>
      <c r="O12" s="242">
        <v>6505289.1185657317</v>
      </c>
      <c r="P12" s="242"/>
      <c r="Q12" s="242">
        <v>0</v>
      </c>
      <c r="R12" s="242">
        <v>7921004.1716413526</v>
      </c>
      <c r="S12" s="242"/>
      <c r="T12" s="242">
        <v>2042105.6008558844</v>
      </c>
      <c r="U12" s="242">
        <v>7621688.4570951005</v>
      </c>
      <c r="V12" s="242"/>
      <c r="W12" s="242"/>
      <c r="X12" s="242"/>
      <c r="Y12" s="242">
        <v>1133296.1933827871</v>
      </c>
      <c r="Z12" s="242">
        <v>53104.400967883521</v>
      </c>
      <c r="AA12" s="242"/>
      <c r="AB12" s="242"/>
      <c r="AC12" s="242"/>
      <c r="AD12" s="242"/>
      <c r="AE12" s="242"/>
      <c r="AF12" s="242">
        <v>288453.45071191277</v>
      </c>
      <c r="AG12" s="242"/>
      <c r="AH12" s="242"/>
      <c r="AI12" s="242"/>
      <c r="AJ12" s="242">
        <v>43181119.49611219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5225567.2751860265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608691.6287406272</v>
      </c>
      <c r="AE17" s="242">
        <v>8733568.819759516</v>
      </c>
      <c r="AF17" s="242"/>
      <c r="AG17" s="242">
        <v>425267.56849537406</v>
      </c>
      <c r="AH17" s="242"/>
      <c r="AI17" s="242"/>
      <c r="AJ17" s="242">
        <v>17941288.292181544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1740639.4515213664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196559.60980685451</v>
      </c>
      <c r="AE19" s="242">
        <v>2863430.3661416383</v>
      </c>
      <c r="AF19" s="242"/>
      <c r="AG19" s="242">
        <v>154246.84100889968</v>
      </c>
      <c r="AH19" s="242"/>
      <c r="AI19" s="242"/>
      <c r="AJ19" s="242">
        <v>5937607.2684787586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1591162.6111290988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202349.63153877269</v>
      </c>
      <c r="AE20" s="242">
        <v>2859899.9612931921</v>
      </c>
      <c r="AF20" s="242"/>
      <c r="AG20" s="242">
        <v>158133.66669134353</v>
      </c>
      <c r="AH20" s="242"/>
      <c r="AI20" s="242"/>
      <c r="AJ20" s="242">
        <v>5794276.8706524065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2224331.6575402012</v>
      </c>
      <c r="F25" s="242"/>
      <c r="G25" s="242">
        <v>5032.9458575470526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8613899.324899435</v>
      </c>
      <c r="T25" s="242"/>
      <c r="U25" s="242"/>
      <c r="V25" s="242"/>
      <c r="W25" s="242"/>
      <c r="X25" s="242"/>
      <c r="Y25" s="242"/>
      <c r="Z25" s="242"/>
      <c r="AA25" s="242"/>
      <c r="AB25" s="242">
        <v>18796045.333443552</v>
      </c>
      <c r="AC25" s="242"/>
      <c r="AD25" s="242"/>
      <c r="AE25" s="242"/>
      <c r="AF25" s="242"/>
      <c r="AG25" s="242"/>
      <c r="AH25" s="242">
        <v>75821419.067929313</v>
      </c>
      <c r="AI25" s="242">
        <v>2238546.1289939694</v>
      </c>
      <c r="AJ25" s="242">
        <v>107699274.45866403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683922.81080016203</v>
      </c>
      <c r="F27" s="242"/>
      <c r="G27" s="242">
        <v>821.61460665773438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1105549.7277781582</v>
      </c>
      <c r="T27" s="242"/>
      <c r="U27" s="242"/>
      <c r="V27" s="242"/>
      <c r="W27" s="242"/>
      <c r="X27" s="242"/>
      <c r="Y27" s="242"/>
      <c r="Z27" s="242"/>
      <c r="AA27" s="242"/>
      <c r="AB27" s="242">
        <v>2071095.9616708695</v>
      </c>
      <c r="AC27" s="242"/>
      <c r="AD27" s="242"/>
      <c r="AE27" s="242"/>
      <c r="AF27" s="242"/>
      <c r="AG27" s="242"/>
      <c r="AH27" s="242">
        <v>33976956.193193458</v>
      </c>
      <c r="AI27" s="242">
        <v>586671.67478814675</v>
      </c>
      <c r="AJ27" s="242">
        <v>38425017.982837453</v>
      </c>
    </row>
    <row r="28" spans="1:36" x14ac:dyDescent="0.25">
      <c r="A28" s="79">
        <v>2050</v>
      </c>
      <c r="B28" s="242"/>
      <c r="C28" s="242"/>
      <c r="D28" s="242"/>
      <c r="E28" s="242">
        <v>716643.85388289625</v>
      </c>
      <c r="F28" s="242"/>
      <c r="G28" s="242">
        <v>848.48125088931693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1084424.7512879437</v>
      </c>
      <c r="T28" s="242"/>
      <c r="U28" s="242"/>
      <c r="V28" s="242"/>
      <c r="W28" s="242"/>
      <c r="X28" s="242"/>
      <c r="Y28" s="242"/>
      <c r="Z28" s="242"/>
      <c r="AA28" s="242"/>
      <c r="AB28" s="242">
        <v>1982818.705106019</v>
      </c>
      <c r="AC28" s="242"/>
      <c r="AD28" s="242"/>
      <c r="AE28" s="242"/>
      <c r="AF28" s="242"/>
      <c r="AG28" s="242"/>
      <c r="AH28" s="242">
        <v>33040971.139227368</v>
      </c>
      <c r="AI28" s="242">
        <v>543383.90021323995</v>
      </c>
      <c r="AJ28" s="242">
        <v>37369090.830968358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1654596.9038416902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1654596.9038416902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482021.37815281149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482021.37815281149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494167.70841044851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494167.70841044851</v>
      </c>
    </row>
    <row r="33" spans="1:36" x14ac:dyDescent="0.25">
      <c r="A33" s="78" t="s">
        <v>61</v>
      </c>
      <c r="B33" s="242">
        <v>182574.19618217932</v>
      </c>
      <c r="C33" s="242">
        <v>246211.3135783691</v>
      </c>
      <c r="D33" s="242">
        <v>1462906</v>
      </c>
      <c r="E33" s="242">
        <v>6681028.7151935641</v>
      </c>
      <c r="F33" s="242">
        <v>281468.55244752642</v>
      </c>
      <c r="G33" s="242">
        <v>29326.528692540305</v>
      </c>
      <c r="H33" s="242">
        <v>197788.71253069426</v>
      </c>
      <c r="I33" s="242">
        <v>1445379.0531089196</v>
      </c>
      <c r="J33" s="242">
        <v>428226</v>
      </c>
      <c r="K33" s="242">
        <v>46972208.14991805</v>
      </c>
      <c r="L33" s="242">
        <v>1513844.376677237</v>
      </c>
      <c r="M33" s="242">
        <v>8404485.43654898</v>
      </c>
      <c r="N33" s="242">
        <v>2948427</v>
      </c>
      <c r="O33" s="242">
        <v>18431652.502602909</v>
      </c>
      <c r="P33" s="242">
        <v>2444653.9999999995</v>
      </c>
      <c r="Q33" s="242">
        <v>692260.49385742994</v>
      </c>
      <c r="R33" s="242">
        <v>24112585.434971962</v>
      </c>
      <c r="S33" s="242">
        <v>42718005.688313156</v>
      </c>
      <c r="T33" s="242">
        <v>5785965.8690916728</v>
      </c>
      <c r="U33" s="242">
        <v>22584861.96176945</v>
      </c>
      <c r="V33" s="242">
        <v>2647325.8446415998</v>
      </c>
      <c r="W33" s="242">
        <v>336392.95646566537</v>
      </c>
      <c r="X33" s="242">
        <v>1654596.9038416902</v>
      </c>
      <c r="Y33" s="242">
        <v>3296940.8812512299</v>
      </c>
      <c r="Z33" s="242">
        <v>150462.46940900333</v>
      </c>
      <c r="AA33" s="242">
        <v>8354441.8810100975</v>
      </c>
      <c r="AB33" s="242">
        <v>58196146.667768896</v>
      </c>
      <c r="AC33" s="242">
        <v>682979.63888483576</v>
      </c>
      <c r="AD33" s="242">
        <v>608691.6287406272</v>
      </c>
      <c r="AE33" s="242">
        <v>8733568.819759516</v>
      </c>
      <c r="AF33" s="242">
        <v>817284.77701708628</v>
      </c>
      <c r="AG33" s="242">
        <v>529471.00922934094</v>
      </c>
      <c r="AH33" s="242">
        <v>75821419.067929313</v>
      </c>
      <c r="AI33" s="242">
        <v>2238546.1289939694</v>
      </c>
      <c r="AJ33" s="242">
        <v>351632128.66042751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7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9.28515625" bestFit="1" customWidth="1"/>
    <col min="12" max="12" width="11.28515625" bestFit="1" customWidth="1"/>
    <col min="13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288</v>
      </c>
      <c r="B2" s="78">
        <v>1</v>
      </c>
    </row>
    <row r="4" spans="1:12" x14ac:dyDescent="0.25">
      <c r="A4" s="77" t="s">
        <v>315</v>
      </c>
      <c r="B4" s="77" t="s">
        <v>62</v>
      </c>
    </row>
    <row r="5" spans="1:12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48</v>
      </c>
      <c r="F5" s="171" t="s">
        <v>116</v>
      </c>
      <c r="G5" s="171" t="s">
        <v>53</v>
      </c>
      <c r="H5" s="171" t="s">
        <v>159</v>
      </c>
      <c r="I5" s="171" t="s">
        <v>54</v>
      </c>
      <c r="J5" s="171" t="s">
        <v>160</v>
      </c>
      <c r="K5" s="171" t="s">
        <v>240</v>
      </c>
      <c r="L5" s="171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1108490.5539925825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0</v>
      </c>
      <c r="L6" s="76">
        <v>7949378.1351335607</v>
      </c>
    </row>
    <row r="7" spans="1:12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1487098.8105524196</v>
      </c>
      <c r="F7" s="76">
        <v>586671.67478814675</v>
      </c>
      <c r="G7" s="76">
        <v>317761.76118371845</v>
      </c>
      <c r="H7" s="76">
        <v>142742</v>
      </c>
      <c r="I7" s="76">
        <v>439387.69075181423</v>
      </c>
      <c r="J7" s="76">
        <v>6505289.1185657317</v>
      </c>
      <c r="K7" s="76">
        <v>47442.761635507028</v>
      </c>
      <c r="L7" s="76">
        <v>9746411.3861600496</v>
      </c>
    </row>
    <row r="8" spans="1:12" x14ac:dyDescent="0.25">
      <c r="A8" s="78">
        <v>2050</v>
      </c>
      <c r="B8" s="76">
        <v>0.18489040050189942</v>
      </c>
      <c r="C8" s="76">
        <v>236197.68983003267</v>
      </c>
      <c r="D8" s="76">
        <v>0</v>
      </c>
      <c r="E8" s="76">
        <v>1294004.2176036346</v>
      </c>
      <c r="F8" s="76">
        <v>543383.90021323995</v>
      </c>
      <c r="G8" s="76">
        <v>26597.187524009147</v>
      </c>
      <c r="H8" s="76">
        <v>142742</v>
      </c>
      <c r="I8" s="76">
        <v>458817.74928054027</v>
      </c>
      <c r="J8" s="76">
        <v>6505289.1185657317</v>
      </c>
      <c r="K8" s="76">
        <v>41369.596506688533</v>
      </c>
      <c r="L8" s="76">
        <v>9248401.6444142777</v>
      </c>
    </row>
    <row r="9" spans="1:12" x14ac:dyDescent="0.25">
      <c r="A9" s="78" t="s">
        <v>61</v>
      </c>
      <c r="B9" s="76">
        <v>370459.88762915425</v>
      </c>
      <c r="C9" s="76">
        <v>659864.85126099177</v>
      </c>
      <c r="D9" s="76">
        <v>282332.03034110228</v>
      </c>
      <c r="E9" s="76">
        <v>2781103.0281560542</v>
      </c>
      <c r="F9" s="76">
        <v>2238546.1289939689</v>
      </c>
      <c r="G9" s="76">
        <v>344358.9487077276</v>
      </c>
      <c r="H9" s="76">
        <v>428226</v>
      </c>
      <c r="I9" s="76">
        <v>1318835.4298737824</v>
      </c>
      <c r="J9" s="76">
        <v>18431652.502602909</v>
      </c>
      <c r="K9" s="76">
        <v>88812.358142195561</v>
      </c>
      <c r="L9" s="76">
        <v>26944191.165707886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8" width="11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203992.87441208248</v>
      </c>
      <c r="D7" s="98">
        <v>2810745.50914561</v>
      </c>
      <c r="E7" s="98">
        <v>1122665.7460304548</v>
      </c>
      <c r="F7" s="98">
        <v>170392.63720029866</v>
      </c>
      <c r="G7" s="98">
        <v>1462811.7838699373</v>
      </c>
      <c r="H7" s="98">
        <v>19750552.226950247</v>
      </c>
      <c r="I7" s="98">
        <v>74190.483462749107</v>
      </c>
      <c r="J7" s="98">
        <v>2063763.1734135598</v>
      </c>
      <c r="K7" s="98"/>
      <c r="L7" s="98">
        <v>41339.678256422805</v>
      </c>
      <c r="M7" s="98"/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5269960.022201431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792440.79236345144</v>
      </c>
      <c r="X7" s="98">
        <v>563204.57830208144</v>
      </c>
      <c r="Y7" s="98">
        <v>263.53676062606576</v>
      </c>
      <c r="Z7" s="98">
        <v>4558826.316875292</v>
      </c>
      <c r="AA7" s="98">
        <v>925011.48221335816</v>
      </c>
      <c r="AB7" s="98">
        <v>1327226.7147852567</v>
      </c>
      <c r="AC7" s="98"/>
      <c r="AD7" s="98">
        <v>52986887.900790066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211627.45724089289</v>
      </c>
      <c r="D8" s="98">
        <v>2940767.9274286097</v>
      </c>
      <c r="E8" s="98">
        <v>1176377.6469398488</v>
      </c>
      <c r="F8" s="98">
        <v>157216.83755586346</v>
      </c>
      <c r="G8" s="98">
        <v>1502781.1107008122</v>
      </c>
      <c r="H8" s="98">
        <v>21163572.124573588</v>
      </c>
      <c r="I8" s="98">
        <v>73602.662086251483</v>
      </c>
      <c r="J8" s="98">
        <v>2114999.9774601497</v>
      </c>
      <c r="K8" s="98"/>
      <c r="L8" s="98">
        <v>2639.1240738517372</v>
      </c>
      <c r="M8" s="98"/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5433820.6545877624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871392.37125140009</v>
      </c>
      <c r="X8" s="98">
        <v>552442.79782593274</v>
      </c>
      <c r="Y8" s="98">
        <v>272.1543634927998</v>
      </c>
      <c r="Z8" s="98">
        <v>4747326.4083181694</v>
      </c>
      <c r="AA8" s="98">
        <v>949345.99548394862</v>
      </c>
      <c r="AB8" s="98">
        <v>1362725.53997907</v>
      </c>
      <c r="AC8" s="98"/>
      <c r="AD8" s="98">
        <v>54887614.009476818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628331.34140872222</v>
      </c>
      <c r="D9" s="98">
        <v>8982042.5088157319</v>
      </c>
      <c r="E9" s="98">
        <v>3651261.4001131607</v>
      </c>
      <c r="F9" s="98">
        <v>465884.75478506123</v>
      </c>
      <c r="G9" s="98">
        <v>4468150.9301789645</v>
      </c>
      <c r="H9" s="98">
        <v>45032128.061824001</v>
      </c>
      <c r="I9" s="98">
        <v>147793.14554900059</v>
      </c>
      <c r="J9" s="98">
        <v>6219636.9017398441</v>
      </c>
      <c r="K9" s="98">
        <v>1974670.329311419</v>
      </c>
      <c r="L9" s="98">
        <v>95870.934950370865</v>
      </c>
      <c r="M9" s="98">
        <v>1266262.2462674922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12360145.318290107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2491526.3685370558</v>
      </c>
      <c r="X9" s="98">
        <v>4388212.8636280149</v>
      </c>
      <c r="Y9" s="98">
        <v>1614.3411241188655</v>
      </c>
      <c r="Z9" s="98">
        <v>13674476.62687212</v>
      </c>
      <c r="AA9" s="98">
        <v>2785932.1201823736</v>
      </c>
      <c r="AB9" s="98">
        <v>4695054.426165103</v>
      </c>
      <c r="AC9" s="98">
        <v>98826.033045954537</v>
      </c>
      <c r="AD9" s="98">
        <v>146601033.27420041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20.140307454493183</v>
      </c>
      <c r="C7" s="240">
        <v>0</v>
      </c>
      <c r="D7" s="240">
        <v>50.641429577215661</v>
      </c>
      <c r="E7" s="240">
        <v>17.990912277181906</v>
      </c>
      <c r="F7" s="240">
        <v>0.14596282488120896</v>
      </c>
      <c r="G7" s="240">
        <v>2.7034344811434852</v>
      </c>
      <c r="H7" s="240">
        <v>5.3986394353114884</v>
      </c>
      <c r="I7" s="240">
        <v>45.11802212469226</v>
      </c>
      <c r="J7" s="240">
        <v>0</v>
      </c>
      <c r="K7" s="240">
        <v>142.1387081749192</v>
      </c>
    </row>
    <row r="8" spans="1:11" x14ac:dyDescent="0.25">
      <c r="A8" s="79">
        <v>2050</v>
      </c>
      <c r="B8" s="240">
        <v>20.231823778682948</v>
      </c>
      <c r="C8" s="240">
        <v>0</v>
      </c>
      <c r="D8" s="240">
        <v>53.6859338720772</v>
      </c>
      <c r="E8" s="240">
        <v>16.44594860270173</v>
      </c>
      <c r="F8" s="240">
        <v>0.23461711386879117</v>
      </c>
      <c r="G8" s="240">
        <v>2.8136864628155509</v>
      </c>
      <c r="H8" s="240">
        <v>5.5346783341970225</v>
      </c>
      <c r="I8" s="240">
        <v>45.173390358640965</v>
      </c>
      <c r="J8" s="240">
        <v>0</v>
      </c>
      <c r="K8" s="240">
        <v>144.12007852298422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5.3039408145388656</v>
      </c>
      <c r="C11" s="240">
        <v>2.1694819870080004</v>
      </c>
      <c r="D11" s="240">
        <v>1.4201719861750002</v>
      </c>
      <c r="E11" s="240">
        <v>0.4507670343200002</v>
      </c>
      <c r="F11" s="240">
        <v>0</v>
      </c>
      <c r="G11" s="240">
        <v>19.528398716284933</v>
      </c>
      <c r="H11" s="240">
        <v>0</v>
      </c>
      <c r="I11" s="240">
        <v>0</v>
      </c>
      <c r="J11" s="240">
        <v>0</v>
      </c>
      <c r="K11" s="240">
        <v>28.872760538326801</v>
      </c>
    </row>
    <row r="12" spans="1:11" x14ac:dyDescent="0.25">
      <c r="A12" s="79">
        <v>2050</v>
      </c>
      <c r="B12" s="240">
        <v>5.3702940021039831</v>
      </c>
      <c r="C12" s="240">
        <v>2.1694819870080004</v>
      </c>
      <c r="D12" s="240">
        <v>1.4201719861750002</v>
      </c>
      <c r="E12" s="240">
        <v>0.4507670343200002</v>
      </c>
      <c r="F12" s="240">
        <v>0</v>
      </c>
      <c r="G12" s="240">
        <v>19.227190071890632</v>
      </c>
      <c r="H12" s="240">
        <v>0</v>
      </c>
      <c r="I12" s="240">
        <v>0</v>
      </c>
      <c r="J12" s="240">
        <v>0</v>
      </c>
      <c r="K12" s="240">
        <v>28.637905081497614</v>
      </c>
    </row>
    <row r="13" spans="1:11" x14ac:dyDescent="0.25">
      <c r="A13" s="78" t="s">
        <v>296</v>
      </c>
      <c r="B13" s="240">
        <v>57.916061757678435</v>
      </c>
      <c r="C13" s="240">
        <v>0</v>
      </c>
      <c r="D13" s="240">
        <v>104.32736344929286</v>
      </c>
      <c r="E13" s="240">
        <v>54.010451368440826</v>
      </c>
      <c r="F13" s="240">
        <v>0.38057993875000012</v>
      </c>
      <c r="G13" s="240">
        <v>5.5171209439590356</v>
      </c>
      <c r="H13" s="240">
        <v>14.884364897338088</v>
      </c>
      <c r="I13" s="240">
        <v>137.78050740767509</v>
      </c>
      <c r="J13" s="240">
        <v>0</v>
      </c>
      <c r="K13" s="240">
        <v>374.8164497631343</v>
      </c>
    </row>
    <row r="14" spans="1:11" x14ac:dyDescent="0.25">
      <c r="A14" s="78" t="s">
        <v>248</v>
      </c>
      <c r="B14" s="240">
        <v>18.157389520849851</v>
      </c>
      <c r="C14" s="240">
        <v>6.5084459610240017</v>
      </c>
      <c r="D14" s="240">
        <v>4.2605159585250005</v>
      </c>
      <c r="E14" s="240">
        <v>1.3523011029600003</v>
      </c>
      <c r="F14" s="240">
        <v>0</v>
      </c>
      <c r="G14" s="240">
        <v>43.847871746180566</v>
      </c>
      <c r="H14" s="240">
        <v>0</v>
      </c>
      <c r="I14" s="240">
        <v>0</v>
      </c>
      <c r="J14" s="240">
        <v>0</v>
      </c>
      <c r="K14" s="240">
        <v>74.126524289539418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1173470.7461407222</v>
      </c>
      <c r="C4" s="241">
        <v>128467.8</v>
      </c>
      <c r="D4" s="241">
        <v>6712872.9879863551</v>
      </c>
      <c r="E4" s="241">
        <v>1545261.0937931617</v>
      </c>
      <c r="F4" s="241">
        <v>24394.90109435247</v>
      </c>
      <c r="G4" s="241">
        <v>2995632.8505612239</v>
      </c>
      <c r="H4" s="241">
        <v>1497777.1733240632</v>
      </c>
      <c r="I4" s="241">
        <v>14077877.552899878</v>
      </c>
    </row>
    <row r="5" spans="1:9" x14ac:dyDescent="0.25">
      <c r="A5" s="78">
        <v>2050</v>
      </c>
      <c r="B5" s="241">
        <v>1191829.5713620714</v>
      </c>
      <c r="C5" s="241">
        <v>128467.8</v>
      </c>
      <c r="D5" s="241">
        <v>7141290.685798157</v>
      </c>
      <c r="E5" s="241">
        <v>1418205.779459734</v>
      </c>
      <c r="F5" s="241">
        <v>39211.773905647548</v>
      </c>
      <c r="G5" s="241">
        <v>2975343.7639734056</v>
      </c>
      <c r="H5" s="241">
        <v>1498433.9529448485</v>
      </c>
      <c r="I5" s="241">
        <v>14392783.327443864</v>
      </c>
    </row>
    <row r="6" spans="1:9" x14ac:dyDescent="0.25">
      <c r="A6" s="78" t="s">
        <v>61</v>
      </c>
      <c r="B6" s="241">
        <v>3442605.2575027933</v>
      </c>
      <c r="C6" s="241">
        <v>385403.4</v>
      </c>
      <c r="D6" s="241">
        <v>13982890.033784512</v>
      </c>
      <c r="E6" s="241">
        <v>4638884.8639081232</v>
      </c>
      <c r="F6" s="241">
        <v>63606.675000000017</v>
      </c>
      <c r="G6" s="241">
        <v>6674992.7303679632</v>
      </c>
      <c r="H6" s="241">
        <v>4572084.6047000876</v>
      </c>
      <c r="I6" s="241">
        <v>33760467.56526348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13049924.438213089</v>
      </c>
      <c r="C4" s="98">
        <v>-24610.813181900667</v>
      </c>
      <c r="D4" s="98">
        <v>6608780.2582464404</v>
      </c>
      <c r="E4" s="98">
        <v>8852683.6564139053</v>
      </c>
      <c r="F4" s="98">
        <v>-1707739.728033402</v>
      </c>
      <c r="G4" s="98">
        <v>-679188.93523194815</v>
      </c>
      <c r="H4" s="98">
        <v>0</v>
      </c>
      <c r="I4" s="98">
        <v>26099848.876426186</v>
      </c>
    </row>
    <row r="5" spans="1:9" x14ac:dyDescent="0.25">
      <c r="A5" s="78">
        <v>2050</v>
      </c>
      <c r="B5" s="98">
        <v>12367941.925840957</v>
      </c>
      <c r="C5" s="98">
        <v>-40179.115818099352</v>
      </c>
      <c r="D5" s="98">
        <v>6582277.0918141343</v>
      </c>
      <c r="E5" s="98">
        <v>8714081.1908516288</v>
      </c>
      <c r="F5" s="98">
        <v>-2227605.1235059141</v>
      </c>
      <c r="G5" s="98">
        <v>-660632.11750079249</v>
      </c>
      <c r="H5" s="98">
        <v>0</v>
      </c>
      <c r="I5" s="98">
        <v>24735883.851681914</v>
      </c>
    </row>
    <row r="6" spans="1:9" x14ac:dyDescent="0.25">
      <c r="A6" s="78" t="s">
        <v>61</v>
      </c>
      <c r="B6" s="98">
        <v>39935328.806429893</v>
      </c>
      <c r="C6" s="98">
        <v>-64948.366200000019</v>
      </c>
      <c r="D6" s="98">
        <v>18710319.25079729</v>
      </c>
      <c r="E6" s="98">
        <v>27292231.036999717</v>
      </c>
      <c r="F6" s="98">
        <v>-4497244.8515393157</v>
      </c>
      <c r="G6" s="98">
        <v>-1505028.2636278004</v>
      </c>
      <c r="H6" s="98">
        <v>0</v>
      </c>
      <c r="I6" s="98">
        <v>79870657.612859786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11277410.323793244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6069868.2390794745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4031787.1463158978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1088045.8124689222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2154506.8629341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-1423024.3224583613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-619837.3016637282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10709492.864088481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6044724.7524874648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3906669.7542952816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1088045.8124689227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2154506.8629340995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-1849222.4776918571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-603120.62906998093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1772514.1144198456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538912.0191669655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1228927.7363285178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117269.43380756295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232146.66455890334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-284715.40557504073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-59351.633568219971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1658449.061752476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537552.33932666946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1215442.6627868579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117269.43380756291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232146.66455890334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-378382.64581405697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-57511.488430811616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298525.56791561138</v>
      </c>
      <c r="C7" s="98">
        <v>1502781.1107008122</v>
      </c>
      <c r="D7" s="98">
        <v>42956.187062954959</v>
      </c>
      <c r="E7" s="98">
        <v>37736958.706897601</v>
      </c>
      <c r="F7" s="98">
        <v>289344.48560341762</v>
      </c>
      <c r="G7" s="98">
        <v>949345.99548394862</v>
      </c>
      <c r="H7" s="98">
        <v>2355323.2838141397</v>
      </c>
      <c r="I7" s="98">
        <v>7206505.523105517</v>
      </c>
      <c r="J7" s="98">
        <v>7925117.269571091</v>
      </c>
      <c r="K7" s="98">
        <v>1362725.53997907</v>
      </c>
      <c r="L7" s="98">
        <v>202349.63153877269</v>
      </c>
      <c r="M7" s="98">
        <v>494167.70841044851</v>
      </c>
      <c r="N7" s="98">
        <v>6595761.847970549</v>
      </c>
      <c r="O7" s="98">
        <v>66961862.858053923</v>
      </c>
    </row>
    <row r="8" spans="1:15" x14ac:dyDescent="0.25">
      <c r="A8" s="78" t="s">
        <v>61</v>
      </c>
      <c r="B8" s="98">
        <v>874542.6549870912</v>
      </c>
      <c r="C8" s="98">
        <v>4468150.9301789645</v>
      </c>
      <c r="D8" s="98">
        <v>126543.62323513717</v>
      </c>
      <c r="E8" s="98">
        <v>92004336.211742043</v>
      </c>
      <c r="F8" s="98">
        <v>853979.5254162451</v>
      </c>
      <c r="G8" s="98">
        <v>2785932.1201823736</v>
      </c>
      <c r="H8" s="98">
        <v>6911897.3955972735</v>
      </c>
      <c r="I8" s="98">
        <v>23306152.736127324</v>
      </c>
      <c r="J8" s="98">
        <v>23506765.259329215</v>
      </c>
      <c r="K8" s="98">
        <v>4695054.426165103</v>
      </c>
      <c r="L8" s="98">
        <v>608691.6287406272</v>
      </c>
      <c r="M8" s="98">
        <v>1654596.9038416902</v>
      </c>
      <c r="N8" s="98">
        <v>15657086.199541338</v>
      </c>
      <c r="O8" s="98">
        <v>177453729.61508441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1025729.6203575714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713505.92728443746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5523408.7197105791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229440.63810667559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378080.80621229054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29404263.983943939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220830.77573350482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1818589.8087592444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5024574.3595380196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6101831.6290168501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32793.097303413146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1048609.453845398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1145476.8591293055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729011.95091777691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158491.06742829576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301497.09442768525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211505.55492892067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1683096.8033949384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69084.929808935805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116086.90219815794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8332694.7229536632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68513.709869912811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536733.47505489504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1571187.4884325294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1823285.6405542411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10163.089759541812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314116.08613367198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357304.25157150667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220334.04456617165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43858.564110476924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2863430.3661416383</v>
      </c>
      <c r="C7" s="241">
        <v>792440.79236345144</v>
      </c>
      <c r="D7" s="241">
        <v>3655871.1585050896</v>
      </c>
    </row>
    <row r="8" spans="1:4" x14ac:dyDescent="0.25">
      <c r="A8" s="78">
        <v>2050</v>
      </c>
      <c r="B8" s="241">
        <v>2859899.9612931921</v>
      </c>
      <c r="C8" s="241">
        <v>871392.37125140009</v>
      </c>
      <c r="D8" s="241">
        <v>3731292.3325445922</v>
      </c>
    </row>
    <row r="9" spans="1:4" x14ac:dyDescent="0.25">
      <c r="A9" s="78" t="s">
        <v>61</v>
      </c>
      <c r="B9" s="241">
        <v>8733568.819759516</v>
      </c>
      <c r="C9" s="241">
        <v>2491526.3685370558</v>
      </c>
      <c r="D9" s="241">
        <v>11225095.188296571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2501770</v>
      </c>
      <c r="E6" s="241">
        <v>487920</v>
      </c>
      <c r="F6" s="241">
        <v>623500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2440169.9999999995</v>
      </c>
      <c r="E7" s="241">
        <v>487920</v>
      </c>
      <c r="F7" s="241">
        <v>685100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7520310</v>
      </c>
      <c r="E8" s="241">
        <v>1448760</v>
      </c>
      <c r="F8" s="241">
        <v>1870500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74183.803587131348</v>
      </c>
      <c r="C7" s="241">
        <v>4853.1770030289581</v>
      </c>
      <c r="D7" s="241">
        <v>614009.9839605958</v>
      </c>
      <c r="E7" s="241">
        <v>12260.644279007083</v>
      </c>
      <c r="F7" s="241">
        <v>18194.810700511243</v>
      </c>
      <c r="G7" s="241">
        <v>52970.654930914927</v>
      </c>
      <c r="H7" s="241">
        <v>966609.27748625283</v>
      </c>
      <c r="I7" s="241">
        <v>162670.5326839725</v>
      </c>
      <c r="J7" s="241">
        <v>43656.858578083113</v>
      </c>
      <c r="K7" s="241">
        <v>108216.1106595821</v>
      </c>
      <c r="L7" s="241">
        <v>78362.46663239249</v>
      </c>
      <c r="M7" s="241">
        <v>257867.80103200703</v>
      </c>
      <c r="N7" s="241">
        <v>7716.8760454422081</v>
      </c>
      <c r="O7" s="241">
        <v>99823.678331425646</v>
      </c>
      <c r="P7" s="241">
        <v>2501396.6759103471</v>
      </c>
    </row>
    <row r="8" spans="1:16" x14ac:dyDescent="0.25">
      <c r="A8" s="78">
        <v>2050</v>
      </c>
      <c r="B8" s="241">
        <v>72275.665119207741</v>
      </c>
      <c r="C8" s="241">
        <v>4728.1172142829364</v>
      </c>
      <c r="D8" s="241">
        <v>598548.38396059559</v>
      </c>
      <c r="E8" s="241">
        <v>11939.949346977701</v>
      </c>
      <c r="F8" s="241">
        <v>17727.455506089249</v>
      </c>
      <c r="G8" s="241">
        <v>51621.782251781951</v>
      </c>
      <c r="H8" s="241">
        <v>941813.22356629348</v>
      </c>
      <c r="I8" s="241">
        <v>158496.56058649404</v>
      </c>
      <c r="J8" s="241">
        <v>42549.988492615776</v>
      </c>
      <c r="K8" s="241">
        <v>105423.80184271638</v>
      </c>
      <c r="L8" s="241">
        <v>76300.904828300088</v>
      </c>
      <c r="M8" s="241">
        <v>253508.19426480078</v>
      </c>
      <c r="N8" s="241">
        <v>7537.157461474726</v>
      </c>
      <c r="O8" s="241">
        <v>97335.327401064031</v>
      </c>
      <c r="P8" s="241">
        <v>2439806.5118426941</v>
      </c>
    </row>
    <row r="9" spans="1:16" x14ac:dyDescent="0.25">
      <c r="A9" s="78" t="s">
        <v>61</v>
      </c>
      <c r="B9" s="241">
        <v>223312.68157276139</v>
      </c>
      <c r="C9" s="241">
        <v>14696.075110417802</v>
      </c>
      <c r="D9" s="241">
        <v>1501489.7835768391</v>
      </c>
      <c r="E9" s="241">
        <v>36952.672194812782</v>
      </c>
      <c r="F9" s="241">
        <v>54864.962673346716</v>
      </c>
      <c r="G9" s="241">
        <v>159667.95798467839</v>
      </c>
      <c r="H9" s="241">
        <v>3246243.833735548</v>
      </c>
      <c r="I9" s="241">
        <v>501307.76915357099</v>
      </c>
      <c r="J9" s="241">
        <v>156145.48313983929</v>
      </c>
      <c r="K9" s="241">
        <v>375071.53483499179</v>
      </c>
      <c r="L9" s="241">
        <v>188629.72832441161</v>
      </c>
      <c r="M9" s="241">
        <v>732381.01037311379</v>
      </c>
      <c r="N9" s="241">
        <v>23833.660893491346</v>
      </c>
      <c r="O9" s="241">
        <v>304976.03418521857</v>
      </c>
      <c r="P9" s="241">
        <v>7519573.1877530413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1736252.1166384006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545883.48119174724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540183.88336159918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139216.51880825273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576591.97905547544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4041909.7731788829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1900635.8217001744</v>
      </c>
      <c r="J30" s="76">
        <f t="shared" si="2"/>
        <v>1900635.8217001744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44370.662327297228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171270.75658336733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73253.400763838363</v>
      </c>
      <c r="J31" s="76">
        <f t="shared" si="2"/>
        <v>73253.400763838363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64930.608396310665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285694.67694376694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219833.69733892806</v>
      </c>
      <c r="J32" s="76">
        <f t="shared" si="2"/>
        <v>219833.69733892806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359534.40705289674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17840097.277964737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17840097.277964737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7457.2400160431316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154737.73033289498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154737.73033289498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31365.844342236556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1332135.6218790098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1332135.6218790098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47938.272936646019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3895163.5502552376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3895163.5502552376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97058.944942455943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4320093.639388714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4320093.639388714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2908.0623604905873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24689.449440565091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24689.449440565091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25738.466902719567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766901.90582075517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766901.90582075517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57862.561202403813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826790.08020882867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197882.43717926473</v>
      </c>
      <c r="J40" s="76">
        <f t="shared" si="2"/>
        <v>197882.43717926473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10867.586324157863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543379.31620789308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543379.31620789308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4179.063908207143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101928.38800505229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101928.38800505229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101375.57782061782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1397969.21814632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1397969.21814632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122307.389496616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574441.11624875641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270120.66678102472</v>
      </c>
      <c r="J72" s="76">
        <f t="shared" ref="J72:J139" si="15">IF(I72&lt;&gt;0,I72,H72)</f>
        <v>270120.66678102472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9411.9586754872907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20708.191477807137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8857.0020923550001</v>
      </c>
      <c r="J73" s="76">
        <f t="shared" si="15"/>
        <v>8857.0020923550001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13773.159356793169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33331.045643439473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25647.264689541604</v>
      </c>
      <c r="J74" s="76">
        <f t="shared" si="15"/>
        <v>25647.264689541604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76264.874223341743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2951725.1859905296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2951725.1859905296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1581.8387912818764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18709.198303886395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18709.198303886395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6653.3609210804825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161067.30700900755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161067.30700900755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10168.724562318854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470960.6838035878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470960.6838035878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20588.261048399749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760598.30438934651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760598.30438934651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616.86171283133672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2985.1788869046882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2985.1788869046882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5459.6747975465751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92725.412249236761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92725.412249236761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12273.876618691718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99966.436970703828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23925.78558622019</v>
      </c>
      <c r="J82" s="76">
        <f t="shared" si="15"/>
        <v>23925.78558622019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2305.2455839122736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65699.499141499793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65699.499141499793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886.46810174090911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12324.068731519956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12324.068731519956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21503.910446797723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296538.92506134062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296538.92506134062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179389.67006955924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1257521.5871876103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591327.04817660281</v>
      </c>
      <c r="J282" s="76">
        <f t="shared" si="55"/>
        <v>591327.04817660281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13804.629208856637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53285.868746186621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22790.645502950778</v>
      </c>
      <c r="J283" s="76">
        <f t="shared" si="55"/>
        <v>22790.645502950778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20201.252949634338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88885.512978391082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68394.802335617322</v>
      </c>
      <c r="J284" s="76">
        <f t="shared" si="55"/>
        <v>68394.802335617322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111858.57764710314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5550422.6228492586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5550422.6228492586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2320.101344973416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48142.102908198387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48142.102908198387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9758.5618121573061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414454.89770469151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414454.89770469151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14914.586532918138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1211865.8072418857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1211865.8072418857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30197.041830253234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1344070.3318645717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1344070.3318645717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904.75824558759291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7681.3975050386643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7681.3975050386643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8007.7684974714139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238599.01777729217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238599.01777729217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18002.237527623009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257231.46539153677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61565.312053592112</v>
      </c>
      <c r="J292" s="76">
        <f t="shared" si="55"/>
        <v>61565.312053592112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3381.1304977511027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169056.52488755516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169056.52488755516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1300.1930705330769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31712.026110562852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31712.026110562852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31540.035447842853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434937.08882575296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434937.08882575296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38052.354257179235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178720.49223969373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84040.116846917197</v>
      </c>
      <c r="J324" s="76">
        <f t="shared" si="55"/>
        <v>84040.116846917197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2928.2546806665596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6442.745948402564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2755.596228993139</v>
      </c>
      <c r="J325" s="76">
        <f t="shared" si="55"/>
        <v>2755.596228993139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4285.1142620436467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10369.976514145626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7979.3936058220206</v>
      </c>
      <c r="J326" s="76">
        <f t="shared" si="55"/>
        <v>7979.3936058220206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23727.577076658243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918342.65214414988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918342.65214414988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492.14270953981543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5820.8178970821664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5820.8178970821664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2069.9979601545801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50111.364904294518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50111.364904294518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3163.7001736493021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146525.59305742799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146525.59305742799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6405.4331155082618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236637.83721615636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236637.83721615636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191.91841573070153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928.75078924558386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928.75078924558386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1698.6175600696938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28848.790331254411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28848.790331254411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3818.6564452533657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31101.622633703992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7443.8059119343161</v>
      </c>
      <c r="J334" s="76">
        <f t="shared" si="55"/>
        <v>7443.8059119343161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717.2094995229611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20440.47073640439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20440.47073640439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275.79853011307694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3834.2722479135091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3834.2722479135091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6690.3105495424243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92259.382478190048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92259.382478190048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2021-09-10T12:29:43Z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109976649284362</vt:r8>
  </property>
</Properties>
</file>